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tabRatio="876"/>
  </bookViews>
  <sheets>
    <sheet name="კრებსითი" sheetId="14" r:id="rId1"/>
    <sheet name="2000 მ²" sheetId="1" r:id="rId2"/>
    <sheet name="400 მ²" sheetId="3" r:id="rId3"/>
    <sheet name="გარე_ტერიტორია" sheetId="4" r:id="rId4"/>
    <sheet name="სანიაღვრე" sheetId="8" r:id="rId5"/>
    <sheet name="სანტექნიკა" sheetId="5" r:id="rId6"/>
    <sheet name="კანალიზაცია" sheetId="6" r:id="rId7"/>
    <sheet name="წყალმომარაგება" sheetId="7" r:id="rId8"/>
    <sheet name="სუსტი_დენები" sheetId="9" r:id="rId9"/>
    <sheet name="ხანძარქრობა" sheetId="10" r:id="rId10"/>
    <sheet name="ელექტროობა" sheetId="11" r:id="rId11"/>
    <sheet name="გათბობა-გაგრილება" sheetId="12" r:id="rId12"/>
    <sheet name="საქვაბე" sheetId="13"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 i="1" l="1"/>
  <c r="L5" i="1"/>
  <c r="L689" i="1"/>
  <c r="D356" i="1" l="1"/>
  <c r="A665" i="1"/>
  <c r="K663" i="1"/>
  <c r="L663" i="1" s="1"/>
  <c r="I663" i="1"/>
  <c r="G663" i="1"/>
  <c r="G661" i="1"/>
  <c r="I661" i="1"/>
  <c r="K661" i="1"/>
  <c r="L661" i="1" s="1"/>
  <c r="E664" i="1"/>
  <c r="K664" i="1" s="1"/>
  <c r="E663" i="1"/>
  <c r="E662" i="1"/>
  <c r="K662" i="1" s="1"/>
  <c r="E661" i="1"/>
  <c r="E660" i="1"/>
  <c r="K660" i="1" s="1"/>
  <c r="E659" i="1"/>
  <c r="K659" i="1" s="1"/>
  <c r="A659" i="1"/>
  <c r="E652" i="1"/>
  <c r="I652" i="1" s="1"/>
  <c r="E651" i="1"/>
  <c r="G651" i="1" s="1"/>
  <c r="E658" i="1"/>
  <c r="K658" i="1" s="1"/>
  <c r="E657" i="1"/>
  <c r="E656" i="1"/>
  <c r="I656" i="1" s="1"/>
  <c r="E655" i="1"/>
  <c r="G655" i="1" s="1"/>
  <c r="E654" i="1"/>
  <c r="G654" i="1" s="1"/>
  <c r="E653" i="1"/>
  <c r="G653" i="1" s="1"/>
  <c r="E650" i="1"/>
  <c r="G649" i="1"/>
  <c r="I649" i="1"/>
  <c r="K649" i="1"/>
  <c r="G650" i="1"/>
  <c r="I650" i="1"/>
  <c r="K650" i="1"/>
  <c r="G657" i="1"/>
  <c r="I657" i="1"/>
  <c r="K657" i="1"/>
  <c r="G658" i="1"/>
  <c r="I658" i="1"/>
  <c r="D658" i="1"/>
  <c r="D657" i="1"/>
  <c r="D655" i="1"/>
  <c r="D654" i="1"/>
  <c r="D653" i="1"/>
  <c r="K670" i="1"/>
  <c r="I670" i="1"/>
  <c r="G670" i="1"/>
  <c r="K669" i="1"/>
  <c r="I669" i="1"/>
  <c r="G668" i="1"/>
  <c r="K667" i="1"/>
  <c r="I667" i="1"/>
  <c r="G667" i="1"/>
  <c r="G666" i="1"/>
  <c r="I666" i="1"/>
  <c r="K666" i="1"/>
  <c r="D671" i="1"/>
  <c r="E671" i="1" s="1"/>
  <c r="I671" i="1" s="1"/>
  <c r="E672" i="1"/>
  <c r="K672" i="1" s="1"/>
  <c r="E670" i="1"/>
  <c r="E669" i="1"/>
  <c r="G669" i="1" s="1"/>
  <c r="E668" i="1"/>
  <c r="K668" i="1" s="1"/>
  <c r="E667" i="1"/>
  <c r="E666" i="1"/>
  <c r="G664" i="1" l="1"/>
  <c r="L664" i="1" s="1"/>
  <c r="I664" i="1"/>
  <c r="I662" i="1"/>
  <c r="G662" i="1"/>
  <c r="L662" i="1"/>
  <c r="G660" i="1"/>
  <c r="I660" i="1"/>
  <c r="L660" i="1"/>
  <c r="I659" i="1"/>
  <c r="G659" i="1"/>
  <c r="L658" i="1"/>
  <c r="L650" i="1"/>
  <c r="L649" i="1"/>
  <c r="L657" i="1"/>
  <c r="G652" i="1"/>
  <c r="K652" i="1"/>
  <c r="K651" i="1"/>
  <c r="I651" i="1"/>
  <c r="L651" i="1" s="1"/>
  <c r="K656" i="1"/>
  <c r="G656" i="1"/>
  <c r="I655" i="1"/>
  <c r="K655" i="1"/>
  <c r="K654" i="1"/>
  <c r="I654" i="1"/>
  <c r="K653" i="1"/>
  <c r="I653" i="1"/>
  <c r="L669" i="1"/>
  <c r="L670" i="1"/>
  <c r="G671" i="1"/>
  <c r="K671" i="1"/>
  <c r="L671" i="1" s="1"/>
  <c r="I672" i="1"/>
  <c r="L672" i="1" s="1"/>
  <c r="L666" i="1"/>
  <c r="L667" i="1"/>
  <c r="G672" i="1"/>
  <c r="I668" i="1"/>
  <c r="L668" i="1" s="1"/>
  <c r="G86" i="6"/>
  <c r="I86" i="6"/>
  <c r="K86" i="6"/>
  <c r="L86" i="6" s="1"/>
  <c r="E86" i="6"/>
  <c r="E85" i="6"/>
  <c r="E84" i="6"/>
  <c r="E83" i="6"/>
  <c r="E82" i="6"/>
  <c r="E81" i="6"/>
  <c r="A80" i="6"/>
  <c r="G328" i="11"/>
  <c r="G329" i="11"/>
  <c r="I328" i="11"/>
  <c r="I329" i="11"/>
  <c r="K328" i="11"/>
  <c r="L328" i="11" s="1"/>
  <c r="L329" i="11" s="1"/>
  <c r="K329" i="11"/>
  <c r="A328" i="11"/>
  <c r="E77" i="8"/>
  <c r="E78" i="8" s="1"/>
  <c r="E79" i="8"/>
  <c r="E75" i="8"/>
  <c r="E76" i="8" s="1"/>
  <c r="E72" i="8"/>
  <c r="E74" i="8" s="1"/>
  <c r="E10" i="4"/>
  <c r="E14" i="4"/>
  <c r="E340" i="3"/>
  <c r="E168" i="3"/>
  <c r="E69" i="3"/>
  <c r="E684" i="1"/>
  <c r="E474" i="1"/>
  <c r="E471" i="1"/>
  <c r="E350" i="1"/>
  <c r="E25" i="1"/>
  <c r="E139" i="1"/>
  <c r="E63" i="1"/>
  <c r="E31" i="1"/>
  <c r="L659" i="1" l="1"/>
  <c r="L652" i="1"/>
  <c r="L656" i="1"/>
  <c r="L655" i="1"/>
  <c r="L654" i="1"/>
  <c r="L653" i="1"/>
  <c r="G78" i="8"/>
  <c r="I78" i="8"/>
  <c r="K78" i="8"/>
  <c r="L78" i="8" s="1"/>
  <c r="E73" i="8"/>
  <c r="G73" i="8" l="1"/>
  <c r="I73" i="8"/>
  <c r="K73" i="8"/>
  <c r="L73" i="8" l="1"/>
  <c r="A280" i="11" l="1"/>
  <c r="A281" i="11" s="1"/>
  <c r="A282" i="11" s="1"/>
  <c r="A283" i="11" s="1"/>
  <c r="A284" i="11" s="1"/>
  <c r="A285" i="11" s="1"/>
  <c r="A286" i="11" s="1"/>
  <c r="A287" i="11" s="1"/>
  <c r="A288" i="11" s="1"/>
  <c r="A289" i="11" s="1"/>
  <c r="A290" i="11" s="1"/>
  <c r="A291" i="11" s="1"/>
  <c r="A292" i="11" s="1"/>
  <c r="A294" i="11" s="1"/>
  <c r="A296" i="11" s="1"/>
  <c r="A297" i="11" s="1"/>
  <c r="A298" i="11" s="1"/>
  <c r="A300" i="11" s="1"/>
  <c r="A302" i="11" s="1"/>
  <c r="A303" i="11" s="1"/>
  <c r="A304" i="11" s="1"/>
  <c r="A306" i="11" s="1"/>
  <c r="A307" i="11" s="1"/>
  <c r="A308" i="11" s="1"/>
  <c r="A309" i="11" s="1"/>
  <c r="A311" i="11" s="1"/>
  <c r="A312" i="11" s="1"/>
  <c r="A313" i="11" s="1"/>
  <c r="A314" i="11" s="1"/>
  <c r="A315" i="11" s="1"/>
  <c r="A316" i="11" s="1"/>
  <c r="A317" i="11" s="1"/>
  <c r="A318" i="11" s="1"/>
  <c r="A319" i="11" s="1"/>
  <c r="A320" i="11" s="1"/>
  <c r="A321" i="11" s="1"/>
  <c r="A322" i="11" s="1"/>
  <c r="A323" i="11" s="1"/>
  <c r="A325" i="11" s="1"/>
  <c r="A327" i="11" s="1"/>
  <c r="G648" i="1" l="1"/>
  <c r="I648" i="1"/>
  <c r="K648" i="1"/>
  <c r="L648" i="1"/>
  <c r="E432" i="1" l="1"/>
  <c r="E440" i="1"/>
  <c r="D12" i="1"/>
  <c r="G59" i="4"/>
  <c r="I59" i="4"/>
  <c r="K59" i="4"/>
  <c r="L59" i="4"/>
  <c r="E59" i="4"/>
  <c r="A61" i="4"/>
  <c r="E134" i="3"/>
  <c r="E110" i="3"/>
  <c r="E98" i="3"/>
  <c r="E119" i="3"/>
  <c r="A403" i="13"/>
  <c r="A402" i="13"/>
  <c r="A401" i="13"/>
  <c r="A400" i="13"/>
  <c r="A399" i="13"/>
  <c r="A398" i="13"/>
  <c r="A397" i="13"/>
  <c r="A396" i="13"/>
  <c r="A395" i="13"/>
  <c r="A356" i="13"/>
  <c r="A357" i="13" s="1"/>
  <c r="A358" i="13" s="1"/>
  <c r="A359" i="13" s="1"/>
  <c r="A360" i="13" s="1"/>
  <c r="A361" i="13" s="1"/>
  <c r="A362" i="13" s="1"/>
  <c r="A363" i="13" s="1"/>
  <c r="A364" i="13" s="1"/>
  <c r="A365" i="13" s="1"/>
  <c r="A366" i="13" s="1"/>
  <c r="A367" i="13" s="1"/>
  <c r="A368" i="13" s="1"/>
  <c r="A369" i="13" s="1"/>
  <c r="A370" i="13" s="1"/>
  <c r="A371" i="13" s="1"/>
  <c r="A372" i="13" s="1"/>
  <c r="A373" i="13" s="1"/>
  <c r="A374" i="13" s="1"/>
  <c r="A375" i="13" s="1"/>
  <c r="A376" i="13" s="1"/>
  <c r="A377" i="13" s="1"/>
  <c r="A378" i="13" s="1"/>
  <c r="A379" i="13" s="1"/>
  <c r="A380" i="13" s="1"/>
  <c r="A381" i="13" s="1"/>
  <c r="A382" i="13" s="1"/>
  <c r="A383" i="13" s="1"/>
  <c r="A384" i="13" s="1"/>
  <c r="A385" i="13" s="1"/>
  <c r="A386" i="13" s="1"/>
  <c r="A387" i="13" s="1"/>
  <c r="A388" i="13" s="1"/>
  <c r="A389" i="13" s="1"/>
  <c r="A390" i="13" s="1"/>
  <c r="A391" i="13" s="1"/>
  <c r="A392" i="13" s="1"/>
  <c r="A393" i="13" s="1"/>
  <c r="A355" i="13"/>
  <c r="A354" i="13"/>
  <c r="A352" i="13"/>
  <c r="A351" i="13"/>
  <c r="A343" i="13"/>
  <c r="A344" i="13"/>
  <c r="A345" i="13"/>
  <c r="A346" i="13"/>
  <c r="A347" i="13" s="1"/>
  <c r="A348" i="13" s="1"/>
  <c r="A349" i="13" s="1"/>
  <c r="A342" i="13"/>
  <c r="A341" i="13"/>
  <c r="A333" i="13"/>
  <c r="A334" i="13"/>
  <c r="A335" i="13"/>
  <c r="A336" i="13"/>
  <c r="A337" i="13" s="1"/>
  <c r="A338" i="13" s="1"/>
  <c r="A339" i="13" s="1"/>
  <c r="A332" i="13"/>
  <c r="A331" i="13"/>
  <c r="A329" i="13"/>
  <c r="A328" i="13"/>
  <c r="A327" i="13"/>
  <c r="A326" i="13"/>
  <c r="A325" i="13"/>
  <c r="A320" i="13"/>
  <c r="A321" i="13"/>
  <c r="A322" i="13"/>
  <c r="A323" i="13"/>
  <c r="A319" i="13"/>
  <c r="A318" i="13"/>
  <c r="A278" i="13"/>
  <c r="A279" i="13"/>
  <c r="A280" i="13"/>
  <c r="A281" i="13"/>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277" i="13"/>
  <c r="A276" i="13"/>
  <c r="A262" i="13"/>
  <c r="A263" i="13" s="1"/>
  <c r="A264" i="13" s="1"/>
  <c r="A265" i="13" s="1"/>
  <c r="A266" i="13" s="1"/>
  <c r="A267" i="13" s="1"/>
  <c r="A268" i="13" s="1"/>
  <c r="A269" i="13" s="1"/>
  <c r="A270" i="13" s="1"/>
  <c r="A271" i="13" s="1"/>
  <c r="A272" i="13" s="1"/>
  <c r="A273" i="13" s="1"/>
  <c r="A274" i="13" s="1"/>
  <c r="A261" i="13"/>
  <c r="A260" i="13"/>
  <c r="A246" i="13"/>
  <c r="A247" i="13"/>
  <c r="A248" i="13"/>
  <c r="A249" i="13"/>
  <c r="A250" i="13" s="1"/>
  <c r="A251" i="13" s="1"/>
  <c r="A252" i="13" s="1"/>
  <c r="A253" i="13" s="1"/>
  <c r="A254" i="13" s="1"/>
  <c r="A255" i="13" s="1"/>
  <c r="A256" i="13" s="1"/>
  <c r="A257" i="13" s="1"/>
  <c r="A258" i="13" s="1"/>
  <c r="A245" i="13"/>
  <c r="A244" i="13"/>
  <c r="A230" i="13"/>
  <c r="A231" i="13" s="1"/>
  <c r="A232" i="13" s="1"/>
  <c r="A233" i="13" s="1"/>
  <c r="A234" i="13" s="1"/>
  <c r="A235" i="13" s="1"/>
  <c r="A236" i="13" s="1"/>
  <c r="A237" i="13" s="1"/>
  <c r="A238" i="13" s="1"/>
  <c r="A239" i="13" s="1"/>
  <c r="A240" i="13" s="1"/>
  <c r="A241" i="13" s="1"/>
  <c r="A242" i="13" s="1"/>
  <c r="A229" i="13"/>
  <c r="A228" i="13"/>
  <c r="A215" i="13"/>
  <c r="A216" i="13"/>
  <c r="A217" i="13"/>
  <c r="A218" i="13" s="1"/>
  <c r="A219" i="13" s="1"/>
  <c r="A220" i="13" s="1"/>
  <c r="A221" i="13" s="1"/>
  <c r="A222" i="13" s="1"/>
  <c r="A223" i="13" s="1"/>
  <c r="A224" i="13" s="1"/>
  <c r="A225" i="13" s="1"/>
  <c r="A226" i="13" s="1"/>
  <c r="A214" i="13"/>
  <c r="A213" i="13"/>
  <c r="A200" i="13"/>
  <c r="A201" i="13"/>
  <c r="A202" i="13"/>
  <c r="A203" i="13"/>
  <c r="A204" i="13" s="1"/>
  <c r="A205" i="13" s="1"/>
  <c r="A206" i="13" s="1"/>
  <c r="A207" i="13" s="1"/>
  <c r="A208" i="13" s="1"/>
  <c r="A209" i="13" s="1"/>
  <c r="A210" i="13" s="1"/>
  <c r="A211" i="13" s="1"/>
  <c r="A199" i="13"/>
  <c r="A198" i="13"/>
  <c r="A185" i="13"/>
  <c r="A186" i="13" s="1"/>
  <c r="A187" i="13" s="1"/>
  <c r="A188" i="13" s="1"/>
  <c r="A189" i="13" s="1"/>
  <c r="A190" i="13" s="1"/>
  <c r="A191" i="13" s="1"/>
  <c r="A192" i="13" s="1"/>
  <c r="A193" i="13" s="1"/>
  <c r="A194" i="13" s="1"/>
  <c r="A195" i="13" s="1"/>
  <c r="A196" i="13" s="1"/>
  <c r="A184" i="13"/>
  <c r="A183" i="13"/>
  <c r="A170" i="13"/>
  <c r="A171" i="13"/>
  <c r="A172" i="13"/>
  <c r="A173" i="13"/>
  <c r="A174" i="13" s="1"/>
  <c r="A175" i="13" s="1"/>
  <c r="A176" i="13" s="1"/>
  <c r="A177" i="13" s="1"/>
  <c r="A178" i="13" s="1"/>
  <c r="A179" i="13" s="1"/>
  <c r="A180" i="13" s="1"/>
  <c r="A181" i="13" s="1"/>
  <c r="A169" i="13"/>
  <c r="A168" i="13"/>
  <c r="A155" i="13"/>
  <c r="A156" i="13" s="1"/>
  <c r="A157" i="13" s="1"/>
  <c r="A158" i="13" s="1"/>
  <c r="A159" i="13" s="1"/>
  <c r="A160" i="13" s="1"/>
  <c r="A161" i="13" s="1"/>
  <c r="A162" i="13" s="1"/>
  <c r="A163" i="13" s="1"/>
  <c r="A164" i="13" s="1"/>
  <c r="A165" i="13" s="1"/>
  <c r="A166" i="13" s="1"/>
  <c r="A154" i="13"/>
  <c r="A153" i="13"/>
  <c r="A140" i="13"/>
  <c r="A141" i="13" s="1"/>
  <c r="A142" i="13" s="1"/>
  <c r="A143" i="13" s="1"/>
  <c r="A144" i="13" s="1"/>
  <c r="A145" i="13" s="1"/>
  <c r="A146" i="13" s="1"/>
  <c r="A147" i="13" s="1"/>
  <c r="A148" i="13" s="1"/>
  <c r="A149" i="13" s="1"/>
  <c r="A150" i="13" s="1"/>
  <c r="A151" i="13" s="1"/>
  <c r="A139" i="13"/>
  <c r="A138" i="13"/>
  <c r="A136" i="13"/>
  <c r="A135" i="13"/>
  <c r="A134" i="13"/>
  <c r="A133" i="13"/>
  <c r="A132" i="13"/>
  <c r="A131" i="13"/>
  <c r="A130" i="13"/>
  <c r="A129" i="13"/>
  <c r="A128" i="13"/>
  <c r="A127" i="13"/>
  <c r="A126" i="13"/>
  <c r="A125" i="13"/>
  <c r="A124" i="13"/>
  <c r="A123" i="13"/>
  <c r="A121" i="13"/>
  <c r="A120" i="13"/>
  <c r="A119" i="13"/>
  <c r="A118" i="13"/>
  <c r="A117" i="13"/>
  <c r="A116" i="13"/>
  <c r="A115" i="13"/>
  <c r="A114" i="13"/>
  <c r="A113" i="13"/>
  <c r="A112" i="13"/>
  <c r="A111" i="13"/>
  <c r="A110" i="13"/>
  <c r="A109" i="13"/>
  <c r="A108" i="13"/>
  <c r="A106" i="13"/>
  <c r="A105" i="13"/>
  <c r="A104" i="13"/>
  <c r="A103" i="13"/>
  <c r="A102" i="13"/>
  <c r="A101" i="13"/>
  <c r="A83" i="13"/>
  <c r="A84" i="13" s="1"/>
  <c r="A85" i="13" s="1"/>
  <c r="A86" i="13" s="1"/>
  <c r="A87" i="13" s="1"/>
  <c r="A88" i="13" s="1"/>
  <c r="A89" i="13" s="1"/>
  <c r="A90" i="13" s="1"/>
  <c r="A91" i="13" s="1"/>
  <c r="A92" i="13" s="1"/>
  <c r="A93" i="13" s="1"/>
  <c r="A94" i="13" s="1"/>
  <c r="A95" i="13" s="1"/>
  <c r="A96" i="13" s="1"/>
  <c r="A97" i="13" s="1"/>
  <c r="A98" i="13" s="1"/>
  <c r="A99" i="13" s="1"/>
  <c r="A82" i="13"/>
  <c r="A81" i="13"/>
  <c r="A80" i="13"/>
  <c r="A79" i="13"/>
  <c r="A78" i="13"/>
  <c r="A76" i="13"/>
  <c r="A75" i="13"/>
  <c r="A73" i="13"/>
  <c r="A72" i="13"/>
  <c r="A71" i="13"/>
  <c r="A70" i="13"/>
  <c r="A69" i="13"/>
  <c r="A68" i="13"/>
  <c r="A67" i="13"/>
  <c r="A66" i="13"/>
  <c r="A65" i="13"/>
  <c r="A64" i="13"/>
  <c r="A63" i="13"/>
  <c r="A20" i="13"/>
  <c r="A21" i="13"/>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19" i="13"/>
  <c r="A18" i="13"/>
  <c r="A17" i="13"/>
  <c r="A16" i="13"/>
  <c r="A15" i="13"/>
  <c r="A14" i="13"/>
  <c r="A13" i="13"/>
  <c r="A12" i="13"/>
  <c r="A11" i="13"/>
  <c r="G52" i="10"/>
  <c r="G53" i="10"/>
  <c r="I52" i="10"/>
  <c r="L52" i="10" s="1"/>
  <c r="L53" i="10" s="1"/>
  <c r="I53" i="10"/>
  <c r="K52" i="10"/>
  <c r="K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G45" i="9"/>
  <c r="G46" i="9"/>
  <c r="I45" i="9"/>
  <c r="L45" i="9" s="1"/>
  <c r="L46" i="9" s="1"/>
  <c r="I46" i="9"/>
  <c r="K45" i="9"/>
  <c r="K46" i="9"/>
  <c r="A45" i="9"/>
  <c r="G34" i="9"/>
  <c r="I34" i="9"/>
  <c r="K34" i="9"/>
  <c r="L34" i="9" s="1"/>
  <c r="A34" i="9"/>
  <c r="G21" i="9"/>
  <c r="I21" i="9"/>
  <c r="K21" i="9"/>
  <c r="L21" i="9"/>
  <c r="G80" i="5"/>
  <c r="I80" i="5"/>
  <c r="K80" i="5"/>
  <c r="L80" i="5"/>
  <c r="G28" i="5"/>
  <c r="I28" i="5"/>
  <c r="K28" i="5"/>
  <c r="L28" i="5"/>
  <c r="G50" i="5"/>
  <c r="I50" i="5"/>
  <c r="L50" i="5" s="1"/>
  <c r="K50" i="5"/>
  <c r="G64" i="5"/>
  <c r="I64" i="5"/>
  <c r="K64" i="5"/>
  <c r="L64" i="5"/>
  <c r="G81" i="7"/>
  <c r="L82" i="7" s="1"/>
  <c r="I81" i="7"/>
  <c r="K81" i="7"/>
  <c r="L81" i="7"/>
  <c r="G217" i="12"/>
  <c r="L218" i="12" s="1"/>
  <c r="I217" i="12"/>
  <c r="K217" i="12"/>
  <c r="L217" i="12"/>
  <c r="G407" i="13"/>
  <c r="L408" i="13" s="1"/>
  <c r="I407" i="13"/>
  <c r="K407" i="13"/>
  <c r="L407" i="13"/>
  <c r="A9" i="14"/>
  <c r="A10" i="14" s="1"/>
  <c r="A11" i="14" s="1"/>
  <c r="A12" i="14" s="1"/>
  <c r="A13" i="14" s="1"/>
  <c r="A14" i="14" s="1"/>
  <c r="A15" i="14" s="1"/>
  <c r="A16" i="14" s="1"/>
  <c r="A17" i="14" s="1"/>
  <c r="A18" i="14" s="1"/>
  <c r="A19" i="14" s="1"/>
  <c r="L5" i="13"/>
  <c r="L4" i="13"/>
  <c r="L5" i="12"/>
  <c r="L4" i="12"/>
  <c r="L5" i="11"/>
  <c r="L4" i="11"/>
  <c r="L5" i="10"/>
  <c r="L4" i="10"/>
  <c r="L5" i="9"/>
  <c r="L4" i="9"/>
  <c r="L5" i="7"/>
  <c r="L4" i="7"/>
  <c r="L5" i="6"/>
  <c r="L4" i="6"/>
  <c r="L5" i="5"/>
  <c r="L4" i="5"/>
  <c r="L5" i="8"/>
  <c r="L4" i="8"/>
  <c r="L5" i="4"/>
  <c r="L4" i="4"/>
  <c r="L5" i="3"/>
  <c r="L4" i="3"/>
  <c r="E227" i="1"/>
  <c r="E236" i="1" s="1"/>
  <c r="E215" i="1"/>
  <c r="E224" i="1" s="1"/>
  <c r="E203" i="1"/>
  <c r="E212" i="1" s="1"/>
  <c r="E73" i="1"/>
  <c r="E72" i="1"/>
  <c r="E98" i="1"/>
  <c r="E107" i="1" s="1"/>
  <c r="L83" i="7" l="1"/>
  <c r="L84" i="7" s="1"/>
  <c r="L85" i="7" s="1"/>
  <c r="L86" i="7" s="1"/>
  <c r="L87" i="7" s="1"/>
  <c r="L88" i="7" s="1"/>
  <c r="L89" i="7" s="1"/>
  <c r="L90" i="7" s="1"/>
  <c r="L91" i="7" s="1"/>
  <c r="L92" i="7" s="1"/>
  <c r="L93" i="7" s="1"/>
  <c r="D14" i="14" s="1"/>
  <c r="L219" i="12"/>
  <c r="L220" i="12" s="1"/>
  <c r="L221" i="12" s="1"/>
  <c r="L222" i="12" s="1"/>
  <c r="L223" i="12" s="1"/>
  <c r="L224" i="12" s="1"/>
  <c r="L225" i="12" s="1"/>
  <c r="L226" i="12" s="1"/>
  <c r="L227" i="12" s="1"/>
  <c r="L228" i="12" s="1"/>
  <c r="L229" i="12" s="1"/>
  <c r="D18" i="14" s="1"/>
  <c r="L409" i="13"/>
  <c r="L410" i="13" s="1"/>
  <c r="L411" i="13" s="1"/>
  <c r="L412" i="13" s="1"/>
  <c r="L413" i="13" s="1"/>
  <c r="L414" i="13" s="1"/>
  <c r="L415" i="13" s="1"/>
  <c r="L416" i="13" s="1"/>
  <c r="L417" i="13" s="1"/>
  <c r="L418" i="13" s="1"/>
  <c r="L419" i="13" s="1"/>
  <c r="D19" i="14" s="1"/>
  <c r="E431" i="1"/>
  <c r="K431" i="1" s="1"/>
  <c r="E430" i="1"/>
  <c r="I430" i="1" s="1"/>
  <c r="E429" i="1"/>
  <c r="G429" i="1" s="1"/>
  <c r="E428" i="1"/>
  <c r="K428" i="1" s="1"/>
  <c r="E427" i="1"/>
  <c r="K427" i="1" s="1"/>
  <c r="E426" i="1"/>
  <c r="K426" i="1" s="1"/>
  <c r="E425" i="1"/>
  <c r="E424" i="1"/>
  <c r="E423" i="1"/>
  <c r="E422" i="1"/>
  <c r="E409" i="1"/>
  <c r="E404" i="1"/>
  <c r="E417" i="1" s="1"/>
  <c r="E225" i="1"/>
  <c r="E213" i="1"/>
  <c r="E144" i="1"/>
  <c r="E147" i="1" s="1"/>
  <c r="K174" i="1"/>
  <c r="I174" i="1"/>
  <c r="G174" i="1"/>
  <c r="D199" i="1"/>
  <c r="D198" i="1"/>
  <c r="D195" i="1"/>
  <c r="D194" i="1"/>
  <c r="D131" i="1"/>
  <c r="D122" i="1"/>
  <c r="E81" i="8"/>
  <c r="K81" i="8" s="1"/>
  <c r="E80" i="8"/>
  <c r="G80" i="8" s="1"/>
  <c r="E61" i="4"/>
  <c r="D397" i="1"/>
  <c r="K405" i="13"/>
  <c r="L405" i="13" s="1"/>
  <c r="I405" i="13"/>
  <c r="G405" i="13"/>
  <c r="E405" i="13"/>
  <c r="A405" i="13"/>
  <c r="A406" i="13" s="1"/>
  <c r="K403" i="13"/>
  <c r="I403" i="13"/>
  <c r="G403" i="13"/>
  <c r="K402" i="13"/>
  <c r="I402" i="13"/>
  <c r="G402" i="13"/>
  <c r="K401" i="13"/>
  <c r="I401" i="13"/>
  <c r="G401" i="13"/>
  <c r="K400" i="13"/>
  <c r="I400" i="13"/>
  <c r="G400" i="13"/>
  <c r="K399" i="13"/>
  <c r="I399" i="13"/>
  <c r="G399" i="13"/>
  <c r="K398" i="13"/>
  <c r="I398" i="13"/>
  <c r="G398" i="13"/>
  <c r="K397" i="13"/>
  <c r="I397" i="13"/>
  <c r="G397" i="13"/>
  <c r="K396" i="13"/>
  <c r="I396" i="13"/>
  <c r="G396" i="13"/>
  <c r="K395" i="13"/>
  <c r="I395" i="13"/>
  <c r="G395" i="13"/>
  <c r="K394" i="13"/>
  <c r="I394" i="13"/>
  <c r="G394" i="13"/>
  <c r="K393" i="13"/>
  <c r="I393" i="13"/>
  <c r="G393" i="13"/>
  <c r="K392" i="13"/>
  <c r="I392" i="13"/>
  <c r="G392" i="13"/>
  <c r="K391" i="13"/>
  <c r="I391" i="13"/>
  <c r="G391" i="13"/>
  <c r="K390" i="13"/>
  <c r="I390" i="13"/>
  <c r="G390" i="13"/>
  <c r="K389" i="13"/>
  <c r="I389" i="13"/>
  <c r="G389" i="13"/>
  <c r="K388" i="13"/>
  <c r="I388" i="13"/>
  <c r="G388" i="13"/>
  <c r="K387" i="13"/>
  <c r="I387" i="13"/>
  <c r="G387" i="13"/>
  <c r="K386" i="13"/>
  <c r="I386" i="13"/>
  <c r="G386" i="13"/>
  <c r="K385" i="13"/>
  <c r="I385" i="13"/>
  <c r="G385" i="13"/>
  <c r="K384" i="13"/>
  <c r="I384" i="13"/>
  <c r="G384" i="13"/>
  <c r="K383" i="13"/>
  <c r="I383" i="13"/>
  <c r="G383" i="13"/>
  <c r="K382" i="13"/>
  <c r="I382" i="13"/>
  <c r="G382" i="13"/>
  <c r="K381" i="13"/>
  <c r="I381" i="13"/>
  <c r="G381" i="13"/>
  <c r="K380" i="13"/>
  <c r="I380" i="13"/>
  <c r="G380" i="13"/>
  <c r="K379" i="13"/>
  <c r="I379" i="13"/>
  <c r="G379" i="13"/>
  <c r="K378" i="13"/>
  <c r="I378" i="13"/>
  <c r="G378" i="13"/>
  <c r="K377" i="13"/>
  <c r="I377" i="13"/>
  <c r="G377" i="13"/>
  <c r="K376" i="13"/>
  <c r="I376" i="13"/>
  <c r="G376" i="13"/>
  <c r="K375" i="13"/>
  <c r="I375" i="13"/>
  <c r="G375" i="13"/>
  <c r="K374" i="13"/>
  <c r="I374" i="13"/>
  <c r="G374" i="13"/>
  <c r="K373" i="13"/>
  <c r="I373" i="13"/>
  <c r="G373" i="13"/>
  <c r="K372" i="13"/>
  <c r="I372" i="13"/>
  <c r="G372" i="13"/>
  <c r="K371" i="13"/>
  <c r="I371" i="13"/>
  <c r="G371" i="13"/>
  <c r="K370" i="13"/>
  <c r="I370" i="13"/>
  <c r="G370" i="13"/>
  <c r="K369" i="13"/>
  <c r="I369" i="13"/>
  <c r="G369" i="13"/>
  <c r="K368" i="13"/>
  <c r="I368" i="13"/>
  <c r="G368" i="13"/>
  <c r="K367" i="13"/>
  <c r="I367" i="13"/>
  <c r="G367" i="13"/>
  <c r="K366" i="13"/>
  <c r="I366" i="13"/>
  <c r="G366" i="13"/>
  <c r="K365" i="13"/>
  <c r="I365" i="13"/>
  <c r="G365" i="13"/>
  <c r="K364" i="13"/>
  <c r="I364" i="13"/>
  <c r="G364" i="13"/>
  <c r="K363" i="13"/>
  <c r="I363" i="13"/>
  <c r="G363" i="13"/>
  <c r="K362" i="13"/>
  <c r="I362" i="13"/>
  <c r="G362" i="13"/>
  <c r="K361" i="13"/>
  <c r="I361" i="13"/>
  <c r="G361" i="13"/>
  <c r="K360" i="13"/>
  <c r="I360" i="13"/>
  <c r="G360" i="13"/>
  <c r="K359" i="13"/>
  <c r="I359" i="13"/>
  <c r="G359" i="13"/>
  <c r="K358" i="13"/>
  <c r="I358" i="13"/>
  <c r="G358" i="13"/>
  <c r="K357" i="13"/>
  <c r="I357" i="13"/>
  <c r="G357" i="13"/>
  <c r="K356" i="13"/>
  <c r="I356" i="13"/>
  <c r="G356" i="13"/>
  <c r="K355" i="13"/>
  <c r="I355" i="13"/>
  <c r="G355" i="13"/>
  <c r="K354" i="13"/>
  <c r="I354" i="13"/>
  <c r="G354" i="13"/>
  <c r="K353" i="13"/>
  <c r="I353" i="13"/>
  <c r="G353" i="13"/>
  <c r="K352" i="13"/>
  <c r="I352" i="13"/>
  <c r="G352" i="13"/>
  <c r="K351" i="13"/>
  <c r="I351" i="13"/>
  <c r="G351" i="13"/>
  <c r="K350" i="13"/>
  <c r="I350" i="13"/>
  <c r="G350" i="13"/>
  <c r="K349" i="13"/>
  <c r="I349" i="13"/>
  <c r="G349" i="13"/>
  <c r="K348" i="13"/>
  <c r="I348" i="13"/>
  <c r="G348" i="13"/>
  <c r="K347" i="13"/>
  <c r="I347" i="13"/>
  <c r="G347" i="13"/>
  <c r="K346" i="13"/>
  <c r="I346" i="13"/>
  <c r="G346" i="13"/>
  <c r="K345" i="13"/>
  <c r="I345" i="13"/>
  <c r="G345" i="13"/>
  <c r="K344" i="13"/>
  <c r="I344" i="13"/>
  <c r="G344" i="13"/>
  <c r="K343" i="13"/>
  <c r="I343" i="13"/>
  <c r="G343" i="13"/>
  <c r="K342" i="13"/>
  <c r="I342" i="13"/>
  <c r="G342" i="13"/>
  <c r="K341" i="13"/>
  <c r="I341" i="13"/>
  <c r="G341" i="13"/>
  <c r="K340" i="13"/>
  <c r="I340" i="13"/>
  <c r="G340" i="13"/>
  <c r="K339" i="13"/>
  <c r="I339" i="13"/>
  <c r="G339" i="13"/>
  <c r="K338" i="13"/>
  <c r="I338" i="13"/>
  <c r="G338" i="13"/>
  <c r="K337" i="13"/>
  <c r="I337" i="13"/>
  <c r="G337" i="13"/>
  <c r="K336" i="13"/>
  <c r="I336" i="13"/>
  <c r="G336" i="13"/>
  <c r="K335" i="13"/>
  <c r="I335" i="13"/>
  <c r="G335" i="13"/>
  <c r="K334" i="13"/>
  <c r="I334" i="13"/>
  <c r="G334" i="13"/>
  <c r="K333" i="13"/>
  <c r="I333" i="13"/>
  <c r="G333" i="13"/>
  <c r="K332" i="13"/>
  <c r="I332" i="13"/>
  <c r="G332" i="13"/>
  <c r="K331" i="13"/>
  <c r="I331" i="13"/>
  <c r="G331" i="13"/>
  <c r="K330" i="13"/>
  <c r="I330" i="13"/>
  <c r="G330" i="13"/>
  <c r="K329" i="13"/>
  <c r="I329" i="13"/>
  <c r="G329" i="13"/>
  <c r="K328" i="13"/>
  <c r="I328" i="13"/>
  <c r="G328" i="13"/>
  <c r="K327" i="13"/>
  <c r="I327" i="13"/>
  <c r="G327" i="13"/>
  <c r="K326" i="13"/>
  <c r="I326" i="13"/>
  <c r="G326" i="13"/>
  <c r="K325" i="13"/>
  <c r="I325" i="13"/>
  <c r="G325" i="13"/>
  <c r="K324" i="13"/>
  <c r="I324" i="13"/>
  <c r="G324" i="13"/>
  <c r="K323" i="13"/>
  <c r="I323" i="13"/>
  <c r="G323" i="13"/>
  <c r="K322" i="13"/>
  <c r="I322" i="13"/>
  <c r="G322" i="13"/>
  <c r="K321" i="13"/>
  <c r="I321" i="13"/>
  <c r="G321" i="13"/>
  <c r="K320" i="13"/>
  <c r="I320" i="13"/>
  <c r="G320" i="13"/>
  <c r="K319" i="13"/>
  <c r="I319" i="13"/>
  <c r="G319" i="13"/>
  <c r="K318" i="13"/>
  <c r="I318" i="13"/>
  <c r="G318" i="13"/>
  <c r="K317" i="13"/>
  <c r="I317" i="13"/>
  <c r="G317" i="13"/>
  <c r="K316" i="13"/>
  <c r="I316" i="13"/>
  <c r="G316" i="13"/>
  <c r="K315" i="13"/>
  <c r="I315" i="13"/>
  <c r="G315" i="13"/>
  <c r="K314" i="13"/>
  <c r="I314" i="13"/>
  <c r="G314" i="13"/>
  <c r="K313" i="13"/>
  <c r="I313" i="13"/>
  <c r="G313" i="13"/>
  <c r="K312" i="13"/>
  <c r="I312" i="13"/>
  <c r="G312" i="13"/>
  <c r="K311" i="13"/>
  <c r="I311" i="13"/>
  <c r="G311" i="13"/>
  <c r="K310" i="13"/>
  <c r="I310" i="13"/>
  <c r="G310" i="13"/>
  <c r="K309" i="13"/>
  <c r="I309" i="13"/>
  <c r="G309" i="13"/>
  <c r="K308" i="13"/>
  <c r="I308" i="13"/>
  <c r="G308" i="13"/>
  <c r="K307" i="13"/>
  <c r="I307" i="13"/>
  <c r="G307" i="13"/>
  <c r="K306" i="13"/>
  <c r="I306" i="13"/>
  <c r="G306" i="13"/>
  <c r="K305" i="13"/>
  <c r="I305" i="13"/>
  <c r="G305" i="13"/>
  <c r="K304" i="13"/>
  <c r="I304" i="13"/>
  <c r="G304" i="13"/>
  <c r="K303" i="13"/>
  <c r="I303" i="13"/>
  <c r="G303" i="13"/>
  <c r="K302" i="13"/>
  <c r="I302" i="13"/>
  <c r="G302" i="13"/>
  <c r="K301" i="13"/>
  <c r="I301" i="13"/>
  <c r="G301" i="13"/>
  <c r="K300" i="13"/>
  <c r="I300" i="13"/>
  <c r="G300" i="13"/>
  <c r="K299" i="13"/>
  <c r="I299" i="13"/>
  <c r="G299" i="13"/>
  <c r="K298" i="13"/>
  <c r="I298" i="13"/>
  <c r="G298" i="13"/>
  <c r="K297" i="13"/>
  <c r="I297" i="13"/>
  <c r="G297" i="13"/>
  <c r="K296" i="13"/>
  <c r="I296" i="13"/>
  <c r="G296" i="13"/>
  <c r="K295" i="13"/>
  <c r="I295" i="13"/>
  <c r="G295" i="13"/>
  <c r="K294" i="13"/>
  <c r="I294" i="13"/>
  <c r="G294" i="13"/>
  <c r="K293" i="13"/>
  <c r="I293" i="13"/>
  <c r="G293" i="13"/>
  <c r="K292" i="13"/>
  <c r="I292" i="13"/>
  <c r="G292" i="13"/>
  <c r="K291" i="13"/>
  <c r="I291" i="13"/>
  <c r="G291" i="13"/>
  <c r="K290" i="13"/>
  <c r="I290" i="13"/>
  <c r="G290" i="13"/>
  <c r="K289" i="13"/>
  <c r="I289" i="13"/>
  <c r="G289" i="13"/>
  <c r="K288" i="13"/>
  <c r="I288" i="13"/>
  <c r="G288" i="13"/>
  <c r="K287" i="13"/>
  <c r="I287" i="13"/>
  <c r="G287" i="13"/>
  <c r="K286" i="13"/>
  <c r="I286" i="13"/>
  <c r="G286" i="13"/>
  <c r="K285" i="13"/>
  <c r="I285" i="13"/>
  <c r="G285" i="13"/>
  <c r="K284" i="13"/>
  <c r="I284" i="13"/>
  <c r="G284" i="13"/>
  <c r="K283" i="13"/>
  <c r="I283" i="13"/>
  <c r="G283" i="13"/>
  <c r="K282" i="13"/>
  <c r="I282" i="13"/>
  <c r="G282" i="13"/>
  <c r="K281" i="13"/>
  <c r="I281" i="13"/>
  <c r="G281" i="13"/>
  <c r="K280" i="13"/>
  <c r="I280" i="13"/>
  <c r="G280" i="13"/>
  <c r="K279" i="13"/>
  <c r="I279" i="13"/>
  <c r="G279" i="13"/>
  <c r="K278" i="13"/>
  <c r="I278" i="13"/>
  <c r="G278" i="13"/>
  <c r="K277" i="13"/>
  <c r="I277" i="13"/>
  <c r="G277" i="13"/>
  <c r="K276" i="13"/>
  <c r="I276" i="13"/>
  <c r="G276" i="13"/>
  <c r="K275" i="13"/>
  <c r="I275" i="13"/>
  <c r="G275" i="13"/>
  <c r="K274" i="13"/>
  <c r="I274" i="13"/>
  <c r="G274" i="13"/>
  <c r="K273" i="13"/>
  <c r="I273" i="13"/>
  <c r="G273" i="13"/>
  <c r="K272" i="13"/>
  <c r="I272" i="13"/>
  <c r="G272" i="13"/>
  <c r="K271" i="13"/>
  <c r="I271" i="13"/>
  <c r="G271" i="13"/>
  <c r="K270" i="13"/>
  <c r="I270" i="13"/>
  <c r="G270" i="13"/>
  <c r="K269" i="13"/>
  <c r="I269" i="13"/>
  <c r="G269" i="13"/>
  <c r="K268" i="13"/>
  <c r="I268" i="13"/>
  <c r="G268" i="13"/>
  <c r="K267" i="13"/>
  <c r="I267" i="13"/>
  <c r="G267" i="13"/>
  <c r="K266" i="13"/>
  <c r="I266" i="13"/>
  <c r="G266" i="13"/>
  <c r="K265" i="13"/>
  <c r="I265" i="13"/>
  <c r="G265" i="13"/>
  <c r="K264" i="13"/>
  <c r="I264" i="13"/>
  <c r="G264" i="13"/>
  <c r="K263" i="13"/>
  <c r="I263" i="13"/>
  <c r="G263" i="13"/>
  <c r="K262" i="13"/>
  <c r="I262" i="13"/>
  <c r="G262" i="13"/>
  <c r="K261" i="13"/>
  <c r="I261" i="13"/>
  <c r="G261" i="13"/>
  <c r="K260" i="13"/>
  <c r="I260" i="13"/>
  <c r="G260" i="13"/>
  <c r="K259" i="13"/>
  <c r="I259" i="13"/>
  <c r="G259" i="13"/>
  <c r="K258" i="13"/>
  <c r="I258" i="13"/>
  <c r="G258" i="13"/>
  <c r="K257" i="13"/>
  <c r="I257" i="13"/>
  <c r="G257" i="13"/>
  <c r="K256" i="13"/>
  <c r="I256" i="13"/>
  <c r="G256" i="13"/>
  <c r="K255" i="13"/>
  <c r="I255" i="13"/>
  <c r="G255" i="13"/>
  <c r="K254" i="13"/>
  <c r="I254" i="13"/>
  <c r="G254" i="13"/>
  <c r="K253" i="13"/>
  <c r="I253" i="13"/>
  <c r="G253" i="13"/>
  <c r="K252" i="13"/>
  <c r="I252" i="13"/>
  <c r="G252" i="13"/>
  <c r="K251" i="13"/>
  <c r="I251" i="13"/>
  <c r="G251" i="13"/>
  <c r="K250" i="13"/>
  <c r="I250" i="13"/>
  <c r="G250" i="13"/>
  <c r="K249" i="13"/>
  <c r="I249" i="13"/>
  <c r="G249" i="13"/>
  <c r="K248" i="13"/>
  <c r="I248" i="13"/>
  <c r="G248" i="13"/>
  <c r="K247" i="13"/>
  <c r="I247" i="13"/>
  <c r="G247" i="13"/>
  <c r="K246" i="13"/>
  <c r="I246" i="13"/>
  <c r="G246" i="13"/>
  <c r="K245" i="13"/>
  <c r="I245" i="13"/>
  <c r="G245" i="13"/>
  <c r="K244" i="13"/>
  <c r="I244" i="13"/>
  <c r="G244" i="13"/>
  <c r="K243" i="13"/>
  <c r="I243" i="13"/>
  <c r="G243" i="13"/>
  <c r="K242" i="13"/>
  <c r="I242" i="13"/>
  <c r="G242" i="13"/>
  <c r="K241" i="13"/>
  <c r="I241" i="13"/>
  <c r="G241" i="13"/>
  <c r="K240" i="13"/>
  <c r="I240" i="13"/>
  <c r="G240" i="13"/>
  <c r="K239" i="13"/>
  <c r="I239" i="13"/>
  <c r="G239" i="13"/>
  <c r="K238" i="13"/>
  <c r="I238" i="13"/>
  <c r="G238" i="13"/>
  <c r="K237" i="13"/>
  <c r="I237" i="13"/>
  <c r="G237" i="13"/>
  <c r="K236" i="13"/>
  <c r="I236" i="13"/>
  <c r="G236" i="13"/>
  <c r="K235" i="13"/>
  <c r="I235" i="13"/>
  <c r="G235" i="13"/>
  <c r="K234" i="13"/>
  <c r="I234" i="13"/>
  <c r="G234" i="13"/>
  <c r="K233" i="13"/>
  <c r="I233" i="13"/>
  <c r="G233" i="13"/>
  <c r="K232" i="13"/>
  <c r="I232" i="13"/>
  <c r="G232" i="13"/>
  <c r="K231" i="13"/>
  <c r="I231" i="13"/>
  <c r="G231" i="13"/>
  <c r="K230" i="13"/>
  <c r="I230" i="13"/>
  <c r="G230" i="13"/>
  <c r="K229" i="13"/>
  <c r="I229" i="13"/>
  <c r="G229" i="13"/>
  <c r="K228" i="13"/>
  <c r="I228" i="13"/>
  <c r="G228" i="13"/>
  <c r="K227" i="13"/>
  <c r="I227" i="13"/>
  <c r="G227" i="13"/>
  <c r="K226" i="13"/>
  <c r="I226" i="13"/>
  <c r="G226" i="13"/>
  <c r="K225" i="13"/>
  <c r="I225" i="13"/>
  <c r="G225" i="13"/>
  <c r="K224" i="13"/>
  <c r="I224" i="13"/>
  <c r="G224" i="13"/>
  <c r="K223" i="13"/>
  <c r="I223" i="13"/>
  <c r="G223" i="13"/>
  <c r="K222" i="13"/>
  <c r="I222" i="13"/>
  <c r="G222" i="13"/>
  <c r="K221" i="13"/>
  <c r="I221" i="13"/>
  <c r="G221" i="13"/>
  <c r="K220" i="13"/>
  <c r="I220" i="13"/>
  <c r="G220" i="13"/>
  <c r="K219" i="13"/>
  <c r="I219" i="13"/>
  <c r="G219" i="13"/>
  <c r="K218" i="13"/>
  <c r="I218" i="13"/>
  <c r="G218" i="13"/>
  <c r="K217" i="13"/>
  <c r="I217" i="13"/>
  <c r="G217" i="13"/>
  <c r="K216" i="13"/>
  <c r="I216" i="13"/>
  <c r="G216" i="13"/>
  <c r="K215" i="13"/>
  <c r="I215" i="13"/>
  <c r="G215" i="13"/>
  <c r="K214" i="13"/>
  <c r="I214" i="13"/>
  <c r="G214" i="13"/>
  <c r="K213" i="13"/>
  <c r="I213" i="13"/>
  <c r="G213" i="13"/>
  <c r="K212" i="13"/>
  <c r="I212" i="13"/>
  <c r="G212" i="13"/>
  <c r="K211" i="13"/>
  <c r="I211" i="13"/>
  <c r="G211" i="13"/>
  <c r="K210" i="13"/>
  <c r="I210" i="13"/>
  <c r="G210" i="13"/>
  <c r="K209" i="13"/>
  <c r="I209" i="13"/>
  <c r="G209" i="13"/>
  <c r="K406" i="13"/>
  <c r="I406" i="13"/>
  <c r="G406" i="13"/>
  <c r="K404" i="13"/>
  <c r="I404" i="13"/>
  <c r="G404" i="13"/>
  <c r="K208" i="13"/>
  <c r="I208" i="13"/>
  <c r="G208" i="13"/>
  <c r="K207" i="13"/>
  <c r="I207" i="13"/>
  <c r="G207" i="13"/>
  <c r="K206" i="13"/>
  <c r="I206" i="13"/>
  <c r="G206" i="13"/>
  <c r="K205" i="13"/>
  <c r="I205" i="13"/>
  <c r="G205" i="13"/>
  <c r="K204" i="13"/>
  <c r="L204" i="13" s="1"/>
  <c r="I204" i="13"/>
  <c r="G204" i="13"/>
  <c r="K203" i="13"/>
  <c r="I203" i="13"/>
  <c r="G203" i="13"/>
  <c r="K202" i="13"/>
  <c r="I202" i="13"/>
  <c r="G202" i="13"/>
  <c r="K201" i="13"/>
  <c r="I201" i="13"/>
  <c r="G201" i="13"/>
  <c r="K200" i="13"/>
  <c r="I200" i="13"/>
  <c r="G200" i="13"/>
  <c r="K199" i="13"/>
  <c r="I199" i="13"/>
  <c r="G199" i="13"/>
  <c r="K198" i="13"/>
  <c r="I198" i="13"/>
  <c r="G198" i="13"/>
  <c r="K197" i="13"/>
  <c r="I197" i="13"/>
  <c r="G197" i="13"/>
  <c r="K196" i="13"/>
  <c r="I196" i="13"/>
  <c r="G196" i="13"/>
  <c r="K195" i="13"/>
  <c r="I195" i="13"/>
  <c r="G195" i="13"/>
  <c r="K194" i="13"/>
  <c r="I194" i="13"/>
  <c r="G194" i="13"/>
  <c r="K193" i="13"/>
  <c r="I193" i="13"/>
  <c r="G193" i="13"/>
  <c r="L192" i="13"/>
  <c r="K192" i="13"/>
  <c r="I192" i="13"/>
  <c r="G192" i="13"/>
  <c r="K191" i="13"/>
  <c r="I191" i="13"/>
  <c r="G191" i="13"/>
  <c r="K190" i="13"/>
  <c r="I190" i="13"/>
  <c r="G190" i="13"/>
  <c r="K189" i="13"/>
  <c r="I189" i="13"/>
  <c r="G189" i="13"/>
  <c r="K188" i="13"/>
  <c r="I188" i="13"/>
  <c r="G188" i="13"/>
  <c r="K187" i="13"/>
  <c r="I187" i="13"/>
  <c r="G187" i="13"/>
  <c r="K186" i="13"/>
  <c r="I186" i="13"/>
  <c r="G186" i="13"/>
  <c r="K185" i="13"/>
  <c r="I185" i="13"/>
  <c r="G185" i="13"/>
  <c r="K184" i="13"/>
  <c r="I184" i="13"/>
  <c r="G184" i="13"/>
  <c r="K183" i="13"/>
  <c r="I183" i="13"/>
  <c r="G183" i="13"/>
  <c r="K182" i="13"/>
  <c r="I182" i="13"/>
  <c r="G182" i="13"/>
  <c r="K181" i="13"/>
  <c r="L181" i="13" s="1"/>
  <c r="I181" i="13"/>
  <c r="G181" i="13"/>
  <c r="K180" i="13"/>
  <c r="I180" i="13"/>
  <c r="G180" i="13"/>
  <c r="K179" i="13"/>
  <c r="I179" i="13"/>
  <c r="G179" i="13"/>
  <c r="K178" i="13"/>
  <c r="I178" i="13"/>
  <c r="G178" i="13"/>
  <c r="K177" i="13"/>
  <c r="L177" i="13" s="1"/>
  <c r="I177" i="13"/>
  <c r="G177" i="13"/>
  <c r="K176" i="13"/>
  <c r="I176" i="13"/>
  <c r="G176" i="13"/>
  <c r="K175" i="13"/>
  <c r="I175" i="13"/>
  <c r="G175" i="13"/>
  <c r="K174" i="13"/>
  <c r="I174" i="13"/>
  <c r="G174" i="13"/>
  <c r="K173" i="13"/>
  <c r="I173" i="13"/>
  <c r="G173" i="13"/>
  <c r="K172" i="13"/>
  <c r="I172" i="13"/>
  <c r="G172" i="13"/>
  <c r="K171" i="13"/>
  <c r="I171" i="13"/>
  <c r="L171" i="13" s="1"/>
  <c r="G171" i="13"/>
  <c r="K170" i="13"/>
  <c r="I170" i="13"/>
  <c r="G170" i="13"/>
  <c r="K169" i="13"/>
  <c r="I169" i="13"/>
  <c r="G169" i="13"/>
  <c r="K168" i="13"/>
  <c r="I168" i="13"/>
  <c r="G168" i="13"/>
  <c r="K167" i="13"/>
  <c r="I167" i="13"/>
  <c r="G167" i="13"/>
  <c r="K166" i="13"/>
  <c r="I166" i="13"/>
  <c r="G166" i="13"/>
  <c r="K165" i="13"/>
  <c r="I165" i="13"/>
  <c r="G165" i="13"/>
  <c r="K164" i="13"/>
  <c r="I164" i="13"/>
  <c r="G164" i="13"/>
  <c r="K163" i="13"/>
  <c r="I163" i="13"/>
  <c r="G163" i="13"/>
  <c r="K162" i="13"/>
  <c r="I162" i="13"/>
  <c r="G162" i="13"/>
  <c r="K161" i="13"/>
  <c r="I161" i="13"/>
  <c r="G161" i="13"/>
  <c r="K160" i="13"/>
  <c r="I160" i="13"/>
  <c r="G160" i="13"/>
  <c r="K159" i="13"/>
  <c r="I159" i="13"/>
  <c r="G159" i="13"/>
  <c r="K158" i="13"/>
  <c r="I158" i="13"/>
  <c r="G158" i="13"/>
  <c r="K157" i="13"/>
  <c r="L157" i="13" s="1"/>
  <c r="I157" i="13"/>
  <c r="G157" i="13"/>
  <c r="K156" i="13"/>
  <c r="I156" i="13"/>
  <c r="G156" i="13"/>
  <c r="K155" i="13"/>
  <c r="I155" i="13"/>
  <c r="G155" i="13"/>
  <c r="K154" i="13"/>
  <c r="I154" i="13"/>
  <c r="G154" i="13"/>
  <c r="K153" i="13"/>
  <c r="I153" i="13"/>
  <c r="G153" i="13"/>
  <c r="K152" i="13"/>
  <c r="I152" i="13"/>
  <c r="G152" i="13"/>
  <c r="K151" i="13"/>
  <c r="I151" i="13"/>
  <c r="G151" i="13"/>
  <c r="K150" i="13"/>
  <c r="I150" i="13"/>
  <c r="G150" i="13"/>
  <c r="K149" i="13"/>
  <c r="I149" i="13"/>
  <c r="G149" i="13"/>
  <c r="K148" i="13"/>
  <c r="L148" i="13" s="1"/>
  <c r="I148" i="13"/>
  <c r="G148" i="13"/>
  <c r="K147" i="13"/>
  <c r="I147" i="13"/>
  <c r="G147" i="13"/>
  <c r="K146" i="13"/>
  <c r="I146" i="13"/>
  <c r="G146" i="13"/>
  <c r="K145" i="13"/>
  <c r="I145" i="13"/>
  <c r="G145" i="13"/>
  <c r="K144" i="13"/>
  <c r="I144" i="13"/>
  <c r="G144" i="13"/>
  <c r="K143" i="13"/>
  <c r="I143" i="13"/>
  <c r="G143" i="13"/>
  <c r="K142" i="13"/>
  <c r="I142" i="13"/>
  <c r="G142" i="13"/>
  <c r="K141" i="13"/>
  <c r="I141" i="13"/>
  <c r="G141" i="13"/>
  <c r="K140" i="13"/>
  <c r="I140" i="13"/>
  <c r="G140" i="13"/>
  <c r="K139" i="13"/>
  <c r="I139" i="13"/>
  <c r="G139" i="13"/>
  <c r="K138" i="13"/>
  <c r="I138" i="13"/>
  <c r="G138" i="13"/>
  <c r="K137" i="13"/>
  <c r="I137" i="13"/>
  <c r="G137" i="13"/>
  <c r="K136" i="13"/>
  <c r="I136" i="13"/>
  <c r="G136" i="13"/>
  <c r="K135" i="13"/>
  <c r="I135" i="13"/>
  <c r="G135" i="13"/>
  <c r="K134" i="13"/>
  <c r="I134" i="13"/>
  <c r="G134" i="13"/>
  <c r="K133" i="13"/>
  <c r="I133" i="13"/>
  <c r="G133" i="13"/>
  <c r="K132" i="13"/>
  <c r="I132" i="13"/>
  <c r="G132" i="13"/>
  <c r="K131" i="13"/>
  <c r="I131" i="13"/>
  <c r="G131" i="13"/>
  <c r="K130" i="13"/>
  <c r="I130" i="13"/>
  <c r="G130" i="13"/>
  <c r="K129" i="13"/>
  <c r="I129" i="13"/>
  <c r="G129" i="13"/>
  <c r="K128" i="13"/>
  <c r="I128" i="13"/>
  <c r="G128" i="13"/>
  <c r="K127" i="13"/>
  <c r="I127" i="13"/>
  <c r="G127" i="13"/>
  <c r="K126" i="13"/>
  <c r="I126" i="13"/>
  <c r="G126" i="13"/>
  <c r="K125" i="13"/>
  <c r="I125" i="13"/>
  <c r="G125" i="13"/>
  <c r="K124" i="13"/>
  <c r="I124" i="13"/>
  <c r="G124" i="13"/>
  <c r="K123" i="13"/>
  <c r="I123" i="13"/>
  <c r="G123" i="13"/>
  <c r="K122" i="13"/>
  <c r="I122" i="13"/>
  <c r="G122" i="13"/>
  <c r="K121" i="13"/>
  <c r="I121" i="13"/>
  <c r="G121" i="13"/>
  <c r="K120" i="13"/>
  <c r="I120" i="13"/>
  <c r="G120" i="13"/>
  <c r="K119" i="13"/>
  <c r="I119" i="13"/>
  <c r="G119" i="13"/>
  <c r="K118" i="13"/>
  <c r="I118" i="13"/>
  <c r="G118" i="13"/>
  <c r="K117" i="13"/>
  <c r="I117" i="13"/>
  <c r="G117" i="13"/>
  <c r="K116" i="13"/>
  <c r="I116" i="13"/>
  <c r="G116" i="13"/>
  <c r="K115" i="13"/>
  <c r="I115" i="13"/>
  <c r="G115" i="13"/>
  <c r="K114" i="13"/>
  <c r="I114" i="13"/>
  <c r="G114" i="13"/>
  <c r="K113" i="13"/>
  <c r="I113" i="13"/>
  <c r="G113" i="13"/>
  <c r="K112" i="13"/>
  <c r="I112" i="13"/>
  <c r="G112" i="13"/>
  <c r="K111" i="13"/>
  <c r="I111" i="13"/>
  <c r="G111" i="13"/>
  <c r="K110" i="13"/>
  <c r="I110" i="13"/>
  <c r="G110" i="13"/>
  <c r="K109" i="13"/>
  <c r="I109" i="13"/>
  <c r="G109" i="13"/>
  <c r="K108" i="13"/>
  <c r="I108" i="13"/>
  <c r="G108" i="13"/>
  <c r="K107" i="13"/>
  <c r="I107" i="13"/>
  <c r="G107" i="13"/>
  <c r="K106" i="13"/>
  <c r="I106" i="13"/>
  <c r="G106" i="13"/>
  <c r="K105" i="13"/>
  <c r="I105" i="13"/>
  <c r="G105" i="13"/>
  <c r="K104" i="13"/>
  <c r="I104" i="13"/>
  <c r="G104" i="13"/>
  <c r="K103" i="13"/>
  <c r="I103" i="13"/>
  <c r="G103" i="13"/>
  <c r="K102" i="13"/>
  <c r="I102" i="13"/>
  <c r="G102" i="13"/>
  <c r="K101" i="13"/>
  <c r="I101" i="13"/>
  <c r="G101" i="13"/>
  <c r="K100" i="13"/>
  <c r="I100" i="13"/>
  <c r="G100" i="13"/>
  <c r="K99" i="13"/>
  <c r="I99" i="13"/>
  <c r="G99" i="13"/>
  <c r="K98" i="13"/>
  <c r="I98" i="13"/>
  <c r="G98" i="13"/>
  <c r="K97" i="13"/>
  <c r="I97" i="13"/>
  <c r="G97" i="13"/>
  <c r="K96" i="13"/>
  <c r="I96" i="13"/>
  <c r="G96" i="13"/>
  <c r="K95" i="13"/>
  <c r="I95" i="13"/>
  <c r="G95" i="13"/>
  <c r="K94" i="13"/>
  <c r="I94" i="13"/>
  <c r="G94" i="13"/>
  <c r="K93" i="13"/>
  <c r="I93" i="13"/>
  <c r="G93" i="13"/>
  <c r="K92" i="13"/>
  <c r="I92" i="13"/>
  <c r="G92" i="13"/>
  <c r="K91" i="13"/>
  <c r="I91" i="13"/>
  <c r="G91" i="13"/>
  <c r="K90" i="13"/>
  <c r="I90" i="13"/>
  <c r="G90" i="13"/>
  <c r="K89" i="13"/>
  <c r="I89" i="13"/>
  <c r="G89" i="13"/>
  <c r="K88" i="13"/>
  <c r="I88" i="13"/>
  <c r="G88" i="13"/>
  <c r="K87" i="13"/>
  <c r="I87" i="13"/>
  <c r="G87" i="13"/>
  <c r="K86" i="13"/>
  <c r="I86" i="13"/>
  <c r="G86" i="13"/>
  <c r="K85" i="13"/>
  <c r="I85" i="13"/>
  <c r="G85" i="13"/>
  <c r="K84" i="13"/>
  <c r="I84" i="13"/>
  <c r="G84" i="13"/>
  <c r="K83" i="13"/>
  <c r="I83" i="13"/>
  <c r="G83" i="13"/>
  <c r="K82" i="13"/>
  <c r="I82" i="13"/>
  <c r="G82" i="13"/>
  <c r="K81" i="13"/>
  <c r="I81" i="13"/>
  <c r="G81" i="13"/>
  <c r="K80" i="13"/>
  <c r="I80" i="13"/>
  <c r="G80" i="13"/>
  <c r="K79" i="13"/>
  <c r="I79" i="13"/>
  <c r="G79" i="13"/>
  <c r="K78" i="13"/>
  <c r="I78" i="13"/>
  <c r="G78" i="13"/>
  <c r="K77" i="13"/>
  <c r="I77" i="13"/>
  <c r="G77" i="13"/>
  <c r="K76" i="13"/>
  <c r="I76" i="13"/>
  <c r="G76" i="13"/>
  <c r="K75" i="13"/>
  <c r="I75" i="13"/>
  <c r="G75" i="13"/>
  <c r="K74" i="13"/>
  <c r="I74" i="13"/>
  <c r="G74" i="13"/>
  <c r="K73" i="13"/>
  <c r="I73" i="13"/>
  <c r="G73" i="13"/>
  <c r="K72" i="13"/>
  <c r="I72" i="13"/>
  <c r="G72" i="13"/>
  <c r="K71" i="13"/>
  <c r="I71" i="13"/>
  <c r="G71" i="13"/>
  <c r="K70" i="13"/>
  <c r="I70" i="13"/>
  <c r="G70" i="13"/>
  <c r="K69" i="13"/>
  <c r="I69" i="13"/>
  <c r="G69" i="13"/>
  <c r="K68" i="13"/>
  <c r="I68" i="13"/>
  <c r="G68" i="13"/>
  <c r="K67" i="13"/>
  <c r="I67" i="13"/>
  <c r="G67" i="13"/>
  <c r="K66" i="13"/>
  <c r="I66" i="13"/>
  <c r="G66" i="13"/>
  <c r="K65" i="13"/>
  <c r="I65" i="13"/>
  <c r="G65" i="13"/>
  <c r="K64" i="13"/>
  <c r="I64" i="13"/>
  <c r="G64" i="13"/>
  <c r="K63" i="13"/>
  <c r="I63" i="13"/>
  <c r="G63" i="13"/>
  <c r="K62" i="13"/>
  <c r="I62" i="13"/>
  <c r="G62" i="13"/>
  <c r="K61" i="13"/>
  <c r="I61" i="13"/>
  <c r="G61" i="13"/>
  <c r="K60" i="13"/>
  <c r="I60" i="13"/>
  <c r="G60" i="13"/>
  <c r="K59" i="13"/>
  <c r="I59" i="13"/>
  <c r="G59" i="13"/>
  <c r="K58" i="13"/>
  <c r="I58" i="13"/>
  <c r="G58" i="13"/>
  <c r="K57" i="13"/>
  <c r="I57" i="13"/>
  <c r="G57" i="13"/>
  <c r="K56" i="13"/>
  <c r="I56" i="13"/>
  <c r="G56" i="13"/>
  <c r="K55" i="13"/>
  <c r="I55" i="13"/>
  <c r="G55" i="13"/>
  <c r="K54" i="13"/>
  <c r="I54" i="13"/>
  <c r="G54" i="13"/>
  <c r="K53" i="13"/>
  <c r="I53" i="13"/>
  <c r="G53" i="13"/>
  <c r="K52" i="13"/>
  <c r="I52" i="13"/>
  <c r="G52" i="13"/>
  <c r="K51" i="13"/>
  <c r="I51" i="13"/>
  <c r="G51" i="13"/>
  <c r="K50" i="13"/>
  <c r="I50" i="13"/>
  <c r="G50" i="13"/>
  <c r="K49" i="13"/>
  <c r="I49" i="13"/>
  <c r="G49" i="13"/>
  <c r="K48" i="13"/>
  <c r="I48" i="13"/>
  <c r="G48" i="13"/>
  <c r="K47" i="13"/>
  <c r="I47" i="13"/>
  <c r="G47" i="13"/>
  <c r="K46" i="13"/>
  <c r="I46" i="13"/>
  <c r="G46" i="13"/>
  <c r="K45" i="13"/>
  <c r="I45" i="13"/>
  <c r="G45" i="13"/>
  <c r="K44" i="13"/>
  <c r="I44" i="13"/>
  <c r="G44" i="13"/>
  <c r="K43" i="13"/>
  <c r="I43" i="13"/>
  <c r="G43" i="13"/>
  <c r="K42" i="13"/>
  <c r="I42" i="13"/>
  <c r="G42" i="13"/>
  <c r="K41" i="13"/>
  <c r="I41" i="13"/>
  <c r="G41" i="13"/>
  <c r="K40" i="13"/>
  <c r="I40" i="13"/>
  <c r="G40" i="13"/>
  <c r="K39" i="13"/>
  <c r="I39" i="13"/>
  <c r="G39" i="13"/>
  <c r="K38" i="13"/>
  <c r="I38" i="13"/>
  <c r="G38" i="13"/>
  <c r="K37" i="13"/>
  <c r="I37" i="13"/>
  <c r="G37" i="13"/>
  <c r="K36" i="13"/>
  <c r="I36" i="13"/>
  <c r="G36" i="13"/>
  <c r="K35" i="13"/>
  <c r="I35" i="13"/>
  <c r="G35" i="13"/>
  <c r="K34" i="13"/>
  <c r="I34" i="13"/>
  <c r="G34" i="13"/>
  <c r="K33" i="13"/>
  <c r="I33" i="13"/>
  <c r="G33" i="13"/>
  <c r="K32" i="13"/>
  <c r="I32" i="13"/>
  <c r="G32" i="13"/>
  <c r="K31" i="13"/>
  <c r="I31" i="13"/>
  <c r="G31" i="13"/>
  <c r="K30" i="13"/>
  <c r="I30" i="13"/>
  <c r="G30" i="13"/>
  <c r="K29" i="13"/>
  <c r="I29" i="13"/>
  <c r="G29" i="13"/>
  <c r="K28" i="13"/>
  <c r="I28" i="13"/>
  <c r="G28" i="13"/>
  <c r="K27" i="13"/>
  <c r="I27" i="13"/>
  <c r="G27" i="13"/>
  <c r="K26" i="13"/>
  <c r="I26" i="13"/>
  <c r="G26" i="13"/>
  <c r="K25" i="13"/>
  <c r="I25" i="13"/>
  <c r="G25" i="13"/>
  <c r="K24" i="13"/>
  <c r="I24" i="13"/>
  <c r="G24" i="13"/>
  <c r="K23" i="13"/>
  <c r="I23" i="13"/>
  <c r="G23" i="13"/>
  <c r="K22" i="13"/>
  <c r="I22" i="13"/>
  <c r="G22" i="13"/>
  <c r="K21" i="13"/>
  <c r="I21" i="13"/>
  <c r="G21" i="13"/>
  <c r="K20" i="13"/>
  <c r="I20" i="13"/>
  <c r="G20" i="13"/>
  <c r="K19" i="13"/>
  <c r="I19" i="13"/>
  <c r="G19" i="13"/>
  <c r="K18" i="13"/>
  <c r="I18" i="13"/>
  <c r="G18" i="13"/>
  <c r="K17" i="13"/>
  <c r="I17" i="13"/>
  <c r="G17" i="13"/>
  <c r="K16" i="13"/>
  <c r="I16" i="13"/>
  <c r="G16" i="13"/>
  <c r="K15" i="13"/>
  <c r="I15" i="13"/>
  <c r="G15" i="13"/>
  <c r="K14" i="13"/>
  <c r="I14" i="13"/>
  <c r="G14" i="13"/>
  <c r="K13" i="13"/>
  <c r="I13" i="13"/>
  <c r="G13" i="13"/>
  <c r="K12" i="13"/>
  <c r="I12" i="13"/>
  <c r="G12" i="13"/>
  <c r="K11" i="13"/>
  <c r="I11" i="13"/>
  <c r="G11" i="13"/>
  <c r="K10" i="13"/>
  <c r="I10" i="13"/>
  <c r="G10" i="13"/>
  <c r="K214" i="12"/>
  <c r="L214" i="12" s="1"/>
  <c r="I214" i="12"/>
  <c r="G214" i="12"/>
  <c r="K216" i="12"/>
  <c r="I216" i="12"/>
  <c r="G216" i="12"/>
  <c r="K215" i="12"/>
  <c r="I215" i="12"/>
  <c r="G215" i="12"/>
  <c r="K213" i="12"/>
  <c r="I213" i="12"/>
  <c r="G213" i="12"/>
  <c r="K212" i="12"/>
  <c r="I212" i="12"/>
  <c r="G212" i="12"/>
  <c r="K211" i="12"/>
  <c r="I211" i="12"/>
  <c r="G211" i="12"/>
  <c r="K210" i="12"/>
  <c r="I210" i="12"/>
  <c r="G210" i="12"/>
  <c r="K209" i="12"/>
  <c r="I209" i="12"/>
  <c r="G209" i="12"/>
  <c r="K208" i="12"/>
  <c r="I208" i="12"/>
  <c r="G208" i="12"/>
  <c r="K207" i="12"/>
  <c r="I207" i="12"/>
  <c r="G207" i="12"/>
  <c r="K206" i="12"/>
  <c r="I206" i="12"/>
  <c r="G206" i="12"/>
  <c r="K205" i="12"/>
  <c r="I205" i="12"/>
  <c r="G205" i="12"/>
  <c r="K204" i="12"/>
  <c r="I204" i="12"/>
  <c r="G204" i="12"/>
  <c r="K203" i="12"/>
  <c r="I203" i="12"/>
  <c r="G203" i="12"/>
  <c r="K202" i="12"/>
  <c r="I202" i="12"/>
  <c r="G202" i="12"/>
  <c r="K201" i="12"/>
  <c r="I201" i="12"/>
  <c r="G201" i="12"/>
  <c r="K200" i="12"/>
  <c r="I200" i="12"/>
  <c r="G200" i="12"/>
  <c r="K199" i="12"/>
  <c r="I199" i="12"/>
  <c r="G199" i="12"/>
  <c r="K198" i="12"/>
  <c r="I198" i="12"/>
  <c r="G198" i="12"/>
  <c r="K197" i="12"/>
  <c r="I197" i="12"/>
  <c r="G197" i="12"/>
  <c r="K196" i="12"/>
  <c r="I196" i="12"/>
  <c r="G196" i="12"/>
  <c r="K195" i="12"/>
  <c r="I195" i="12"/>
  <c r="G195" i="12"/>
  <c r="K194" i="12"/>
  <c r="I194" i="12"/>
  <c r="G194" i="12"/>
  <c r="K193" i="12"/>
  <c r="I193" i="12"/>
  <c r="G193" i="12"/>
  <c r="K192" i="12"/>
  <c r="I192" i="12"/>
  <c r="G192" i="12"/>
  <c r="K191" i="12"/>
  <c r="I191" i="12"/>
  <c r="G191" i="12"/>
  <c r="K190" i="12"/>
  <c r="I190" i="12"/>
  <c r="G190" i="12"/>
  <c r="K189" i="12"/>
  <c r="I189" i="12"/>
  <c r="G189" i="12"/>
  <c r="K188" i="12"/>
  <c r="I188" i="12"/>
  <c r="G188" i="12"/>
  <c r="K187" i="12"/>
  <c r="I187" i="12"/>
  <c r="G187" i="12"/>
  <c r="K186" i="12"/>
  <c r="I186" i="12"/>
  <c r="G186" i="12"/>
  <c r="K185" i="12"/>
  <c r="I185" i="12"/>
  <c r="G185" i="12"/>
  <c r="K184" i="12"/>
  <c r="I184" i="12"/>
  <c r="G184" i="12"/>
  <c r="K183" i="12"/>
  <c r="I183" i="12"/>
  <c r="G183" i="12"/>
  <c r="K182" i="12"/>
  <c r="I182" i="12"/>
  <c r="G182" i="12"/>
  <c r="K181" i="12"/>
  <c r="I181" i="12"/>
  <c r="G181" i="12"/>
  <c r="K180" i="12"/>
  <c r="I180" i="12"/>
  <c r="G180" i="12"/>
  <c r="K179" i="12"/>
  <c r="I179" i="12"/>
  <c r="G179" i="12"/>
  <c r="K178" i="12"/>
  <c r="I178" i="12"/>
  <c r="G178" i="12"/>
  <c r="K177" i="12"/>
  <c r="I177" i="12"/>
  <c r="G177" i="12"/>
  <c r="K176" i="12"/>
  <c r="I176" i="12"/>
  <c r="G176" i="12"/>
  <c r="K175" i="12"/>
  <c r="I175" i="12"/>
  <c r="G175" i="12"/>
  <c r="K174" i="12"/>
  <c r="I174" i="12"/>
  <c r="G174" i="12"/>
  <c r="K173" i="12"/>
  <c r="I173" i="12"/>
  <c r="G173" i="12"/>
  <c r="K172" i="12"/>
  <c r="I172" i="12"/>
  <c r="G172" i="12"/>
  <c r="K171" i="12"/>
  <c r="I171" i="12"/>
  <c r="G171" i="12"/>
  <c r="K170" i="12"/>
  <c r="I170" i="12"/>
  <c r="G170" i="12"/>
  <c r="K169" i="12"/>
  <c r="I169" i="12"/>
  <c r="G169" i="12"/>
  <c r="K168" i="12"/>
  <c r="I168" i="12"/>
  <c r="G168" i="12"/>
  <c r="K167" i="12"/>
  <c r="I167" i="12"/>
  <c r="G167" i="12"/>
  <c r="K166" i="12"/>
  <c r="I166" i="12"/>
  <c r="G166" i="12"/>
  <c r="K165" i="12"/>
  <c r="I165" i="12"/>
  <c r="G165" i="12"/>
  <c r="K164" i="12"/>
  <c r="I164" i="12"/>
  <c r="G164" i="12"/>
  <c r="K163" i="12"/>
  <c r="I163" i="12"/>
  <c r="G163" i="12"/>
  <c r="K162" i="12"/>
  <c r="I162" i="12"/>
  <c r="G162" i="12"/>
  <c r="K161" i="12"/>
  <c r="I161" i="12"/>
  <c r="G161" i="12"/>
  <c r="K160" i="12"/>
  <c r="I160" i="12"/>
  <c r="G160" i="12"/>
  <c r="K159" i="12"/>
  <c r="I159" i="12"/>
  <c r="G159" i="12"/>
  <c r="K158" i="12"/>
  <c r="I158" i="12"/>
  <c r="G158" i="12"/>
  <c r="K157" i="12"/>
  <c r="I157" i="12"/>
  <c r="G157" i="12"/>
  <c r="K156" i="12"/>
  <c r="I156" i="12"/>
  <c r="G156" i="12"/>
  <c r="K155" i="12"/>
  <c r="I155" i="12"/>
  <c r="G155" i="12"/>
  <c r="K154" i="12"/>
  <c r="I154" i="12"/>
  <c r="G154" i="12"/>
  <c r="K153" i="12"/>
  <c r="I153" i="12"/>
  <c r="G153" i="12"/>
  <c r="K152" i="12"/>
  <c r="I152" i="12"/>
  <c r="G152" i="12"/>
  <c r="K151" i="12"/>
  <c r="I151" i="12"/>
  <c r="G151" i="12"/>
  <c r="K150" i="12"/>
  <c r="I150" i="12"/>
  <c r="G150" i="12"/>
  <c r="K149" i="12"/>
  <c r="I149" i="12"/>
  <c r="G149" i="12"/>
  <c r="K148" i="12"/>
  <c r="I148" i="12"/>
  <c r="G148" i="12"/>
  <c r="K147" i="12"/>
  <c r="I147" i="12"/>
  <c r="G147" i="12"/>
  <c r="K146" i="12"/>
  <c r="I146" i="12"/>
  <c r="G146" i="12"/>
  <c r="K145" i="12"/>
  <c r="I145" i="12"/>
  <c r="G145" i="12"/>
  <c r="K144" i="12"/>
  <c r="I144" i="12"/>
  <c r="G144" i="12"/>
  <c r="K143" i="12"/>
  <c r="I143" i="12"/>
  <c r="G143" i="12"/>
  <c r="K142" i="12"/>
  <c r="I142" i="12"/>
  <c r="G142" i="12"/>
  <c r="K141" i="12"/>
  <c r="I141" i="12"/>
  <c r="G141" i="12"/>
  <c r="K140" i="12"/>
  <c r="I140" i="12"/>
  <c r="G140" i="12"/>
  <c r="K139" i="12"/>
  <c r="I139" i="12"/>
  <c r="G139" i="12"/>
  <c r="K138" i="12"/>
  <c r="I138" i="12"/>
  <c r="G138" i="12"/>
  <c r="K137" i="12"/>
  <c r="I137" i="12"/>
  <c r="G137" i="12"/>
  <c r="K136" i="12"/>
  <c r="I136" i="12"/>
  <c r="G136" i="12"/>
  <c r="K135" i="12"/>
  <c r="I135" i="12"/>
  <c r="G135" i="12"/>
  <c r="K134" i="12"/>
  <c r="I134" i="12"/>
  <c r="G134" i="12"/>
  <c r="K133" i="12"/>
  <c r="I133" i="12"/>
  <c r="G133" i="12"/>
  <c r="K132" i="12"/>
  <c r="I132" i="12"/>
  <c r="G132" i="12"/>
  <c r="K131" i="12"/>
  <c r="I131" i="12"/>
  <c r="G131" i="12"/>
  <c r="K130" i="12"/>
  <c r="I130" i="12"/>
  <c r="G130" i="12"/>
  <c r="K129" i="12"/>
  <c r="I129" i="12"/>
  <c r="G129" i="12"/>
  <c r="K128" i="12"/>
  <c r="I128" i="12"/>
  <c r="G128" i="12"/>
  <c r="K127" i="12"/>
  <c r="I127" i="12"/>
  <c r="G127" i="12"/>
  <c r="K126" i="12"/>
  <c r="I126" i="12"/>
  <c r="G126" i="12"/>
  <c r="K125" i="12"/>
  <c r="I125" i="12"/>
  <c r="G125" i="12"/>
  <c r="K124" i="12"/>
  <c r="I124" i="12"/>
  <c r="G124" i="12"/>
  <c r="K123" i="12"/>
  <c r="I123" i="12"/>
  <c r="G123" i="12"/>
  <c r="K122" i="12"/>
  <c r="I122" i="12"/>
  <c r="G122" i="12"/>
  <c r="K121" i="12"/>
  <c r="I121" i="12"/>
  <c r="G121" i="12"/>
  <c r="K120" i="12"/>
  <c r="I120" i="12"/>
  <c r="G120" i="12"/>
  <c r="K119" i="12"/>
  <c r="I119" i="12"/>
  <c r="G119" i="12"/>
  <c r="K118" i="12"/>
  <c r="I118" i="12"/>
  <c r="G118" i="12"/>
  <c r="K117" i="12"/>
  <c r="I117" i="12"/>
  <c r="G117" i="12"/>
  <c r="K116" i="12"/>
  <c r="I116" i="12"/>
  <c r="G116" i="12"/>
  <c r="K115" i="12"/>
  <c r="I115" i="12"/>
  <c r="G115" i="12"/>
  <c r="K114" i="12"/>
  <c r="I114" i="12"/>
  <c r="G114" i="12"/>
  <c r="K113" i="12"/>
  <c r="I113" i="12"/>
  <c r="G113" i="12"/>
  <c r="K112" i="12"/>
  <c r="I112" i="12"/>
  <c r="G112" i="12"/>
  <c r="K111" i="12"/>
  <c r="I111" i="12"/>
  <c r="G111" i="12"/>
  <c r="K110" i="12"/>
  <c r="I110" i="12"/>
  <c r="G110" i="12"/>
  <c r="K109" i="12"/>
  <c r="I109" i="12"/>
  <c r="G109" i="12"/>
  <c r="K108" i="12"/>
  <c r="I108" i="12"/>
  <c r="G108" i="12"/>
  <c r="K107" i="12"/>
  <c r="I107" i="12"/>
  <c r="G107" i="12"/>
  <c r="K106" i="12"/>
  <c r="I106" i="12"/>
  <c r="G106" i="12"/>
  <c r="K105" i="12"/>
  <c r="I105" i="12"/>
  <c r="G105" i="12"/>
  <c r="K104" i="12"/>
  <c r="I104" i="12"/>
  <c r="G104" i="12"/>
  <c r="K103" i="12"/>
  <c r="I103" i="12"/>
  <c r="G103" i="12"/>
  <c r="K102" i="12"/>
  <c r="I102" i="12"/>
  <c r="G102" i="12"/>
  <c r="K101" i="12"/>
  <c r="I101" i="12"/>
  <c r="G101" i="12"/>
  <c r="K100" i="12"/>
  <c r="I100" i="12"/>
  <c r="G100" i="12"/>
  <c r="K99" i="12"/>
  <c r="I99" i="12"/>
  <c r="G99" i="12"/>
  <c r="K98" i="12"/>
  <c r="I98" i="12"/>
  <c r="G98" i="12"/>
  <c r="K97" i="12"/>
  <c r="I97" i="12"/>
  <c r="G97" i="12"/>
  <c r="K96" i="12"/>
  <c r="I96" i="12"/>
  <c r="G96" i="12"/>
  <c r="K95" i="12"/>
  <c r="I95" i="12"/>
  <c r="G95" i="12"/>
  <c r="K94" i="12"/>
  <c r="I94" i="12"/>
  <c r="G94" i="12"/>
  <c r="K93" i="12"/>
  <c r="I93" i="12"/>
  <c r="G93" i="12"/>
  <c r="K92" i="12"/>
  <c r="I92" i="12"/>
  <c r="G92" i="12"/>
  <c r="K91" i="12"/>
  <c r="I91" i="12"/>
  <c r="G91" i="12"/>
  <c r="K90" i="12"/>
  <c r="L90" i="12" s="1"/>
  <c r="I90" i="12"/>
  <c r="G90" i="12"/>
  <c r="K89" i="12"/>
  <c r="I89" i="12"/>
  <c r="G89" i="12"/>
  <c r="K88" i="12"/>
  <c r="I88" i="12"/>
  <c r="G88" i="12"/>
  <c r="K87" i="12"/>
  <c r="I87" i="12"/>
  <c r="G87" i="12"/>
  <c r="K86" i="12"/>
  <c r="I86" i="12"/>
  <c r="G86" i="12"/>
  <c r="K85" i="12"/>
  <c r="I85" i="12"/>
  <c r="G85" i="12"/>
  <c r="K84" i="12"/>
  <c r="I84" i="12"/>
  <c r="G84" i="12"/>
  <c r="K83" i="12"/>
  <c r="I83" i="12"/>
  <c r="G83" i="12"/>
  <c r="K82" i="12"/>
  <c r="I82" i="12"/>
  <c r="G82" i="12"/>
  <c r="K81" i="12"/>
  <c r="I81" i="12"/>
  <c r="G81" i="12"/>
  <c r="K80" i="12"/>
  <c r="I80" i="12"/>
  <c r="G80" i="12"/>
  <c r="K79" i="12"/>
  <c r="I79" i="12"/>
  <c r="G79" i="12"/>
  <c r="K78" i="12"/>
  <c r="I78" i="12"/>
  <c r="G78" i="12"/>
  <c r="K77" i="12"/>
  <c r="I77" i="12"/>
  <c r="G77" i="12"/>
  <c r="K76" i="12"/>
  <c r="I76" i="12"/>
  <c r="G76" i="12"/>
  <c r="K75" i="12"/>
  <c r="I75" i="12"/>
  <c r="G75" i="12"/>
  <c r="K74" i="12"/>
  <c r="I74" i="12"/>
  <c r="G74" i="12"/>
  <c r="K73" i="12"/>
  <c r="I73" i="12"/>
  <c r="G73" i="12"/>
  <c r="K72" i="12"/>
  <c r="I72" i="12"/>
  <c r="G72" i="12"/>
  <c r="K71" i="12"/>
  <c r="I71" i="12"/>
  <c r="G71" i="12"/>
  <c r="K70" i="12"/>
  <c r="I70" i="12"/>
  <c r="G70" i="12"/>
  <c r="K69" i="12"/>
  <c r="I69" i="12"/>
  <c r="G69" i="12"/>
  <c r="K68" i="12"/>
  <c r="I68" i="12"/>
  <c r="G68" i="12"/>
  <c r="K67" i="12"/>
  <c r="I67" i="12"/>
  <c r="G67" i="12"/>
  <c r="K66" i="12"/>
  <c r="I66" i="12"/>
  <c r="G66" i="12"/>
  <c r="K65" i="12"/>
  <c r="I65" i="12"/>
  <c r="G65" i="12"/>
  <c r="K64" i="12"/>
  <c r="I64" i="12"/>
  <c r="G64" i="12"/>
  <c r="K63" i="12"/>
  <c r="I63" i="12"/>
  <c r="G63" i="12"/>
  <c r="K62" i="12"/>
  <c r="I62" i="12"/>
  <c r="G62" i="12"/>
  <c r="K61" i="12"/>
  <c r="I61" i="12"/>
  <c r="G61" i="12"/>
  <c r="K60" i="12"/>
  <c r="I60" i="12"/>
  <c r="G60" i="12"/>
  <c r="K59" i="12"/>
  <c r="I59" i="12"/>
  <c r="G59" i="12"/>
  <c r="K58" i="12"/>
  <c r="I58" i="12"/>
  <c r="G58" i="12"/>
  <c r="K57" i="12"/>
  <c r="I57" i="12"/>
  <c r="G57" i="12"/>
  <c r="K56" i="12"/>
  <c r="I56" i="12"/>
  <c r="G56" i="12"/>
  <c r="K55" i="12"/>
  <c r="I55" i="12"/>
  <c r="G55" i="12"/>
  <c r="K54" i="12"/>
  <c r="I54" i="12"/>
  <c r="G54" i="12"/>
  <c r="K53" i="12"/>
  <c r="I53" i="12"/>
  <c r="G53" i="12"/>
  <c r="K52" i="12"/>
  <c r="I52" i="12"/>
  <c r="G52" i="12"/>
  <c r="K51" i="12"/>
  <c r="I51" i="12"/>
  <c r="G51" i="12"/>
  <c r="K50" i="12"/>
  <c r="I50" i="12"/>
  <c r="G50" i="12"/>
  <c r="K49" i="12"/>
  <c r="I49" i="12"/>
  <c r="G49" i="12"/>
  <c r="K48" i="12"/>
  <c r="I48" i="12"/>
  <c r="G48" i="12"/>
  <c r="K47" i="12"/>
  <c r="I47" i="12"/>
  <c r="G47" i="12"/>
  <c r="K46" i="12"/>
  <c r="I46" i="12"/>
  <c r="G46" i="12"/>
  <c r="K45" i="12"/>
  <c r="I45" i="12"/>
  <c r="G45" i="12"/>
  <c r="K44" i="12"/>
  <c r="I44" i="12"/>
  <c r="G44" i="12"/>
  <c r="K43" i="12"/>
  <c r="I43" i="12"/>
  <c r="G43" i="12"/>
  <c r="K42" i="12"/>
  <c r="I42" i="12"/>
  <c r="G42" i="12"/>
  <c r="K41" i="12"/>
  <c r="I41" i="12"/>
  <c r="G41" i="12"/>
  <c r="K40" i="12"/>
  <c r="I40" i="12"/>
  <c r="G40" i="12"/>
  <c r="K39" i="12"/>
  <c r="I39" i="12"/>
  <c r="G39" i="12"/>
  <c r="K38" i="12"/>
  <c r="I38" i="12"/>
  <c r="G38" i="12"/>
  <c r="K37" i="12"/>
  <c r="I37" i="12"/>
  <c r="G37" i="12"/>
  <c r="K36" i="12"/>
  <c r="I36" i="12"/>
  <c r="G36" i="12"/>
  <c r="K35" i="12"/>
  <c r="I35" i="12"/>
  <c r="G35" i="12"/>
  <c r="K34" i="12"/>
  <c r="I34" i="12"/>
  <c r="G34" i="12"/>
  <c r="K33" i="12"/>
  <c r="I33" i="12"/>
  <c r="G33" i="12"/>
  <c r="K32" i="12"/>
  <c r="I32" i="12"/>
  <c r="G32" i="12"/>
  <c r="K31" i="12"/>
  <c r="I31" i="12"/>
  <c r="G31" i="12"/>
  <c r="K30" i="12"/>
  <c r="I30" i="12"/>
  <c r="G30" i="12"/>
  <c r="K29" i="12"/>
  <c r="I29" i="12"/>
  <c r="G29" i="12"/>
  <c r="K28" i="12"/>
  <c r="I28" i="12"/>
  <c r="G28" i="12"/>
  <c r="K27" i="12"/>
  <c r="I27" i="12"/>
  <c r="G27" i="12"/>
  <c r="K26" i="12"/>
  <c r="I26" i="12"/>
  <c r="G26" i="12"/>
  <c r="K25" i="12"/>
  <c r="I25" i="12"/>
  <c r="G25" i="12"/>
  <c r="K24" i="12"/>
  <c r="I24" i="12"/>
  <c r="G24" i="12"/>
  <c r="K23" i="12"/>
  <c r="I23" i="12"/>
  <c r="G23" i="12"/>
  <c r="K22" i="12"/>
  <c r="I22" i="12"/>
  <c r="G22" i="12"/>
  <c r="K21" i="12"/>
  <c r="I21" i="12"/>
  <c r="G21" i="12"/>
  <c r="K20" i="12"/>
  <c r="I20" i="12"/>
  <c r="G20" i="12"/>
  <c r="K19" i="12"/>
  <c r="I19" i="12"/>
  <c r="G19" i="12"/>
  <c r="K18" i="12"/>
  <c r="I18" i="12"/>
  <c r="G18" i="12"/>
  <c r="K17" i="12"/>
  <c r="I17" i="12"/>
  <c r="G17" i="12"/>
  <c r="K16" i="12"/>
  <c r="I16" i="12"/>
  <c r="G16" i="12"/>
  <c r="K15" i="12"/>
  <c r="I15" i="12"/>
  <c r="G15" i="12"/>
  <c r="K14" i="12"/>
  <c r="I14" i="12"/>
  <c r="G14" i="12"/>
  <c r="K13" i="12"/>
  <c r="I13" i="12"/>
  <c r="G13" i="12"/>
  <c r="K12" i="12"/>
  <c r="I12" i="12"/>
  <c r="G12" i="12"/>
  <c r="K11" i="12"/>
  <c r="I11" i="12"/>
  <c r="G11" i="12"/>
  <c r="K10" i="12"/>
  <c r="I10" i="12"/>
  <c r="G10" i="12"/>
  <c r="K295" i="11"/>
  <c r="I295" i="11"/>
  <c r="G295" i="11"/>
  <c r="K294" i="11"/>
  <c r="I294" i="11"/>
  <c r="G294" i="11"/>
  <c r="K293" i="11"/>
  <c r="I293" i="11"/>
  <c r="G293" i="11"/>
  <c r="K292" i="11"/>
  <c r="I292" i="11"/>
  <c r="G292" i="11"/>
  <c r="K291" i="11"/>
  <c r="I291" i="11"/>
  <c r="G291" i="11"/>
  <c r="K290" i="11"/>
  <c r="I290" i="11"/>
  <c r="G290" i="11"/>
  <c r="K289" i="11"/>
  <c r="I289" i="11"/>
  <c r="G289" i="11"/>
  <c r="K288" i="11"/>
  <c r="I288" i="11"/>
  <c r="G288" i="11"/>
  <c r="K287" i="11"/>
  <c r="I287" i="11"/>
  <c r="G287" i="11"/>
  <c r="K286" i="11"/>
  <c r="I286" i="11"/>
  <c r="G286" i="11"/>
  <c r="K285" i="11"/>
  <c r="I285" i="11"/>
  <c r="G285" i="11"/>
  <c r="K284" i="11"/>
  <c r="I284" i="11"/>
  <c r="G284" i="11"/>
  <c r="K283" i="11"/>
  <c r="I283" i="11"/>
  <c r="G283" i="11"/>
  <c r="K282" i="11"/>
  <c r="I282" i="11"/>
  <c r="G282" i="11"/>
  <c r="K281" i="11"/>
  <c r="I281" i="11"/>
  <c r="G281" i="11"/>
  <c r="K280" i="11"/>
  <c r="I280" i="11"/>
  <c r="G280" i="11"/>
  <c r="K279" i="11"/>
  <c r="I279" i="11"/>
  <c r="G279" i="11"/>
  <c r="K278" i="11"/>
  <c r="I278" i="11"/>
  <c r="G278" i="11"/>
  <c r="K277" i="11"/>
  <c r="I277" i="11"/>
  <c r="G277" i="11"/>
  <c r="K276" i="11"/>
  <c r="I276" i="11"/>
  <c r="G276" i="11"/>
  <c r="K275" i="11"/>
  <c r="I275" i="11"/>
  <c r="G275" i="11"/>
  <c r="K274" i="11"/>
  <c r="I274" i="11"/>
  <c r="G274" i="11"/>
  <c r="K273" i="11"/>
  <c r="I273" i="11"/>
  <c r="G273" i="11"/>
  <c r="K272" i="11"/>
  <c r="I272" i="11"/>
  <c r="G272" i="11"/>
  <c r="K271" i="11"/>
  <c r="I271" i="11"/>
  <c r="G271" i="11"/>
  <c r="K270" i="11"/>
  <c r="I270" i="11"/>
  <c r="G270" i="11"/>
  <c r="K269" i="11"/>
  <c r="I269" i="11"/>
  <c r="G269" i="11"/>
  <c r="K268" i="11"/>
  <c r="I268" i="11"/>
  <c r="G268" i="11"/>
  <c r="K267" i="11"/>
  <c r="I267" i="11"/>
  <c r="G267" i="11"/>
  <c r="K266" i="11"/>
  <c r="I266" i="11"/>
  <c r="G266" i="11"/>
  <c r="K265" i="11"/>
  <c r="I265" i="11"/>
  <c r="G265" i="11"/>
  <c r="K264" i="11"/>
  <c r="I264" i="11"/>
  <c r="G264" i="11"/>
  <c r="K263" i="11"/>
  <c r="I263" i="11"/>
  <c r="G263" i="11"/>
  <c r="K262" i="11"/>
  <c r="I262" i="11"/>
  <c r="G262" i="11"/>
  <c r="K261" i="11"/>
  <c r="I261" i="11"/>
  <c r="G261" i="11"/>
  <c r="K260" i="11"/>
  <c r="I260" i="11"/>
  <c r="G260" i="11"/>
  <c r="K259" i="11"/>
  <c r="I259" i="11"/>
  <c r="G259" i="11"/>
  <c r="K258" i="11"/>
  <c r="I258" i="11"/>
  <c r="G258" i="11"/>
  <c r="K257" i="11"/>
  <c r="I257" i="11"/>
  <c r="G257" i="11"/>
  <c r="K256" i="11"/>
  <c r="I256" i="11"/>
  <c r="G256" i="11"/>
  <c r="K255" i="11"/>
  <c r="I255" i="11"/>
  <c r="G255" i="11"/>
  <c r="K254" i="11"/>
  <c r="I254" i="11"/>
  <c r="G254" i="11"/>
  <c r="K253" i="11"/>
  <c r="I253" i="11"/>
  <c r="G253" i="11"/>
  <c r="K252" i="11"/>
  <c r="I252" i="11"/>
  <c r="G252" i="11"/>
  <c r="K251" i="11"/>
  <c r="I251" i="11"/>
  <c r="G251" i="11"/>
  <c r="K250" i="11"/>
  <c r="I250" i="11"/>
  <c r="G250" i="11"/>
  <c r="K249" i="11"/>
  <c r="I249" i="11"/>
  <c r="G249" i="11"/>
  <c r="K248" i="11"/>
  <c r="I248" i="11"/>
  <c r="G248" i="11"/>
  <c r="K247" i="11"/>
  <c r="I247" i="11"/>
  <c r="G247" i="11"/>
  <c r="K246" i="11"/>
  <c r="I246" i="11"/>
  <c r="G246" i="11"/>
  <c r="K245" i="11"/>
  <c r="I245" i="11"/>
  <c r="G245" i="11"/>
  <c r="K244" i="11"/>
  <c r="I244" i="11"/>
  <c r="G244" i="11"/>
  <c r="K243" i="11"/>
  <c r="I243" i="11"/>
  <c r="G243" i="11"/>
  <c r="K242" i="11"/>
  <c r="I242" i="11"/>
  <c r="G242" i="11"/>
  <c r="K241" i="11"/>
  <c r="I241" i="11"/>
  <c r="G241" i="11"/>
  <c r="K240" i="11"/>
  <c r="I240" i="11"/>
  <c r="G240" i="11"/>
  <c r="K239" i="11"/>
  <c r="I239" i="11"/>
  <c r="G239" i="11"/>
  <c r="K238" i="11"/>
  <c r="I238" i="11"/>
  <c r="G238" i="11"/>
  <c r="K237" i="11"/>
  <c r="I237" i="11"/>
  <c r="G237" i="11"/>
  <c r="K236" i="11"/>
  <c r="I236" i="11"/>
  <c r="G236" i="11"/>
  <c r="K235" i="11"/>
  <c r="I235" i="11"/>
  <c r="G235" i="11"/>
  <c r="K234" i="11"/>
  <c r="I234" i="11"/>
  <c r="G234" i="11"/>
  <c r="K233" i="11"/>
  <c r="I233" i="11"/>
  <c r="G233" i="11"/>
  <c r="K232" i="11"/>
  <c r="I232" i="11"/>
  <c r="G232" i="11"/>
  <c r="K231" i="11"/>
  <c r="I231" i="11"/>
  <c r="G231" i="11"/>
  <c r="K230" i="11"/>
  <c r="I230" i="11"/>
  <c r="G230" i="11"/>
  <c r="K229" i="11"/>
  <c r="I229" i="11"/>
  <c r="G229" i="11"/>
  <c r="K228" i="11"/>
  <c r="I228" i="11"/>
  <c r="G228" i="11"/>
  <c r="K227" i="11"/>
  <c r="I227" i="11"/>
  <c r="G227" i="11"/>
  <c r="K226" i="11"/>
  <c r="I226" i="11"/>
  <c r="G226" i="11"/>
  <c r="K225" i="11"/>
  <c r="I225" i="11"/>
  <c r="G225" i="11"/>
  <c r="K224" i="11"/>
  <c r="I224" i="11"/>
  <c r="G224" i="11"/>
  <c r="K223" i="11"/>
  <c r="I223" i="11"/>
  <c r="G223" i="11"/>
  <c r="K222" i="11"/>
  <c r="I222" i="11"/>
  <c r="G222" i="11"/>
  <c r="K221" i="11"/>
  <c r="I221" i="11"/>
  <c r="G221" i="11"/>
  <c r="K220" i="11"/>
  <c r="I220" i="11"/>
  <c r="G220" i="11"/>
  <c r="K219" i="11"/>
  <c r="I219" i="11"/>
  <c r="G219" i="11"/>
  <c r="K218" i="11"/>
  <c r="I218" i="11"/>
  <c r="G218" i="11"/>
  <c r="K217" i="11"/>
  <c r="I217" i="11"/>
  <c r="G217" i="11"/>
  <c r="K216" i="11"/>
  <c r="I216" i="11"/>
  <c r="G216" i="11"/>
  <c r="K215" i="11"/>
  <c r="I215" i="11"/>
  <c r="G215" i="11"/>
  <c r="K214" i="11"/>
  <c r="I214" i="11"/>
  <c r="G214" i="11"/>
  <c r="K213" i="11"/>
  <c r="I213" i="11"/>
  <c r="G213" i="11"/>
  <c r="K212" i="11"/>
  <c r="I212" i="11"/>
  <c r="G212" i="11"/>
  <c r="K211" i="11"/>
  <c r="I211" i="11"/>
  <c r="G211" i="11"/>
  <c r="K210" i="11"/>
  <c r="I210" i="11"/>
  <c r="G210" i="11"/>
  <c r="K209" i="11"/>
  <c r="I209" i="11"/>
  <c r="G209" i="11"/>
  <c r="K208" i="11"/>
  <c r="I208" i="11"/>
  <c r="G208" i="11"/>
  <c r="K207" i="11"/>
  <c r="I207" i="11"/>
  <c r="L207" i="11" s="1"/>
  <c r="G207" i="11"/>
  <c r="K206" i="11"/>
  <c r="I206" i="11"/>
  <c r="G206" i="11"/>
  <c r="K205" i="11"/>
  <c r="I205" i="11"/>
  <c r="G205" i="11"/>
  <c r="K204" i="11"/>
  <c r="I204" i="11"/>
  <c r="G204" i="11"/>
  <c r="K203" i="11"/>
  <c r="I203" i="11"/>
  <c r="G203" i="11"/>
  <c r="K202" i="11"/>
  <c r="I202" i="11"/>
  <c r="G202" i="11"/>
  <c r="K201" i="11"/>
  <c r="I201" i="11"/>
  <c r="G201" i="11"/>
  <c r="K200" i="11"/>
  <c r="I200" i="11"/>
  <c r="G200" i="11"/>
  <c r="K199" i="11"/>
  <c r="I199" i="11"/>
  <c r="G199" i="11"/>
  <c r="K198" i="11"/>
  <c r="I198" i="11"/>
  <c r="G198" i="11"/>
  <c r="K197" i="11"/>
  <c r="I197" i="11"/>
  <c r="G197" i="11"/>
  <c r="K196" i="11"/>
  <c r="I196" i="11"/>
  <c r="G196" i="11"/>
  <c r="K195" i="11"/>
  <c r="I195" i="11"/>
  <c r="G195" i="11"/>
  <c r="K194" i="11"/>
  <c r="I194" i="11"/>
  <c r="G194" i="11"/>
  <c r="K193" i="11"/>
  <c r="I193" i="11"/>
  <c r="G193" i="11"/>
  <c r="K192" i="11"/>
  <c r="I192" i="11"/>
  <c r="G192" i="11"/>
  <c r="K191" i="11"/>
  <c r="I191" i="11"/>
  <c r="G191" i="11"/>
  <c r="K190" i="11"/>
  <c r="I190" i="11"/>
  <c r="G190" i="11"/>
  <c r="K189" i="11"/>
  <c r="I189" i="11"/>
  <c r="G189" i="11"/>
  <c r="K188" i="11"/>
  <c r="I188" i="11"/>
  <c r="G188" i="11"/>
  <c r="K187" i="11"/>
  <c r="I187" i="11"/>
  <c r="G187" i="11"/>
  <c r="K186" i="11"/>
  <c r="I186" i="11"/>
  <c r="G186" i="11"/>
  <c r="K185" i="11"/>
  <c r="I185" i="11"/>
  <c r="G185" i="11"/>
  <c r="K184" i="11"/>
  <c r="I184" i="11"/>
  <c r="G184" i="11"/>
  <c r="K183" i="11"/>
  <c r="I183" i="11"/>
  <c r="G183" i="11"/>
  <c r="K182" i="11"/>
  <c r="I182" i="11"/>
  <c r="G182" i="11"/>
  <c r="K181" i="11"/>
  <c r="I181" i="11"/>
  <c r="G181" i="11"/>
  <c r="K180" i="11"/>
  <c r="I180" i="11"/>
  <c r="G180" i="11"/>
  <c r="K179" i="11"/>
  <c r="I179" i="11"/>
  <c r="G179" i="11"/>
  <c r="K178" i="11"/>
  <c r="I178" i="11"/>
  <c r="G178" i="11"/>
  <c r="K177" i="11"/>
  <c r="I177" i="11"/>
  <c r="G177" i="11"/>
  <c r="K176" i="11"/>
  <c r="I176" i="11"/>
  <c r="G176" i="11"/>
  <c r="K175" i="11"/>
  <c r="I175" i="11"/>
  <c r="G175" i="11"/>
  <c r="K174" i="11"/>
  <c r="I174" i="11"/>
  <c r="G174" i="11"/>
  <c r="K173" i="11"/>
  <c r="I173" i="11"/>
  <c r="G173" i="11"/>
  <c r="K172" i="11"/>
  <c r="I172" i="11"/>
  <c r="G172" i="11"/>
  <c r="K171" i="11"/>
  <c r="I171" i="11"/>
  <c r="G171" i="11"/>
  <c r="K170" i="11"/>
  <c r="I170" i="11"/>
  <c r="G170" i="11"/>
  <c r="K169" i="11"/>
  <c r="I169" i="11"/>
  <c r="G169" i="11"/>
  <c r="K168" i="11"/>
  <c r="I168" i="11"/>
  <c r="G168" i="11"/>
  <c r="K167" i="11"/>
  <c r="I167" i="11"/>
  <c r="G167" i="11"/>
  <c r="K166" i="11"/>
  <c r="I166" i="11"/>
  <c r="G166" i="11"/>
  <c r="K165" i="11"/>
  <c r="I165" i="11"/>
  <c r="G165" i="11"/>
  <c r="K164" i="11"/>
  <c r="I164" i="11"/>
  <c r="G164" i="11"/>
  <c r="K163" i="11"/>
  <c r="I163" i="11"/>
  <c r="G163" i="11"/>
  <c r="K162" i="11"/>
  <c r="I162" i="11"/>
  <c r="G162" i="11"/>
  <c r="K161" i="11"/>
  <c r="I161" i="11"/>
  <c r="G161" i="11"/>
  <c r="K160" i="11"/>
  <c r="I160" i="11"/>
  <c r="G160" i="11"/>
  <c r="K159" i="11"/>
  <c r="I159" i="11"/>
  <c r="G159" i="11"/>
  <c r="K158" i="11"/>
  <c r="I158" i="11"/>
  <c r="G158" i="11"/>
  <c r="K157" i="11"/>
  <c r="I157" i="11"/>
  <c r="G157" i="11"/>
  <c r="K325" i="11"/>
  <c r="I325" i="11"/>
  <c r="G325" i="11"/>
  <c r="K324" i="11"/>
  <c r="I324" i="11"/>
  <c r="G324" i="11"/>
  <c r="K323" i="11"/>
  <c r="I323" i="11"/>
  <c r="G323" i="11"/>
  <c r="K322" i="11"/>
  <c r="I322" i="11"/>
  <c r="G322" i="11"/>
  <c r="K321" i="11"/>
  <c r="I321" i="11"/>
  <c r="G321" i="11"/>
  <c r="K320" i="11"/>
  <c r="I320" i="11"/>
  <c r="G320" i="11"/>
  <c r="K319" i="11"/>
  <c r="I319" i="11"/>
  <c r="G319" i="11"/>
  <c r="K318" i="11"/>
  <c r="I318" i="11"/>
  <c r="G318" i="11"/>
  <c r="K317" i="11"/>
  <c r="I317" i="11"/>
  <c r="G317" i="11"/>
  <c r="K316" i="11"/>
  <c r="I316" i="11"/>
  <c r="G316" i="11"/>
  <c r="K315" i="11"/>
  <c r="I315" i="11"/>
  <c r="G315" i="11"/>
  <c r="K314" i="11"/>
  <c r="I314" i="11"/>
  <c r="G314" i="11"/>
  <c r="K313" i="11"/>
  <c r="I313" i="11"/>
  <c r="G313" i="11"/>
  <c r="K312" i="11"/>
  <c r="I312" i="11"/>
  <c r="G312" i="11"/>
  <c r="K311" i="11"/>
  <c r="I311" i="11"/>
  <c r="G311" i="11"/>
  <c r="K310" i="11"/>
  <c r="I310" i="11"/>
  <c r="G310" i="11"/>
  <c r="K309" i="11"/>
  <c r="I309" i="11"/>
  <c r="G309" i="11"/>
  <c r="K308" i="11"/>
  <c r="I308" i="11"/>
  <c r="G308" i="11"/>
  <c r="K307" i="11"/>
  <c r="I307" i="11"/>
  <c r="G307" i="11"/>
  <c r="K306" i="11"/>
  <c r="I306" i="11"/>
  <c r="G306" i="11"/>
  <c r="K305" i="11"/>
  <c r="I305" i="11"/>
  <c r="G305" i="11"/>
  <c r="K304" i="11"/>
  <c r="I304" i="11"/>
  <c r="G304" i="11"/>
  <c r="K303" i="11"/>
  <c r="I303" i="11"/>
  <c r="G303" i="11"/>
  <c r="K302" i="11"/>
  <c r="I302" i="11"/>
  <c r="G302" i="11"/>
  <c r="K301" i="11"/>
  <c r="I301" i="11"/>
  <c r="G301" i="11"/>
  <c r="K300" i="11"/>
  <c r="I300" i="11"/>
  <c r="G300" i="11"/>
  <c r="K299" i="11"/>
  <c r="I299" i="11"/>
  <c r="G299" i="11"/>
  <c r="K298" i="11"/>
  <c r="I298" i="11"/>
  <c r="G298" i="11"/>
  <c r="K297" i="11"/>
  <c r="I297" i="11"/>
  <c r="G297" i="11"/>
  <c r="K296" i="11"/>
  <c r="I296" i="11"/>
  <c r="G296" i="11"/>
  <c r="K156" i="11"/>
  <c r="I156" i="11"/>
  <c r="G156" i="11"/>
  <c r="K155" i="11"/>
  <c r="I155" i="11"/>
  <c r="G155" i="11"/>
  <c r="K154" i="11"/>
  <c r="I154" i="11"/>
  <c r="G154" i="11"/>
  <c r="K153" i="11"/>
  <c r="I153" i="11"/>
  <c r="G153" i="11"/>
  <c r="K152" i="11"/>
  <c r="I152" i="11"/>
  <c r="G152" i="11"/>
  <c r="K151" i="11"/>
  <c r="I151" i="11"/>
  <c r="G151" i="11"/>
  <c r="K150" i="11"/>
  <c r="I150" i="11"/>
  <c r="G150" i="11"/>
  <c r="K149" i="11"/>
  <c r="I149" i="11"/>
  <c r="G149" i="11"/>
  <c r="K148" i="11"/>
  <c r="I148" i="11"/>
  <c r="G148" i="11"/>
  <c r="K147" i="11"/>
  <c r="I147" i="11"/>
  <c r="G147" i="11"/>
  <c r="K146" i="11"/>
  <c r="I146" i="11"/>
  <c r="G146" i="11"/>
  <c r="K145" i="11"/>
  <c r="I145" i="11"/>
  <c r="G145" i="11"/>
  <c r="K144" i="11"/>
  <c r="I144" i="11"/>
  <c r="G144" i="11"/>
  <c r="K143" i="11"/>
  <c r="I143" i="11"/>
  <c r="G143" i="11"/>
  <c r="K142" i="11"/>
  <c r="I142" i="11"/>
  <c r="G142" i="11"/>
  <c r="K141" i="11"/>
  <c r="I141" i="11"/>
  <c r="G141" i="11"/>
  <c r="K140" i="11"/>
  <c r="I140" i="11"/>
  <c r="G140" i="11"/>
  <c r="K139" i="11"/>
  <c r="I139" i="11"/>
  <c r="G139" i="11"/>
  <c r="K138" i="11"/>
  <c r="I138" i="11"/>
  <c r="G138" i="11"/>
  <c r="K137" i="11"/>
  <c r="I137" i="11"/>
  <c r="G137" i="11"/>
  <c r="K136" i="11"/>
  <c r="I136" i="11"/>
  <c r="G136" i="11"/>
  <c r="K135" i="11"/>
  <c r="I135" i="11"/>
  <c r="G135" i="11"/>
  <c r="K134" i="11"/>
  <c r="I134" i="11"/>
  <c r="G134" i="11"/>
  <c r="K133" i="11"/>
  <c r="I133" i="11"/>
  <c r="G133" i="11"/>
  <c r="K132" i="11"/>
  <c r="I132" i="11"/>
  <c r="G132" i="11"/>
  <c r="K131" i="11"/>
  <c r="I131" i="11"/>
  <c r="G131" i="11"/>
  <c r="K130" i="11"/>
  <c r="I130" i="11"/>
  <c r="G130" i="11"/>
  <c r="K129" i="11"/>
  <c r="I129" i="11"/>
  <c r="G129" i="11"/>
  <c r="K128" i="11"/>
  <c r="I128" i="11"/>
  <c r="G128" i="11"/>
  <c r="K127" i="11"/>
  <c r="I127" i="11"/>
  <c r="G127" i="11"/>
  <c r="K126" i="11"/>
  <c r="I126" i="11"/>
  <c r="G126" i="11"/>
  <c r="K125" i="11"/>
  <c r="I125" i="11"/>
  <c r="G125" i="11"/>
  <c r="K124" i="11"/>
  <c r="I124" i="11"/>
  <c r="G124" i="11"/>
  <c r="K56" i="11"/>
  <c r="I56" i="11"/>
  <c r="G56" i="11"/>
  <c r="K55" i="11"/>
  <c r="I55" i="11"/>
  <c r="G55" i="11"/>
  <c r="K54" i="11"/>
  <c r="I54" i="11"/>
  <c r="G54" i="11"/>
  <c r="K53" i="11"/>
  <c r="I53" i="11"/>
  <c r="G53" i="11"/>
  <c r="K52" i="11"/>
  <c r="I52" i="11"/>
  <c r="G52" i="11"/>
  <c r="K51" i="11"/>
  <c r="I51" i="11"/>
  <c r="G51" i="11"/>
  <c r="K50" i="11"/>
  <c r="I50" i="11"/>
  <c r="G50" i="11"/>
  <c r="K49" i="11"/>
  <c r="I49" i="11"/>
  <c r="G49" i="11"/>
  <c r="K48" i="11"/>
  <c r="I48" i="11"/>
  <c r="G48" i="11"/>
  <c r="K47" i="11"/>
  <c r="I47" i="11"/>
  <c r="G47" i="11"/>
  <c r="K46" i="11"/>
  <c r="I46" i="11"/>
  <c r="G46" i="11"/>
  <c r="K45" i="11"/>
  <c r="I45" i="11"/>
  <c r="G45" i="11"/>
  <c r="K44" i="11"/>
  <c r="I44" i="11"/>
  <c r="G44" i="11"/>
  <c r="K43" i="11"/>
  <c r="I43" i="11"/>
  <c r="G43" i="11"/>
  <c r="K42" i="11"/>
  <c r="I42" i="11"/>
  <c r="G42" i="11"/>
  <c r="K41" i="11"/>
  <c r="I41" i="11"/>
  <c r="G41" i="11"/>
  <c r="K40" i="11"/>
  <c r="I40" i="11"/>
  <c r="G40" i="11"/>
  <c r="K39" i="11"/>
  <c r="I39" i="11"/>
  <c r="G39" i="11"/>
  <c r="K38" i="11"/>
  <c r="I38" i="11"/>
  <c r="G38" i="11"/>
  <c r="K37" i="11"/>
  <c r="I37" i="11"/>
  <c r="G37" i="11"/>
  <c r="K36" i="11"/>
  <c r="I36" i="11"/>
  <c r="G36" i="11"/>
  <c r="K35" i="11"/>
  <c r="I35" i="11"/>
  <c r="G35" i="11"/>
  <c r="K34" i="11"/>
  <c r="I34" i="11"/>
  <c r="G34" i="11"/>
  <c r="K33" i="11"/>
  <c r="I33" i="11"/>
  <c r="G33" i="11"/>
  <c r="K32" i="11"/>
  <c r="I32" i="11"/>
  <c r="G32" i="11"/>
  <c r="K31" i="11"/>
  <c r="I31" i="11"/>
  <c r="G31" i="11"/>
  <c r="K30" i="11"/>
  <c r="I30" i="11"/>
  <c r="G30" i="11"/>
  <c r="K29" i="11"/>
  <c r="I29" i="11"/>
  <c r="G29" i="11"/>
  <c r="K28" i="11"/>
  <c r="I28" i="11"/>
  <c r="G28" i="11"/>
  <c r="K27" i="11"/>
  <c r="I27" i="11"/>
  <c r="G27" i="11"/>
  <c r="K26" i="11"/>
  <c r="I26" i="11"/>
  <c r="G26" i="11"/>
  <c r="K25" i="11"/>
  <c r="I25" i="11"/>
  <c r="G25" i="11"/>
  <c r="K24" i="11"/>
  <c r="I24" i="11"/>
  <c r="G24" i="11"/>
  <c r="K23" i="11"/>
  <c r="I23" i="11"/>
  <c r="G23" i="11"/>
  <c r="K22" i="11"/>
  <c r="I22" i="11"/>
  <c r="G22" i="11"/>
  <c r="K117" i="11"/>
  <c r="I117" i="11"/>
  <c r="G117" i="11"/>
  <c r="K116" i="11"/>
  <c r="I116" i="11"/>
  <c r="G116" i="11"/>
  <c r="K115" i="11"/>
  <c r="I115" i="11"/>
  <c r="G115" i="11"/>
  <c r="K114" i="11"/>
  <c r="I114" i="11"/>
  <c r="G114" i="11"/>
  <c r="K113" i="11"/>
  <c r="I113" i="11"/>
  <c r="G113" i="11"/>
  <c r="K112" i="11"/>
  <c r="I112" i="11"/>
  <c r="G112" i="11"/>
  <c r="K111" i="11"/>
  <c r="I111" i="11"/>
  <c r="G111" i="11"/>
  <c r="K110" i="11"/>
  <c r="I110" i="11"/>
  <c r="G110" i="11"/>
  <c r="K109" i="11"/>
  <c r="I109" i="11"/>
  <c r="G109" i="11"/>
  <c r="K108" i="11"/>
  <c r="I108" i="11"/>
  <c r="G108" i="11"/>
  <c r="K107" i="11"/>
  <c r="I107" i="11"/>
  <c r="G107" i="11"/>
  <c r="K106" i="11"/>
  <c r="I106" i="11"/>
  <c r="G106" i="11"/>
  <c r="K105" i="11"/>
  <c r="I105" i="11"/>
  <c r="G105" i="11"/>
  <c r="K104" i="11"/>
  <c r="I104" i="11"/>
  <c r="G104" i="11"/>
  <c r="K103" i="11"/>
  <c r="I103" i="11"/>
  <c r="G103" i="11"/>
  <c r="K102" i="11"/>
  <c r="I102" i="11"/>
  <c r="G102" i="11"/>
  <c r="K101" i="11"/>
  <c r="I101" i="11"/>
  <c r="G101" i="11"/>
  <c r="K100" i="11"/>
  <c r="I100" i="11"/>
  <c r="G100" i="11"/>
  <c r="K99" i="11"/>
  <c r="I99" i="11"/>
  <c r="G99" i="11"/>
  <c r="K98" i="11"/>
  <c r="I98" i="11"/>
  <c r="G98" i="11"/>
  <c r="K97" i="11"/>
  <c r="I97" i="11"/>
  <c r="G97" i="11"/>
  <c r="K96" i="11"/>
  <c r="I96" i="11"/>
  <c r="G96" i="11"/>
  <c r="K95" i="11"/>
  <c r="I95" i="11"/>
  <c r="G95" i="11"/>
  <c r="K94" i="11"/>
  <c r="I94" i="11"/>
  <c r="G94" i="11"/>
  <c r="K93" i="11"/>
  <c r="I93" i="11"/>
  <c r="G93" i="11"/>
  <c r="K92" i="11"/>
  <c r="I92" i="11"/>
  <c r="G92" i="11"/>
  <c r="K91" i="11"/>
  <c r="I91" i="11"/>
  <c r="G91" i="11"/>
  <c r="K90" i="11"/>
  <c r="I90" i="11"/>
  <c r="G90" i="11"/>
  <c r="K89" i="11"/>
  <c r="I89" i="11"/>
  <c r="G89" i="11"/>
  <c r="K88" i="11"/>
  <c r="I88" i="11"/>
  <c r="G88" i="11"/>
  <c r="K87" i="11"/>
  <c r="I87" i="11"/>
  <c r="G87" i="11"/>
  <c r="K86" i="11"/>
  <c r="I86" i="11"/>
  <c r="G86" i="11"/>
  <c r="K85" i="11"/>
  <c r="I85" i="11"/>
  <c r="G85" i="11"/>
  <c r="K84" i="11"/>
  <c r="I84" i="11"/>
  <c r="G84" i="11"/>
  <c r="K83" i="11"/>
  <c r="I83" i="11"/>
  <c r="G83" i="11"/>
  <c r="K82" i="11"/>
  <c r="I82" i="11"/>
  <c r="G82" i="11"/>
  <c r="K81" i="11"/>
  <c r="I81" i="11"/>
  <c r="G81" i="11"/>
  <c r="K80" i="11"/>
  <c r="I80" i="11"/>
  <c r="G80" i="11"/>
  <c r="K79" i="11"/>
  <c r="I79" i="11"/>
  <c r="G79" i="11"/>
  <c r="K78" i="11"/>
  <c r="I78" i="11"/>
  <c r="G78" i="11"/>
  <c r="K77" i="11"/>
  <c r="I77" i="11"/>
  <c r="G77" i="11"/>
  <c r="K76" i="11"/>
  <c r="I76" i="11"/>
  <c r="G76" i="11"/>
  <c r="K75" i="11"/>
  <c r="I75" i="11"/>
  <c r="G75" i="11"/>
  <c r="K74" i="11"/>
  <c r="I74" i="11"/>
  <c r="G74" i="11"/>
  <c r="K73" i="11"/>
  <c r="I73" i="11"/>
  <c r="G73" i="11"/>
  <c r="K72" i="11"/>
  <c r="I72" i="11"/>
  <c r="G72" i="11"/>
  <c r="K71" i="11"/>
  <c r="I71" i="11"/>
  <c r="G71" i="11"/>
  <c r="K70" i="11"/>
  <c r="I70" i="11"/>
  <c r="G70" i="11"/>
  <c r="K69" i="11"/>
  <c r="I69" i="11"/>
  <c r="G69" i="11"/>
  <c r="K68" i="11"/>
  <c r="I68" i="11"/>
  <c r="G68" i="11"/>
  <c r="K67" i="11"/>
  <c r="I67" i="11"/>
  <c r="G67" i="11"/>
  <c r="K66" i="11"/>
  <c r="I66" i="11"/>
  <c r="G66" i="11"/>
  <c r="K65" i="11"/>
  <c r="I65" i="11"/>
  <c r="G65" i="11"/>
  <c r="K64" i="11"/>
  <c r="I64" i="11"/>
  <c r="G64" i="11"/>
  <c r="K63" i="11"/>
  <c r="I63" i="11"/>
  <c r="G63" i="11"/>
  <c r="K62" i="11"/>
  <c r="I62" i="11"/>
  <c r="G62" i="11"/>
  <c r="K61" i="11"/>
  <c r="I61" i="11"/>
  <c r="G61" i="11"/>
  <c r="K60" i="11"/>
  <c r="I60" i="11"/>
  <c r="G60" i="11"/>
  <c r="K59" i="11"/>
  <c r="I59" i="11"/>
  <c r="G59" i="11"/>
  <c r="K58" i="11"/>
  <c r="I58" i="11"/>
  <c r="G58" i="11"/>
  <c r="K57" i="11"/>
  <c r="I57" i="11"/>
  <c r="G57" i="11"/>
  <c r="K21" i="11"/>
  <c r="I21" i="11"/>
  <c r="G21" i="11"/>
  <c r="K20" i="11"/>
  <c r="I20" i="11"/>
  <c r="G20" i="11"/>
  <c r="K19" i="11"/>
  <c r="I19" i="11"/>
  <c r="G19" i="11"/>
  <c r="K18" i="11"/>
  <c r="I18" i="11"/>
  <c r="G18" i="11"/>
  <c r="K17" i="11"/>
  <c r="I17" i="11"/>
  <c r="G17" i="11"/>
  <c r="K16" i="11"/>
  <c r="I16" i="11"/>
  <c r="G16" i="11"/>
  <c r="K15" i="11"/>
  <c r="I15" i="11"/>
  <c r="G15" i="11"/>
  <c r="K14" i="11"/>
  <c r="I14" i="11"/>
  <c r="G14" i="11"/>
  <c r="K13" i="11"/>
  <c r="I13" i="11"/>
  <c r="G13" i="11"/>
  <c r="K327" i="11"/>
  <c r="I327" i="11"/>
  <c r="G327" i="11"/>
  <c r="K326" i="11"/>
  <c r="I326" i="11"/>
  <c r="G326" i="11"/>
  <c r="K123" i="11"/>
  <c r="I123" i="11"/>
  <c r="G123" i="11"/>
  <c r="K122" i="11"/>
  <c r="I122" i="11"/>
  <c r="G122" i="11"/>
  <c r="K121" i="11"/>
  <c r="I121" i="11"/>
  <c r="G121" i="11"/>
  <c r="K120" i="11"/>
  <c r="I120" i="11"/>
  <c r="G120" i="11"/>
  <c r="K119" i="11"/>
  <c r="I119" i="11"/>
  <c r="G119" i="11"/>
  <c r="K118" i="11"/>
  <c r="I118" i="11"/>
  <c r="G118" i="11"/>
  <c r="K12" i="11"/>
  <c r="I12" i="11"/>
  <c r="G12" i="11"/>
  <c r="K11" i="11"/>
  <c r="I11" i="11"/>
  <c r="G11" i="11"/>
  <c r="K10" i="11"/>
  <c r="I10" i="11"/>
  <c r="G10" i="11"/>
  <c r="K51" i="10"/>
  <c r="I51" i="10"/>
  <c r="G51" i="10"/>
  <c r="K50" i="10"/>
  <c r="I50" i="10"/>
  <c r="G50" i="10"/>
  <c r="K49" i="10"/>
  <c r="I49" i="10"/>
  <c r="G49" i="10"/>
  <c r="K48" i="10"/>
  <c r="I48" i="10"/>
  <c r="G48" i="10"/>
  <c r="K47" i="10"/>
  <c r="I47" i="10"/>
  <c r="G47" i="10"/>
  <c r="K46" i="10"/>
  <c r="I46" i="10"/>
  <c r="G46" i="10"/>
  <c r="K45" i="10"/>
  <c r="I45" i="10"/>
  <c r="G45" i="10"/>
  <c r="K44" i="10"/>
  <c r="I44" i="10"/>
  <c r="G44" i="10"/>
  <c r="K43" i="10"/>
  <c r="I43" i="10"/>
  <c r="G43" i="10"/>
  <c r="K42" i="10"/>
  <c r="I42" i="10"/>
  <c r="G42" i="10"/>
  <c r="K41" i="10"/>
  <c r="I41" i="10"/>
  <c r="G41" i="10"/>
  <c r="K40" i="10"/>
  <c r="I40" i="10"/>
  <c r="G40" i="10"/>
  <c r="K39" i="10"/>
  <c r="I39" i="10"/>
  <c r="G39" i="10"/>
  <c r="K38" i="10"/>
  <c r="I38" i="10"/>
  <c r="G38" i="10"/>
  <c r="K37" i="10"/>
  <c r="I37" i="10"/>
  <c r="G37" i="10"/>
  <c r="K36" i="10"/>
  <c r="I36" i="10"/>
  <c r="G36" i="10"/>
  <c r="K35" i="10"/>
  <c r="I35" i="10"/>
  <c r="G35" i="10"/>
  <c r="K34" i="10"/>
  <c r="I34" i="10"/>
  <c r="G34" i="10"/>
  <c r="K33" i="10"/>
  <c r="I33" i="10"/>
  <c r="G33" i="10"/>
  <c r="K32" i="10"/>
  <c r="I32" i="10"/>
  <c r="G32" i="10"/>
  <c r="K31" i="10"/>
  <c r="I31" i="10"/>
  <c r="G31" i="10"/>
  <c r="K30" i="10"/>
  <c r="I30" i="10"/>
  <c r="G30" i="10"/>
  <c r="K29" i="10"/>
  <c r="I29" i="10"/>
  <c r="G29" i="10"/>
  <c r="K28" i="10"/>
  <c r="I28" i="10"/>
  <c r="G28" i="10"/>
  <c r="K27" i="10"/>
  <c r="I27" i="10"/>
  <c r="G27" i="10"/>
  <c r="K26" i="10"/>
  <c r="I26" i="10"/>
  <c r="G26" i="10"/>
  <c r="K25" i="10"/>
  <c r="I25" i="10"/>
  <c r="G25" i="10"/>
  <c r="K24" i="10"/>
  <c r="I24" i="10"/>
  <c r="G24" i="10"/>
  <c r="K23" i="10"/>
  <c r="I23" i="10"/>
  <c r="G23" i="10"/>
  <c r="K22" i="10"/>
  <c r="I22" i="10"/>
  <c r="G22" i="10"/>
  <c r="K21" i="10"/>
  <c r="I21" i="10"/>
  <c r="G21" i="10"/>
  <c r="K20" i="10"/>
  <c r="I20" i="10"/>
  <c r="G20" i="10"/>
  <c r="K19" i="10"/>
  <c r="I19" i="10"/>
  <c r="G19" i="10"/>
  <c r="K18" i="10"/>
  <c r="I18" i="10"/>
  <c r="G18" i="10"/>
  <c r="K17" i="10"/>
  <c r="I17" i="10"/>
  <c r="G17" i="10"/>
  <c r="K16" i="10"/>
  <c r="I16" i="10"/>
  <c r="G16" i="10"/>
  <c r="K15" i="10"/>
  <c r="I15" i="10"/>
  <c r="G15" i="10"/>
  <c r="K14" i="10"/>
  <c r="I14" i="10"/>
  <c r="G14" i="10"/>
  <c r="K13" i="10"/>
  <c r="I13" i="10"/>
  <c r="G13" i="10"/>
  <c r="K12" i="10"/>
  <c r="I12" i="10"/>
  <c r="G12" i="10"/>
  <c r="K11" i="10"/>
  <c r="I11" i="10"/>
  <c r="G11" i="10"/>
  <c r="K10" i="10"/>
  <c r="I10" i="10"/>
  <c r="G10" i="10"/>
  <c r="A11" i="9"/>
  <c r="A12" i="9" s="1"/>
  <c r="A13" i="9" s="1"/>
  <c r="A14" i="9" s="1"/>
  <c r="A15" i="9" s="1"/>
  <c r="A16" i="9" s="1"/>
  <c r="A17" i="9" s="1"/>
  <c r="A18" i="9" s="1"/>
  <c r="A19" i="9" s="1"/>
  <c r="A20" i="9" s="1"/>
  <c r="K44" i="9"/>
  <c r="I44" i="9"/>
  <c r="G44" i="9"/>
  <c r="K43" i="9"/>
  <c r="I43" i="9"/>
  <c r="G43" i="9"/>
  <c r="K42" i="9"/>
  <c r="I42" i="9"/>
  <c r="G42" i="9"/>
  <c r="K41" i="9"/>
  <c r="I41" i="9"/>
  <c r="G41" i="9"/>
  <c r="K40" i="9"/>
  <c r="I40" i="9"/>
  <c r="G40" i="9"/>
  <c r="K39" i="9"/>
  <c r="I39" i="9"/>
  <c r="G39" i="9"/>
  <c r="K38" i="9"/>
  <c r="I38" i="9"/>
  <c r="G38" i="9"/>
  <c r="K37" i="9"/>
  <c r="I37" i="9"/>
  <c r="G37" i="9"/>
  <c r="K36" i="9"/>
  <c r="L36" i="9" s="1"/>
  <c r="I36" i="9"/>
  <c r="G36" i="9"/>
  <c r="K35" i="9"/>
  <c r="I35" i="9"/>
  <c r="G35" i="9"/>
  <c r="K33" i="9"/>
  <c r="I33" i="9"/>
  <c r="G33" i="9"/>
  <c r="K32" i="9"/>
  <c r="I32" i="9"/>
  <c r="G32" i="9"/>
  <c r="K31" i="9"/>
  <c r="I31" i="9"/>
  <c r="G31" i="9"/>
  <c r="K30" i="9"/>
  <c r="I30" i="9"/>
  <c r="G30" i="9"/>
  <c r="K29" i="9"/>
  <c r="I29" i="9"/>
  <c r="G29" i="9"/>
  <c r="K28" i="9"/>
  <c r="I28" i="9"/>
  <c r="G28" i="9"/>
  <c r="K27" i="9"/>
  <c r="I27" i="9"/>
  <c r="G27" i="9"/>
  <c r="K26" i="9"/>
  <c r="I26" i="9"/>
  <c r="G26" i="9"/>
  <c r="K25" i="9"/>
  <c r="I25" i="9"/>
  <c r="G25" i="9"/>
  <c r="K24" i="9"/>
  <c r="I24" i="9"/>
  <c r="G24" i="9"/>
  <c r="K23" i="9"/>
  <c r="I23" i="9"/>
  <c r="G23" i="9"/>
  <c r="K22" i="9"/>
  <c r="I22" i="9"/>
  <c r="G22"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55" i="8"/>
  <c r="I55" i="8"/>
  <c r="G55" i="8"/>
  <c r="K54" i="8"/>
  <c r="I54" i="8"/>
  <c r="G54" i="8"/>
  <c r="K53" i="8"/>
  <c r="I53" i="8"/>
  <c r="G53" i="8"/>
  <c r="K52" i="8"/>
  <c r="I52" i="8"/>
  <c r="G52" i="8"/>
  <c r="K51" i="8"/>
  <c r="I51" i="8"/>
  <c r="G51" i="8"/>
  <c r="K50" i="8"/>
  <c r="I50" i="8"/>
  <c r="G50" i="8"/>
  <c r="K49" i="8"/>
  <c r="I49" i="8"/>
  <c r="G49" i="8"/>
  <c r="K48" i="8"/>
  <c r="I48" i="8"/>
  <c r="G48" i="8"/>
  <c r="K47" i="8"/>
  <c r="I47" i="8"/>
  <c r="G47" i="8"/>
  <c r="K46" i="8"/>
  <c r="I46" i="8"/>
  <c r="G46" i="8"/>
  <c r="K45" i="8"/>
  <c r="I45" i="8"/>
  <c r="G45" i="8"/>
  <c r="K44" i="8"/>
  <c r="I44" i="8"/>
  <c r="G44" i="8"/>
  <c r="K43" i="8"/>
  <c r="I43" i="8"/>
  <c r="G43" i="8"/>
  <c r="K42" i="8"/>
  <c r="I42" i="8"/>
  <c r="G42" i="8"/>
  <c r="K41" i="8"/>
  <c r="I41" i="8"/>
  <c r="G41" i="8"/>
  <c r="K40" i="8"/>
  <c r="I40" i="8"/>
  <c r="G40" i="8"/>
  <c r="K39" i="8"/>
  <c r="I39" i="8"/>
  <c r="G39" i="8"/>
  <c r="K38" i="8"/>
  <c r="I38" i="8"/>
  <c r="G38" i="8"/>
  <c r="K37" i="8"/>
  <c r="I37" i="8"/>
  <c r="G37" i="8"/>
  <c r="K36" i="8"/>
  <c r="I36" i="8"/>
  <c r="G36" i="8"/>
  <c r="K35" i="8"/>
  <c r="I35" i="8"/>
  <c r="G35" i="8"/>
  <c r="K34" i="8"/>
  <c r="I34" i="8"/>
  <c r="G34" i="8"/>
  <c r="K33" i="8"/>
  <c r="I33" i="8"/>
  <c r="G33" i="8"/>
  <c r="K32" i="8"/>
  <c r="I32" i="8"/>
  <c r="G32" i="8"/>
  <c r="K31" i="8"/>
  <c r="I31" i="8"/>
  <c r="G31" i="8"/>
  <c r="K30" i="8"/>
  <c r="I30" i="8"/>
  <c r="G30" i="8"/>
  <c r="K29" i="8"/>
  <c r="I29" i="8"/>
  <c r="G29" i="8"/>
  <c r="K28" i="8"/>
  <c r="I28" i="8"/>
  <c r="G28" i="8"/>
  <c r="K27" i="8"/>
  <c r="I27" i="8"/>
  <c r="G27" i="8"/>
  <c r="K26" i="8"/>
  <c r="I26" i="8"/>
  <c r="G26" i="8"/>
  <c r="K25" i="8"/>
  <c r="I25" i="8"/>
  <c r="G25" i="8"/>
  <c r="K24" i="8"/>
  <c r="I24" i="8"/>
  <c r="G24" i="8"/>
  <c r="K23" i="8"/>
  <c r="I23" i="8"/>
  <c r="G23" i="8"/>
  <c r="K75" i="8"/>
  <c r="G75" i="8"/>
  <c r="I75" i="8"/>
  <c r="K72" i="8"/>
  <c r="I72" i="8"/>
  <c r="G72" i="8"/>
  <c r="K70" i="8"/>
  <c r="K69" i="8"/>
  <c r="K65" i="8"/>
  <c r="G64" i="8"/>
  <c r="K60" i="8"/>
  <c r="I60" i="8"/>
  <c r="G60" i="8"/>
  <c r="K59" i="8"/>
  <c r="I59" i="8"/>
  <c r="G59" i="8"/>
  <c r="K58" i="8"/>
  <c r="I58" i="8"/>
  <c r="G58" i="8"/>
  <c r="K57" i="8"/>
  <c r="I57" i="8"/>
  <c r="G57" i="8"/>
  <c r="K56" i="8"/>
  <c r="K22" i="8"/>
  <c r="I22" i="8"/>
  <c r="G22" i="8"/>
  <c r="I21" i="8"/>
  <c r="K21" i="8"/>
  <c r="K20" i="8"/>
  <c r="G20" i="8"/>
  <c r="I20" i="8"/>
  <c r="K19" i="8"/>
  <c r="I19" i="8"/>
  <c r="G19" i="8"/>
  <c r="K18" i="8"/>
  <c r="I18" i="8"/>
  <c r="G18" i="8"/>
  <c r="K16" i="8"/>
  <c r="I15" i="8"/>
  <c r="I14" i="8"/>
  <c r="G13" i="8"/>
  <c r="K12" i="8"/>
  <c r="G12" i="8"/>
  <c r="I12" i="8"/>
  <c r="K11" i="8"/>
  <c r="I11" i="8"/>
  <c r="G11" i="8"/>
  <c r="K10" i="8"/>
  <c r="I10" i="8"/>
  <c r="G10" i="8"/>
  <c r="A80" i="7"/>
  <c r="A79" i="7"/>
  <c r="A78" i="7"/>
  <c r="A77" i="7"/>
  <c r="A74" i="7"/>
  <c r="A71" i="7"/>
  <c r="A70" i="7"/>
  <c r="A67" i="7"/>
  <c r="A64" i="7"/>
  <c r="A61" i="7"/>
  <c r="A58" i="7"/>
  <c r="A55" i="7"/>
  <c r="A52" i="7"/>
  <c r="A44" i="7"/>
  <c r="A36" i="7"/>
  <c r="A32" i="7"/>
  <c r="A28" i="7"/>
  <c r="A24" i="7"/>
  <c r="A23" i="7"/>
  <c r="A20" i="7"/>
  <c r="A17" i="7"/>
  <c r="K80" i="7"/>
  <c r="I80" i="7"/>
  <c r="G80" i="7"/>
  <c r="L80" i="7" s="1"/>
  <c r="K79" i="7"/>
  <c r="I79" i="7"/>
  <c r="G79" i="7"/>
  <c r="K78" i="7"/>
  <c r="I78" i="7"/>
  <c r="G78" i="7"/>
  <c r="K77" i="7"/>
  <c r="I77" i="7"/>
  <c r="G77" i="7"/>
  <c r="K76" i="7"/>
  <c r="I76" i="7"/>
  <c r="G76" i="7"/>
  <c r="K75" i="7"/>
  <c r="I75" i="7"/>
  <c r="G75" i="7"/>
  <c r="K74" i="7"/>
  <c r="I74" i="7"/>
  <c r="G74" i="7"/>
  <c r="K73" i="7"/>
  <c r="I73" i="7"/>
  <c r="G73" i="7"/>
  <c r="K72" i="7"/>
  <c r="I72" i="7"/>
  <c r="G72" i="7"/>
  <c r="K71" i="7"/>
  <c r="I71" i="7"/>
  <c r="G71" i="7"/>
  <c r="K70" i="7"/>
  <c r="I70" i="7"/>
  <c r="G70" i="7"/>
  <c r="K69" i="7"/>
  <c r="I69" i="7"/>
  <c r="G69" i="7"/>
  <c r="L69" i="7" s="1"/>
  <c r="K68" i="7"/>
  <c r="I68" i="7"/>
  <c r="G68" i="7"/>
  <c r="K67" i="7"/>
  <c r="I67" i="7"/>
  <c r="G67" i="7"/>
  <c r="K66" i="7"/>
  <c r="I66" i="7"/>
  <c r="G66" i="7"/>
  <c r="K65" i="7"/>
  <c r="I65" i="7"/>
  <c r="G65" i="7"/>
  <c r="K64" i="7"/>
  <c r="I64" i="7"/>
  <c r="G64" i="7"/>
  <c r="K63" i="7"/>
  <c r="I63" i="7"/>
  <c r="G63" i="7"/>
  <c r="K62" i="7"/>
  <c r="I62" i="7"/>
  <c r="G62" i="7"/>
  <c r="K61" i="7"/>
  <c r="I61" i="7"/>
  <c r="G61" i="7"/>
  <c r="K60" i="7"/>
  <c r="I60" i="7"/>
  <c r="G60" i="7"/>
  <c r="K59" i="7"/>
  <c r="I59" i="7"/>
  <c r="G59" i="7"/>
  <c r="K58" i="7"/>
  <c r="I58" i="7"/>
  <c r="G58" i="7"/>
  <c r="K57" i="7"/>
  <c r="I57" i="7"/>
  <c r="G57" i="7"/>
  <c r="K56" i="7"/>
  <c r="I56" i="7"/>
  <c r="G56" i="7"/>
  <c r="K55" i="7"/>
  <c r="I55" i="7"/>
  <c r="G55" i="7"/>
  <c r="K54" i="7"/>
  <c r="I54" i="7"/>
  <c r="G54" i="7"/>
  <c r="K53" i="7"/>
  <c r="I53" i="7"/>
  <c r="G53" i="7"/>
  <c r="K52" i="7"/>
  <c r="I52" i="7"/>
  <c r="G52" i="7"/>
  <c r="K51" i="7"/>
  <c r="I51" i="7"/>
  <c r="G51" i="7"/>
  <c r="K50" i="7"/>
  <c r="I50" i="7"/>
  <c r="G50" i="7"/>
  <c r="L50" i="7" s="1"/>
  <c r="K49" i="7"/>
  <c r="I49" i="7"/>
  <c r="G49" i="7"/>
  <c r="K48" i="7"/>
  <c r="I48" i="7"/>
  <c r="G48" i="7"/>
  <c r="K47" i="7"/>
  <c r="I47" i="7"/>
  <c r="G47" i="7"/>
  <c r="K46" i="7"/>
  <c r="I46" i="7"/>
  <c r="G46" i="7"/>
  <c r="K45" i="7"/>
  <c r="I45" i="7"/>
  <c r="G45" i="7"/>
  <c r="K44" i="7"/>
  <c r="I44" i="7"/>
  <c r="G44" i="7"/>
  <c r="K43" i="7"/>
  <c r="I43" i="7"/>
  <c r="G43" i="7"/>
  <c r="K42" i="7"/>
  <c r="I42" i="7"/>
  <c r="G42" i="7"/>
  <c r="K41" i="7"/>
  <c r="I41" i="7"/>
  <c r="G41" i="7"/>
  <c r="K40" i="7"/>
  <c r="I40" i="7"/>
  <c r="G40" i="7"/>
  <c r="K39" i="7"/>
  <c r="I39" i="7"/>
  <c r="G39" i="7"/>
  <c r="K38" i="7"/>
  <c r="I38" i="7"/>
  <c r="G38" i="7"/>
  <c r="K37" i="7"/>
  <c r="I37" i="7"/>
  <c r="G37" i="7"/>
  <c r="K36" i="7"/>
  <c r="I36" i="7"/>
  <c r="G36" i="7"/>
  <c r="K35" i="7"/>
  <c r="I35" i="7"/>
  <c r="G35" i="7"/>
  <c r="K34" i="7"/>
  <c r="I34" i="7"/>
  <c r="G34" i="7"/>
  <c r="K33" i="7"/>
  <c r="I33" i="7"/>
  <c r="G33" i="7"/>
  <c r="L33" i="7" s="1"/>
  <c r="K32" i="7"/>
  <c r="I32" i="7"/>
  <c r="G32" i="7"/>
  <c r="K31" i="7"/>
  <c r="I31" i="7"/>
  <c r="G31" i="7"/>
  <c r="K30" i="7"/>
  <c r="I30" i="7"/>
  <c r="G30" i="7"/>
  <c r="L30" i="7" s="1"/>
  <c r="K29" i="7"/>
  <c r="I29" i="7"/>
  <c r="G29" i="7"/>
  <c r="K28" i="7"/>
  <c r="I28" i="7"/>
  <c r="G28" i="7"/>
  <c r="K27" i="7"/>
  <c r="I27" i="7"/>
  <c r="G27" i="7"/>
  <c r="K26" i="7"/>
  <c r="I26" i="7"/>
  <c r="G26" i="7"/>
  <c r="K25" i="7"/>
  <c r="I25" i="7"/>
  <c r="G25" i="7"/>
  <c r="K24" i="7"/>
  <c r="I24" i="7"/>
  <c r="G24" i="7"/>
  <c r="K23" i="7"/>
  <c r="I23" i="7"/>
  <c r="G23" i="7"/>
  <c r="K22" i="7"/>
  <c r="I22" i="7"/>
  <c r="G22" i="7"/>
  <c r="K21" i="7"/>
  <c r="I21" i="7"/>
  <c r="G21" i="7"/>
  <c r="K20" i="7"/>
  <c r="I20" i="7"/>
  <c r="G20" i="7"/>
  <c r="K19" i="7"/>
  <c r="I19" i="7"/>
  <c r="G19" i="7"/>
  <c r="K18" i="7"/>
  <c r="I18" i="7"/>
  <c r="G18" i="7"/>
  <c r="K17" i="7"/>
  <c r="I17" i="7"/>
  <c r="G17" i="7"/>
  <c r="K16" i="7"/>
  <c r="I16" i="7"/>
  <c r="G16" i="7"/>
  <c r="K15" i="7"/>
  <c r="I15" i="7"/>
  <c r="G15" i="7"/>
  <c r="K14" i="7"/>
  <c r="I14" i="7"/>
  <c r="G14" i="7"/>
  <c r="K13" i="7"/>
  <c r="I13" i="7"/>
  <c r="G13" i="7"/>
  <c r="K12" i="7"/>
  <c r="I12" i="7"/>
  <c r="G12" i="7"/>
  <c r="K11" i="7"/>
  <c r="I11" i="7"/>
  <c r="G11" i="7"/>
  <c r="K10" i="7"/>
  <c r="I10" i="7"/>
  <c r="G10" i="7"/>
  <c r="L330" i="11" l="1"/>
  <c r="L224" i="11"/>
  <c r="L182" i="11"/>
  <c r="L254" i="11"/>
  <c r="L278" i="11"/>
  <c r="L294" i="11"/>
  <c r="K80" i="8"/>
  <c r="I80" i="8"/>
  <c r="I428" i="1"/>
  <c r="I429" i="1"/>
  <c r="G427" i="1"/>
  <c r="K430" i="1"/>
  <c r="L54" i="10"/>
  <c r="A23" i="9"/>
  <c r="A24" i="9" s="1"/>
  <c r="A25" i="9" s="1"/>
  <c r="A26" i="9" s="1"/>
  <c r="A27" i="9" s="1"/>
  <c r="A28" i="9" s="1"/>
  <c r="A29" i="9" s="1"/>
  <c r="A30" i="9" s="1"/>
  <c r="A31" i="9" s="1"/>
  <c r="A32" i="9" s="1"/>
  <c r="A33" i="9" s="1"/>
  <c r="A36" i="9" s="1"/>
  <c r="A37" i="9" s="1"/>
  <c r="A38" i="9" s="1"/>
  <c r="A39" i="9" s="1"/>
  <c r="A40" i="9" s="1"/>
  <c r="A41" i="9" s="1"/>
  <c r="A42" i="9" s="1"/>
  <c r="A43" i="9" s="1"/>
  <c r="A44" i="9" s="1"/>
  <c r="A21" i="9"/>
  <c r="L47" i="9"/>
  <c r="G431" i="1"/>
  <c r="K429" i="1"/>
  <c r="G430" i="1"/>
  <c r="I427" i="1"/>
  <c r="G426" i="1"/>
  <c r="I431" i="1"/>
  <c r="I426" i="1"/>
  <c r="G428" i="1"/>
  <c r="L174" i="1"/>
  <c r="G81" i="8"/>
  <c r="I81" i="8"/>
  <c r="L14" i="13"/>
  <c r="L18" i="13"/>
  <c r="L22" i="13"/>
  <c r="L26" i="13"/>
  <c r="L30" i="13"/>
  <c r="L122" i="13"/>
  <c r="L134" i="13"/>
  <c r="L138" i="13"/>
  <c r="L150" i="13"/>
  <c r="L162" i="13"/>
  <c r="L163" i="13"/>
  <c r="L199" i="13"/>
  <c r="L156" i="13"/>
  <c r="L141" i="13"/>
  <c r="L201" i="13"/>
  <c r="L108" i="13"/>
  <c r="L406" i="13"/>
  <c r="L212" i="13"/>
  <c r="L216" i="13"/>
  <c r="L220" i="13"/>
  <c r="L224" i="13"/>
  <c r="L228" i="13"/>
  <c r="L232" i="13"/>
  <c r="L236" i="13"/>
  <c r="L240" i="13"/>
  <c r="L244" i="13"/>
  <c r="L248" i="13"/>
  <c r="L252" i="13"/>
  <c r="L256" i="13"/>
  <c r="L260" i="13"/>
  <c r="L264" i="13"/>
  <c r="L268" i="13"/>
  <c r="L272" i="13"/>
  <c r="L276" i="13"/>
  <c r="L280" i="13"/>
  <c r="L284" i="13"/>
  <c r="L288" i="13"/>
  <c r="L292" i="13"/>
  <c r="L296" i="13"/>
  <c r="L300" i="13"/>
  <c r="L304" i="13"/>
  <c r="L308" i="13"/>
  <c r="L312" i="13"/>
  <c r="L316" i="13"/>
  <c r="L320" i="13"/>
  <c r="L328" i="13"/>
  <c r="L332" i="13"/>
  <c r="L336" i="13"/>
  <c r="L344" i="13"/>
  <c r="L348" i="13"/>
  <c r="L352" i="13"/>
  <c r="L356" i="13"/>
  <c r="L360" i="13"/>
  <c r="L364" i="13"/>
  <c r="L368" i="13"/>
  <c r="L372" i="13"/>
  <c r="L376" i="13"/>
  <c r="L380" i="13"/>
  <c r="L384" i="13"/>
  <c r="L388" i="13"/>
  <c r="L392" i="13"/>
  <c r="L396" i="13"/>
  <c r="L400" i="13"/>
  <c r="L112" i="13"/>
  <c r="L116" i="13"/>
  <c r="L120" i="13"/>
  <c r="L183" i="13"/>
  <c r="L187" i="13"/>
  <c r="L81" i="13"/>
  <c r="L85" i="13"/>
  <c r="L89" i="13"/>
  <c r="L101" i="13"/>
  <c r="L105" i="13"/>
  <c r="L189" i="13"/>
  <c r="L135" i="13"/>
  <c r="L11" i="13"/>
  <c r="L19" i="13"/>
  <c r="L23" i="13"/>
  <c r="L27" i="13"/>
  <c r="L31" i="13"/>
  <c r="L35" i="13"/>
  <c r="L39" i="13"/>
  <c r="L43" i="13"/>
  <c r="L47" i="13"/>
  <c r="L51" i="13"/>
  <c r="L55" i="13"/>
  <c r="L59" i="13"/>
  <c r="L63" i="13"/>
  <c r="L67" i="13"/>
  <c r="L71" i="13"/>
  <c r="L75" i="13"/>
  <c r="L79" i="13"/>
  <c r="L83" i="13"/>
  <c r="L87" i="13"/>
  <c r="L91" i="13"/>
  <c r="L99" i="13"/>
  <c r="L147" i="13"/>
  <c r="L340" i="13"/>
  <c r="L324" i="13"/>
  <c r="L109" i="13"/>
  <c r="L113" i="13"/>
  <c r="L117" i="13"/>
  <c r="L121" i="13"/>
  <c r="L129" i="13"/>
  <c r="L137" i="13"/>
  <c r="L195" i="13"/>
  <c r="L207" i="13"/>
  <c r="L164" i="13"/>
  <c r="L168" i="13"/>
  <c r="L210" i="13"/>
  <c r="L214" i="13"/>
  <c r="L218" i="13"/>
  <c r="L222" i="13"/>
  <c r="L226" i="13"/>
  <c r="L230" i="13"/>
  <c r="L234" i="13"/>
  <c r="L238" i="13"/>
  <c r="L242" i="13"/>
  <c r="L246" i="13"/>
  <c r="L250" i="13"/>
  <c r="L254" i="13"/>
  <c r="L258" i="13"/>
  <c r="L262" i="13"/>
  <c r="L266" i="13"/>
  <c r="L270" i="13"/>
  <c r="L274" i="13"/>
  <c r="L278" i="13"/>
  <c r="L282" i="13"/>
  <c r="L286" i="13"/>
  <c r="L290" i="13"/>
  <c r="L294" i="13"/>
  <c r="L298" i="13"/>
  <c r="L302" i="13"/>
  <c r="L306" i="13"/>
  <c r="L310" i="13"/>
  <c r="L314" i="13"/>
  <c r="L318" i="13"/>
  <c r="L322" i="13"/>
  <c r="L326" i="13"/>
  <c r="L330" i="13"/>
  <c r="L334" i="13"/>
  <c r="L338" i="13"/>
  <c r="L342" i="13"/>
  <c r="L346" i="13"/>
  <c r="L350" i="13"/>
  <c r="L354" i="13"/>
  <c r="L358" i="13"/>
  <c r="L362" i="13"/>
  <c r="L366" i="13"/>
  <c r="L370" i="13"/>
  <c r="L374" i="13"/>
  <c r="L378" i="13"/>
  <c r="L382" i="13"/>
  <c r="L386" i="13"/>
  <c r="L390" i="13"/>
  <c r="L394" i="13"/>
  <c r="L398" i="13"/>
  <c r="L402" i="13"/>
  <c r="L34" i="13"/>
  <c r="L38" i="13"/>
  <c r="L42" i="13"/>
  <c r="L46" i="13"/>
  <c r="L50" i="13"/>
  <c r="L54" i="13"/>
  <c r="L58" i="13"/>
  <c r="L62" i="13"/>
  <c r="L66" i="13"/>
  <c r="L70" i="13"/>
  <c r="L78" i="13"/>
  <c r="L82" i="13"/>
  <c r="L86" i="13"/>
  <c r="L90" i="13"/>
  <c r="L102" i="13"/>
  <c r="L106" i="13"/>
  <c r="L114" i="13"/>
  <c r="L126" i="13"/>
  <c r="L153" i="13"/>
  <c r="L172" i="13"/>
  <c r="L180" i="13"/>
  <c r="L184" i="13"/>
  <c r="L146" i="13"/>
  <c r="L165" i="13"/>
  <c r="L169" i="13"/>
  <c r="L200" i="13"/>
  <c r="L211" i="13"/>
  <c r="L215" i="13"/>
  <c r="L219" i="13"/>
  <c r="L223" i="13"/>
  <c r="L227" i="13"/>
  <c r="L231" i="13"/>
  <c r="L235" i="13"/>
  <c r="L239" i="13"/>
  <c r="L243" i="13"/>
  <c r="L247" i="13"/>
  <c r="L251" i="13"/>
  <c r="L255" i="13"/>
  <c r="L259" i="13"/>
  <c r="L263" i="13"/>
  <c r="L267" i="13"/>
  <c r="L271" i="13"/>
  <c r="L275" i="13"/>
  <c r="L279" i="13"/>
  <c r="L283" i="13"/>
  <c r="L287" i="13"/>
  <c r="L291" i="13"/>
  <c r="L295" i="13"/>
  <c r="L299" i="13"/>
  <c r="L303" i="13"/>
  <c r="L307" i="13"/>
  <c r="L311" i="13"/>
  <c r="L315" i="13"/>
  <c r="L319" i="13"/>
  <c r="L323" i="13"/>
  <c r="L327" i="13"/>
  <c r="L331" i="13"/>
  <c r="L335" i="13"/>
  <c r="L339" i="13"/>
  <c r="L343" i="13"/>
  <c r="L347" i="13"/>
  <c r="L351" i="13"/>
  <c r="L355" i="13"/>
  <c r="L359" i="13"/>
  <c r="L363" i="13"/>
  <c r="L367" i="13"/>
  <c r="L371" i="13"/>
  <c r="L375" i="13"/>
  <c r="L379" i="13"/>
  <c r="L383" i="13"/>
  <c r="L387" i="13"/>
  <c r="L391" i="13"/>
  <c r="L395" i="13"/>
  <c r="L399" i="13"/>
  <c r="L403" i="13"/>
  <c r="L111" i="13"/>
  <c r="L115" i="13"/>
  <c r="L123" i="13"/>
  <c r="L127" i="13"/>
  <c r="L158" i="13"/>
  <c r="L186" i="13"/>
  <c r="L193" i="13"/>
  <c r="L16" i="13"/>
  <c r="L20" i="13"/>
  <c r="L24" i="13"/>
  <c r="L28" i="13"/>
  <c r="L32" i="13"/>
  <c r="L36" i="13"/>
  <c r="L40" i="13"/>
  <c r="L44" i="13"/>
  <c r="L48" i="13"/>
  <c r="L52" i="13"/>
  <c r="L56" i="13"/>
  <c r="L60" i="13"/>
  <c r="L64" i="13"/>
  <c r="L68" i="13"/>
  <c r="L72" i="13"/>
  <c r="L76" i="13"/>
  <c r="L96" i="13"/>
  <c r="L100" i="13"/>
  <c r="L144" i="13"/>
  <c r="L174" i="13"/>
  <c r="L182" i="13"/>
  <c r="L190" i="13"/>
  <c r="L128" i="13"/>
  <c r="L132" i="13"/>
  <c r="L136" i="13"/>
  <c r="L151" i="13"/>
  <c r="L155" i="13"/>
  <c r="L159" i="13"/>
  <c r="L198" i="13"/>
  <c r="L93" i="13"/>
  <c r="L209" i="13"/>
  <c r="L213" i="13"/>
  <c r="L217" i="13"/>
  <c r="L221" i="13"/>
  <c r="L225" i="13"/>
  <c r="L229" i="13"/>
  <c r="L233" i="13"/>
  <c r="L237" i="13"/>
  <c r="L241" i="13"/>
  <c r="L245" i="13"/>
  <c r="L249" i="13"/>
  <c r="L253" i="13"/>
  <c r="L257" i="13"/>
  <c r="L261" i="13"/>
  <c r="L265" i="13"/>
  <c r="L269" i="13"/>
  <c r="L273" i="13"/>
  <c r="L277" i="13"/>
  <c r="L281" i="13"/>
  <c r="L285" i="13"/>
  <c r="L289" i="13"/>
  <c r="L293" i="13"/>
  <c r="L297" i="13"/>
  <c r="L301" i="13"/>
  <c r="L305" i="13"/>
  <c r="L309" i="13"/>
  <c r="L313" i="13"/>
  <c r="L317" i="13"/>
  <c r="L321" i="13"/>
  <c r="L325" i="13"/>
  <c r="L329" i="13"/>
  <c r="L333" i="13"/>
  <c r="L337" i="13"/>
  <c r="L341" i="13"/>
  <c r="L345" i="13"/>
  <c r="L349" i="13"/>
  <c r="L353" i="13"/>
  <c r="L357" i="13"/>
  <c r="L361" i="13"/>
  <c r="L365" i="13"/>
  <c r="L369" i="13"/>
  <c r="L373" i="13"/>
  <c r="L377" i="13"/>
  <c r="L381" i="13"/>
  <c r="L385" i="13"/>
  <c r="L389" i="13"/>
  <c r="L393" i="13"/>
  <c r="L397" i="13"/>
  <c r="L401" i="13"/>
  <c r="L13" i="13"/>
  <c r="L29" i="13"/>
  <c r="L41" i="13"/>
  <c r="L57" i="13"/>
  <c r="L69" i="13"/>
  <c r="L88" i="13"/>
  <c r="L145" i="13"/>
  <c r="L173" i="13"/>
  <c r="L194" i="13"/>
  <c r="L103" i="13"/>
  <c r="L124" i="13"/>
  <c r="L131" i="13"/>
  <c r="L152" i="13"/>
  <c r="L166" i="13"/>
  <c r="L37" i="13"/>
  <c r="L61" i="13"/>
  <c r="L107" i="13"/>
  <c r="L142" i="13"/>
  <c r="L149" i="13"/>
  <c r="L170" i="13"/>
  <c r="L191" i="13"/>
  <c r="L205" i="13"/>
  <c r="L25" i="13"/>
  <c r="L33" i="13"/>
  <c r="L49" i="13"/>
  <c r="L65" i="13"/>
  <c r="L84" i="13"/>
  <c r="L110" i="13"/>
  <c r="L17" i="13"/>
  <c r="L45" i="13"/>
  <c r="L73" i="13"/>
  <c r="L104" i="13"/>
  <c r="L125" i="13"/>
  <c r="L139" i="13"/>
  <c r="L160" i="13"/>
  <c r="L167" i="13"/>
  <c r="L188" i="13"/>
  <c r="L202" i="13"/>
  <c r="L21" i="13"/>
  <c r="L53" i="13"/>
  <c r="L208" i="13"/>
  <c r="L15" i="13"/>
  <c r="L97" i="13"/>
  <c r="L118" i="13"/>
  <c r="L143" i="13"/>
  <c r="L178" i="13"/>
  <c r="L185" i="13"/>
  <c r="L206" i="13"/>
  <c r="L404" i="13"/>
  <c r="L94" i="13"/>
  <c r="L140" i="13"/>
  <c r="L161" i="13"/>
  <c r="L175" i="13"/>
  <c r="L196" i="13"/>
  <c r="L203" i="13"/>
  <c r="L12" i="13"/>
  <c r="L98" i="13"/>
  <c r="L119" i="13"/>
  <c r="L133" i="13"/>
  <c r="L154" i="13"/>
  <c r="L179" i="13"/>
  <c r="L130" i="13"/>
  <c r="L176" i="13"/>
  <c r="L197" i="13"/>
  <c r="L80" i="13"/>
  <c r="L77" i="13"/>
  <c r="L10" i="13"/>
  <c r="L74" i="13"/>
  <c r="L95" i="13"/>
  <c r="L92" i="13"/>
  <c r="L32" i="12"/>
  <c r="L40" i="12"/>
  <c r="L80" i="12"/>
  <c r="L192" i="12"/>
  <c r="L94" i="12"/>
  <c r="L98" i="12"/>
  <c r="L102" i="12"/>
  <c r="L198" i="12"/>
  <c r="L123" i="12"/>
  <c r="L127" i="12"/>
  <c r="L211" i="12"/>
  <c r="L216" i="12"/>
  <c r="L81" i="12"/>
  <c r="L185" i="12"/>
  <c r="L189" i="12"/>
  <c r="L193" i="12"/>
  <c r="L108" i="12"/>
  <c r="L109" i="12"/>
  <c r="L57" i="12"/>
  <c r="L37" i="12"/>
  <c r="L61" i="12"/>
  <c r="L187" i="12"/>
  <c r="L46" i="12"/>
  <c r="L50" i="12"/>
  <c r="L62" i="12"/>
  <c r="L70" i="12"/>
  <c r="L74" i="12"/>
  <c r="L78" i="12"/>
  <c r="L86" i="12"/>
  <c r="L39" i="12"/>
  <c r="L148" i="12"/>
  <c r="L168" i="12"/>
  <c r="L172" i="12"/>
  <c r="L19" i="12"/>
  <c r="L31" i="12"/>
  <c r="L43" i="12"/>
  <c r="L83" i="12"/>
  <c r="L120" i="12"/>
  <c r="L124" i="12"/>
  <c r="L160" i="12"/>
  <c r="L48" i="12"/>
  <c r="L60" i="12"/>
  <c r="L28" i="12"/>
  <c r="L213" i="12"/>
  <c r="L97" i="12"/>
  <c r="L165" i="12"/>
  <c r="L178" i="12"/>
  <c r="L25" i="12"/>
  <c r="L126" i="12"/>
  <c r="L21" i="12"/>
  <c r="L33" i="12"/>
  <c r="L44" i="12"/>
  <c r="L52" i="12"/>
  <c r="L56" i="12"/>
  <c r="L88" i="12"/>
  <c r="L100" i="12"/>
  <c r="L139" i="12"/>
  <c r="L143" i="12"/>
  <c r="L147" i="12"/>
  <c r="L159" i="12"/>
  <c r="L199" i="12"/>
  <c r="L13" i="12"/>
  <c r="L64" i="12"/>
  <c r="L68" i="12"/>
  <c r="L92" i="12"/>
  <c r="L171" i="12"/>
  <c r="L175" i="12"/>
  <c r="L183" i="12"/>
  <c r="L184" i="12"/>
  <c r="L49" i="12"/>
  <c r="L156" i="12"/>
  <c r="L10" i="12"/>
  <c r="L14" i="12"/>
  <c r="L22" i="12"/>
  <c r="L42" i="12"/>
  <c r="L73" i="12"/>
  <c r="L26" i="12"/>
  <c r="L34" i="12"/>
  <c r="L38" i="12"/>
  <c r="L105" i="12"/>
  <c r="L113" i="12"/>
  <c r="L117" i="12"/>
  <c r="L121" i="12"/>
  <c r="L133" i="12"/>
  <c r="L181" i="12"/>
  <c r="L196" i="12"/>
  <c r="L27" i="12"/>
  <c r="L58" i="12"/>
  <c r="L106" i="12"/>
  <c r="L118" i="12"/>
  <c r="L141" i="12"/>
  <c r="L157" i="12"/>
  <c r="L169" i="12"/>
  <c r="L177" i="12"/>
  <c r="L205" i="12"/>
  <c r="L12" i="12"/>
  <c r="L55" i="12"/>
  <c r="L103" i="12"/>
  <c r="L115" i="12"/>
  <c r="L130" i="12"/>
  <c r="L154" i="12"/>
  <c r="L166" i="12"/>
  <c r="L16" i="12"/>
  <c r="L20" i="12"/>
  <c r="L67" i="12"/>
  <c r="L91" i="12"/>
  <c r="L111" i="12"/>
  <c r="L162" i="12"/>
  <c r="L170" i="12"/>
  <c r="L174" i="12"/>
  <c r="L186" i="12"/>
  <c r="L190" i="12"/>
  <c r="L202" i="12"/>
  <c r="L23" i="12"/>
  <c r="L41" i="12"/>
  <c r="L45" i="12"/>
  <c r="L59" i="12"/>
  <c r="L63" i="12"/>
  <c r="L132" i="12"/>
  <c r="L135" i="12"/>
  <c r="L150" i="12"/>
  <c r="L179" i="12"/>
  <c r="L201" i="12"/>
  <c r="L24" i="12"/>
  <c r="L96" i="12"/>
  <c r="L99" i="12"/>
  <c r="L114" i="12"/>
  <c r="L128" i="12"/>
  <c r="L136" i="12"/>
  <c r="L151" i="12"/>
  <c r="L75" i="12"/>
  <c r="L107" i="12"/>
  <c r="L180" i="12"/>
  <c r="L164" i="12"/>
  <c r="L17" i="12"/>
  <c r="L35" i="12"/>
  <c r="L53" i="12"/>
  <c r="L71" i="12"/>
  <c r="L82" i="12"/>
  <c r="L129" i="12"/>
  <c r="L195" i="12"/>
  <c r="L93" i="12"/>
  <c r="L112" i="12"/>
  <c r="L144" i="12"/>
  <c r="L206" i="12"/>
  <c r="L210" i="12"/>
  <c r="L215" i="12"/>
  <c r="L18" i="12"/>
  <c r="L36" i="12"/>
  <c r="L54" i="12"/>
  <c r="L72" i="12"/>
  <c r="L145" i="12"/>
  <c r="L163" i="12"/>
  <c r="L11" i="12"/>
  <c r="L15" i="12"/>
  <c r="L29" i="12"/>
  <c r="L47" i="12"/>
  <c r="L51" i="12"/>
  <c r="L65" i="12"/>
  <c r="L69" i="12"/>
  <c r="L84" i="12"/>
  <c r="L87" i="12"/>
  <c r="L204" i="12"/>
  <c r="L207" i="12"/>
  <c r="L77" i="12"/>
  <c r="L30" i="12"/>
  <c r="L66" i="12"/>
  <c r="L134" i="12"/>
  <c r="L138" i="12"/>
  <c r="L142" i="12"/>
  <c r="L149" i="12"/>
  <c r="L153" i="12"/>
  <c r="L200" i="12"/>
  <c r="L208" i="12"/>
  <c r="L89" i="12"/>
  <c r="L125" i="12"/>
  <c r="L161" i="12"/>
  <c r="L197" i="12"/>
  <c r="L122" i="12"/>
  <c r="L158" i="12"/>
  <c r="L194" i="12"/>
  <c r="L119" i="12"/>
  <c r="L155" i="12"/>
  <c r="L191" i="12"/>
  <c r="L116" i="12"/>
  <c r="L152" i="12"/>
  <c r="L188" i="12"/>
  <c r="L85" i="12"/>
  <c r="L110" i="12"/>
  <c r="L146" i="12"/>
  <c r="L182" i="12"/>
  <c r="L79" i="12"/>
  <c r="L104" i="12"/>
  <c r="L140" i="12"/>
  <c r="L176" i="12"/>
  <c r="L212" i="12"/>
  <c r="L76" i="12"/>
  <c r="L101" i="12"/>
  <c r="L137" i="12"/>
  <c r="L173" i="12"/>
  <c r="L209" i="12"/>
  <c r="L95" i="12"/>
  <c r="L131" i="12"/>
  <c r="L167" i="12"/>
  <c r="L203" i="12"/>
  <c r="L264" i="11"/>
  <c r="L232" i="11"/>
  <c r="L236" i="11"/>
  <c r="L248" i="11"/>
  <c r="L84" i="11"/>
  <c r="L88" i="11"/>
  <c r="L92" i="11"/>
  <c r="L96" i="11"/>
  <c r="L100" i="11"/>
  <c r="L104" i="11"/>
  <c r="L112" i="11"/>
  <c r="L116" i="11"/>
  <c r="L157" i="11"/>
  <c r="L161" i="11"/>
  <c r="L185" i="11"/>
  <c r="L194" i="11"/>
  <c r="L206" i="11"/>
  <c r="L258" i="11"/>
  <c r="L200" i="11"/>
  <c r="L188" i="11"/>
  <c r="L239" i="11"/>
  <c r="L275" i="11"/>
  <c r="L214" i="11"/>
  <c r="L218" i="11"/>
  <c r="L257" i="11"/>
  <c r="L167" i="11"/>
  <c r="L175" i="11"/>
  <c r="L179" i="11"/>
  <c r="L203" i="11"/>
  <c r="L285" i="11"/>
  <c r="L289" i="11"/>
  <c r="L199" i="11"/>
  <c r="L242" i="11"/>
  <c r="L266" i="11"/>
  <c r="L83" i="11"/>
  <c r="L87" i="11"/>
  <c r="L91" i="11"/>
  <c r="L95" i="11"/>
  <c r="L99" i="11"/>
  <c r="L103" i="11"/>
  <c r="L107" i="11"/>
  <c r="L111" i="11"/>
  <c r="L115" i="11"/>
  <c r="L126" i="11"/>
  <c r="L130" i="11"/>
  <c r="L134" i="11"/>
  <c r="L138" i="11"/>
  <c r="L142" i="11"/>
  <c r="L146" i="11"/>
  <c r="L160" i="11"/>
  <c r="L164" i="11"/>
  <c r="L176" i="11"/>
  <c r="L192" i="11"/>
  <c r="L286" i="11"/>
  <c r="L247" i="11"/>
  <c r="L251" i="11"/>
  <c r="L173" i="11"/>
  <c r="L263" i="11"/>
  <c r="L271" i="11"/>
  <c r="L108" i="11"/>
  <c r="L170" i="11"/>
  <c r="L209" i="11"/>
  <c r="L217" i="11"/>
  <c r="L221" i="11"/>
  <c r="L260" i="11"/>
  <c r="L272" i="11"/>
  <c r="L295" i="11"/>
  <c r="L186" i="11"/>
  <c r="L229" i="11"/>
  <c r="L233" i="11"/>
  <c r="L280" i="11"/>
  <c r="L288" i="11"/>
  <c r="L222" i="11"/>
  <c r="L181" i="11"/>
  <c r="L196" i="11"/>
  <c r="L215" i="11"/>
  <c r="L245" i="11"/>
  <c r="L253" i="11"/>
  <c r="L268" i="11"/>
  <c r="L282" i="11"/>
  <c r="L158" i="11"/>
  <c r="L211" i="11"/>
  <c r="L230" i="11"/>
  <c r="L204" i="11"/>
  <c r="L276" i="11"/>
  <c r="L189" i="11"/>
  <c r="L246" i="11"/>
  <c r="L261" i="11"/>
  <c r="L11" i="11"/>
  <c r="L120" i="11"/>
  <c r="L15" i="11"/>
  <c r="L19" i="11"/>
  <c r="L58" i="11"/>
  <c r="L62" i="11"/>
  <c r="L66" i="11"/>
  <c r="L70" i="11"/>
  <c r="L74" i="11"/>
  <c r="L86" i="11"/>
  <c r="L90" i="11"/>
  <c r="L94" i="11"/>
  <c r="L98" i="11"/>
  <c r="L102" i="11"/>
  <c r="L106" i="11"/>
  <c r="L110" i="11"/>
  <c r="L114" i="11"/>
  <c r="L125" i="11"/>
  <c r="L129" i="11"/>
  <c r="L133" i="11"/>
  <c r="L137" i="11"/>
  <c r="L141" i="11"/>
  <c r="L145" i="11"/>
  <c r="L149" i="11"/>
  <c r="L159" i="11"/>
  <c r="L163" i="11"/>
  <c r="L178" i="11"/>
  <c r="L193" i="11"/>
  <c r="L197" i="11"/>
  <c r="L212" i="11"/>
  <c r="L227" i="11"/>
  <c r="L235" i="11"/>
  <c r="L250" i="11"/>
  <c r="L265" i="11"/>
  <c r="L269" i="11"/>
  <c r="L283" i="11"/>
  <c r="L213" i="11"/>
  <c r="L228" i="11"/>
  <c r="L243" i="11"/>
  <c r="L240" i="11"/>
  <c r="L292" i="11"/>
  <c r="L191" i="11"/>
  <c r="L195" i="11"/>
  <c r="L210" i="11"/>
  <c r="L225" i="11"/>
  <c r="L281" i="11"/>
  <c r="L172" i="11"/>
  <c r="L183" i="11"/>
  <c r="L190" i="11"/>
  <c r="L201" i="11"/>
  <c r="L208" i="11"/>
  <c r="L219" i="11"/>
  <c r="L226" i="11"/>
  <c r="L237" i="11"/>
  <c r="L244" i="11"/>
  <c r="L255" i="11"/>
  <c r="L262" i="11"/>
  <c r="L273" i="11"/>
  <c r="L279" i="11"/>
  <c r="L290" i="11"/>
  <c r="L85" i="11"/>
  <c r="L89" i="11"/>
  <c r="L93" i="11"/>
  <c r="L97" i="11"/>
  <c r="L101" i="11"/>
  <c r="L105" i="11"/>
  <c r="L109" i="11"/>
  <c r="L113" i="11"/>
  <c r="L117" i="11"/>
  <c r="L124" i="11"/>
  <c r="L128" i="11"/>
  <c r="L132" i="11"/>
  <c r="L136" i="11"/>
  <c r="L140" i="11"/>
  <c r="L144" i="11"/>
  <c r="L148" i="11"/>
  <c r="L152" i="11"/>
  <c r="L156" i="11"/>
  <c r="L299" i="11"/>
  <c r="L303" i="11"/>
  <c r="L165" i="11"/>
  <c r="L169" i="11"/>
  <c r="L187" i="11"/>
  <c r="L198" i="11"/>
  <c r="L205" i="11"/>
  <c r="L216" i="11"/>
  <c r="L223" i="11"/>
  <c r="L234" i="11"/>
  <c r="L241" i="11"/>
  <c r="L252" i="11"/>
  <c r="L259" i="11"/>
  <c r="L270" i="11"/>
  <c r="L277" i="11"/>
  <c r="L287" i="11"/>
  <c r="L293" i="11"/>
  <c r="L168" i="11"/>
  <c r="L162" i="11"/>
  <c r="L180" i="11"/>
  <c r="L166" i="11"/>
  <c r="L184" i="11"/>
  <c r="L202" i="11"/>
  <c r="L220" i="11"/>
  <c r="L231" i="11"/>
  <c r="L238" i="11"/>
  <c r="L249" i="11"/>
  <c r="L256" i="11"/>
  <c r="L267" i="11"/>
  <c r="L274" i="11"/>
  <c r="L284" i="11"/>
  <c r="L291" i="11"/>
  <c r="L177" i="11"/>
  <c r="L174" i="11"/>
  <c r="L171" i="11"/>
  <c r="L127" i="11"/>
  <c r="L131" i="11"/>
  <c r="L135" i="11"/>
  <c r="L139" i="11"/>
  <c r="L143" i="11"/>
  <c r="L147" i="11"/>
  <c r="L151" i="11"/>
  <c r="L155" i="11"/>
  <c r="L298" i="11"/>
  <c r="L302" i="11"/>
  <c r="L306" i="11"/>
  <c r="L310" i="11"/>
  <c r="L314" i="11"/>
  <c r="L318" i="11"/>
  <c r="L322" i="11"/>
  <c r="L307" i="11"/>
  <c r="L311" i="11"/>
  <c r="L315" i="11"/>
  <c r="L319" i="11"/>
  <c r="L323" i="11"/>
  <c r="L153" i="11"/>
  <c r="L296" i="11"/>
  <c r="L300" i="11"/>
  <c r="L304" i="11"/>
  <c r="L308" i="11"/>
  <c r="L312" i="11"/>
  <c r="L316" i="11"/>
  <c r="L320" i="11"/>
  <c r="L324" i="11"/>
  <c r="L150" i="11"/>
  <c r="L154" i="11"/>
  <c r="L297" i="11"/>
  <c r="L301" i="11"/>
  <c r="L305" i="11"/>
  <c r="L309" i="11"/>
  <c r="L313" i="11"/>
  <c r="L317" i="11"/>
  <c r="L321" i="11"/>
  <c r="L325" i="11"/>
  <c r="L14" i="11"/>
  <c r="L18" i="11"/>
  <c r="L57" i="11"/>
  <c r="L61" i="11"/>
  <c r="L65" i="11"/>
  <c r="L69" i="11"/>
  <c r="L73" i="11"/>
  <c r="L77" i="11"/>
  <c r="L81" i="11"/>
  <c r="L25" i="11"/>
  <c r="L29" i="11"/>
  <c r="L37" i="11"/>
  <c r="L41" i="11"/>
  <c r="L49" i="11"/>
  <c r="L53" i="11"/>
  <c r="L30" i="11"/>
  <c r="L42" i="11"/>
  <c r="L54" i="11"/>
  <c r="L33" i="11"/>
  <c r="L78" i="11"/>
  <c r="L82" i="11"/>
  <c r="L22" i="11"/>
  <c r="L26" i="11"/>
  <c r="L34" i="11"/>
  <c r="L38" i="11"/>
  <c r="L46" i="11"/>
  <c r="L50" i="11"/>
  <c r="L27" i="11"/>
  <c r="L39" i="11"/>
  <c r="L51" i="11"/>
  <c r="L327" i="11"/>
  <c r="L16" i="11"/>
  <c r="L20" i="11"/>
  <c r="L59" i="11"/>
  <c r="L63" i="11"/>
  <c r="L67" i="11"/>
  <c r="L71" i="11"/>
  <c r="L75" i="11"/>
  <c r="L79" i="11"/>
  <c r="L23" i="11"/>
  <c r="L31" i="11"/>
  <c r="L35" i="11"/>
  <c r="L43" i="11"/>
  <c r="L47" i="11"/>
  <c r="L55" i="11"/>
  <c r="L45" i="11"/>
  <c r="L24" i="11"/>
  <c r="L36" i="11"/>
  <c r="L48" i="11"/>
  <c r="L13" i="11"/>
  <c r="L17" i="11"/>
  <c r="L21" i="11"/>
  <c r="L60" i="11"/>
  <c r="L64" i="11"/>
  <c r="L68" i="11"/>
  <c r="L72" i="11"/>
  <c r="L76" i="11"/>
  <c r="L80" i="11"/>
  <c r="L28" i="11"/>
  <c r="L32" i="11"/>
  <c r="L40" i="11"/>
  <c r="L44" i="11"/>
  <c r="L52" i="11"/>
  <c r="L56" i="11"/>
  <c r="L12" i="11"/>
  <c r="L121" i="11"/>
  <c r="L118" i="11"/>
  <c r="L122" i="11"/>
  <c r="L10" i="11"/>
  <c r="L119" i="11"/>
  <c r="L123" i="11"/>
  <c r="L326" i="11"/>
  <c r="L21" i="10"/>
  <c r="L33" i="10"/>
  <c r="L49" i="10"/>
  <c r="L26" i="10"/>
  <c r="L50" i="10"/>
  <c r="L42" i="10"/>
  <c r="L19" i="10"/>
  <c r="L24" i="10"/>
  <c r="L13" i="10"/>
  <c r="L36" i="10"/>
  <c r="L44" i="10"/>
  <c r="L16" i="10"/>
  <c r="L14" i="10"/>
  <c r="L18" i="10"/>
  <c r="L34" i="10"/>
  <c r="L12" i="10"/>
  <c r="L39" i="10"/>
  <c r="L47" i="10"/>
  <c r="L35" i="10"/>
  <c r="L43" i="10"/>
  <c r="L27" i="10"/>
  <c r="L31" i="10"/>
  <c r="L20" i="10"/>
  <c r="L28" i="10"/>
  <c r="L32" i="10"/>
  <c r="L17" i="10"/>
  <c r="L40" i="10"/>
  <c r="L51" i="10"/>
  <c r="L41" i="10"/>
  <c r="L25" i="10"/>
  <c r="L29" i="10"/>
  <c r="L37" i="10"/>
  <c r="L48" i="10"/>
  <c r="L15" i="10"/>
  <c r="L22" i="10"/>
  <c r="L38" i="10"/>
  <c r="L45" i="10"/>
  <c r="L11" i="10"/>
  <c r="L23" i="10"/>
  <c r="L30" i="10"/>
  <c r="L46" i="10"/>
  <c r="L10" i="10"/>
  <c r="L20" i="9"/>
  <c r="L40" i="9"/>
  <c r="L44" i="9"/>
  <c r="L26" i="9"/>
  <c r="L25" i="9"/>
  <c r="L14" i="9"/>
  <c r="L11" i="9"/>
  <c r="L15" i="9"/>
  <c r="L19" i="9"/>
  <c r="L13" i="9"/>
  <c r="L29" i="9"/>
  <c r="L42" i="9"/>
  <c r="L10" i="9"/>
  <c r="L22" i="9"/>
  <c r="L23" i="9"/>
  <c r="L30" i="9"/>
  <c r="L35" i="9"/>
  <c r="L18" i="9"/>
  <c r="L39" i="9"/>
  <c r="L43" i="9"/>
  <c r="L17" i="9"/>
  <c r="L27" i="9"/>
  <c r="L31" i="9"/>
  <c r="L33" i="9"/>
  <c r="L38" i="9"/>
  <c r="L28" i="9"/>
  <c r="L32" i="9"/>
  <c r="L24" i="9"/>
  <c r="L16" i="9"/>
  <c r="L37" i="9"/>
  <c r="L41" i="9"/>
  <c r="L12" i="9"/>
  <c r="L26" i="8"/>
  <c r="L30" i="8"/>
  <c r="L34" i="8"/>
  <c r="L38" i="8"/>
  <c r="L42" i="8"/>
  <c r="L46" i="8"/>
  <c r="L50" i="8"/>
  <c r="L54" i="8"/>
  <c r="L58" i="8"/>
  <c r="L24" i="8"/>
  <c r="L28" i="8"/>
  <c r="L32" i="8"/>
  <c r="L36" i="8"/>
  <c r="L40" i="8"/>
  <c r="L44" i="8"/>
  <c r="L48" i="8"/>
  <c r="L52" i="8"/>
  <c r="L72" i="8"/>
  <c r="L29" i="8"/>
  <c r="L37" i="8"/>
  <c r="L41" i="8"/>
  <c r="L53" i="8"/>
  <c r="L25" i="8"/>
  <c r="L49" i="8"/>
  <c r="L33" i="8"/>
  <c r="L45" i="8"/>
  <c r="L10" i="8"/>
  <c r="L22" i="8"/>
  <c r="L23" i="8"/>
  <c r="L27" i="8"/>
  <c r="L31" i="8"/>
  <c r="L35" i="8"/>
  <c r="L39" i="8"/>
  <c r="L43" i="8"/>
  <c r="L47" i="8"/>
  <c r="L51" i="8"/>
  <c r="L55" i="8"/>
  <c r="L18" i="8"/>
  <c r="L60" i="8"/>
  <c r="L11" i="8"/>
  <c r="L19" i="8"/>
  <c r="L57" i="8"/>
  <c r="L12" i="8"/>
  <c r="L59" i="8"/>
  <c r="I68" i="8"/>
  <c r="K68" i="8"/>
  <c r="G68" i="8"/>
  <c r="K61" i="8"/>
  <c r="I61" i="8"/>
  <c r="G61" i="8"/>
  <c r="K74" i="8"/>
  <c r="I74" i="8"/>
  <c r="G74" i="8"/>
  <c r="I66" i="8"/>
  <c r="G66" i="8"/>
  <c r="K66" i="8"/>
  <c r="I77" i="8"/>
  <c r="G77" i="8"/>
  <c r="K77" i="8"/>
  <c r="K62" i="8"/>
  <c r="I62" i="8"/>
  <c r="G62" i="8"/>
  <c r="K17" i="8"/>
  <c r="I17" i="8"/>
  <c r="G17" i="8"/>
  <c r="I63" i="8"/>
  <c r="G63" i="8"/>
  <c r="K63" i="8"/>
  <c r="L20" i="8"/>
  <c r="K67" i="8"/>
  <c r="I67" i="8"/>
  <c r="G67" i="8"/>
  <c r="L75" i="8"/>
  <c r="K76" i="8"/>
  <c r="I76" i="8"/>
  <c r="G76" i="8"/>
  <c r="G15" i="8"/>
  <c r="I13" i="8"/>
  <c r="K15" i="8"/>
  <c r="I64" i="8"/>
  <c r="K13" i="8"/>
  <c r="K64" i="8"/>
  <c r="G16" i="8"/>
  <c r="I56" i="8"/>
  <c r="G56" i="8"/>
  <c r="I16" i="8"/>
  <c r="G65" i="8"/>
  <c r="G69" i="8"/>
  <c r="G14" i="8"/>
  <c r="G21" i="8"/>
  <c r="L21" i="8" s="1"/>
  <c r="I65" i="8"/>
  <c r="I69" i="8"/>
  <c r="K14" i="8"/>
  <c r="G70" i="8"/>
  <c r="I70" i="8"/>
  <c r="L12" i="7"/>
  <c r="L53" i="7"/>
  <c r="L19" i="7"/>
  <c r="L16" i="7"/>
  <c r="L62" i="7"/>
  <c r="L47" i="7"/>
  <c r="L56" i="7"/>
  <c r="L25" i="7"/>
  <c r="L37" i="7"/>
  <c r="L65" i="7"/>
  <c r="L13" i="7"/>
  <c r="L78" i="7"/>
  <c r="L36" i="7"/>
  <c r="L42" i="7"/>
  <c r="L72" i="7"/>
  <c r="L73" i="7"/>
  <c r="L70" i="7"/>
  <c r="L54" i="7"/>
  <c r="L39" i="7"/>
  <c r="L20" i="7"/>
  <c r="L22" i="7"/>
  <c r="L38" i="7"/>
  <c r="L52" i="7"/>
  <c r="L67" i="7"/>
  <c r="L71" i="7"/>
  <c r="L79" i="7"/>
  <c r="L66" i="7"/>
  <c r="L77" i="7"/>
  <c r="L32" i="7"/>
  <c r="L43" i="7"/>
  <c r="L51" i="7"/>
  <c r="L10" i="7"/>
  <c r="L21" i="7"/>
  <c r="L55" i="7"/>
  <c r="L14" i="7"/>
  <c r="L40" i="7"/>
  <c r="L48" i="7"/>
  <c r="L59" i="7"/>
  <c r="L63" i="7"/>
  <c r="L74" i="7"/>
  <c r="L18" i="7"/>
  <c r="L29" i="7"/>
  <c r="L44" i="7"/>
  <c r="L64" i="7"/>
  <c r="L24" i="7"/>
  <c r="L58" i="7"/>
  <c r="L17" i="7"/>
  <c r="L28" i="7"/>
  <c r="L15" i="7"/>
  <c r="L41" i="7"/>
  <c r="L60" i="7"/>
  <c r="L75" i="7"/>
  <c r="L26" i="7"/>
  <c r="L34" i="7"/>
  <c r="L45" i="7"/>
  <c r="L49" i="7"/>
  <c r="L68" i="7"/>
  <c r="L23" i="7"/>
  <c r="L57" i="7"/>
  <c r="L61" i="7"/>
  <c r="L76" i="7"/>
  <c r="L27" i="7"/>
  <c r="L31" i="7"/>
  <c r="L35" i="7"/>
  <c r="L46" i="7"/>
  <c r="L11" i="7"/>
  <c r="L426" i="1" l="1"/>
  <c r="L427" i="1"/>
  <c r="L430" i="1"/>
  <c r="L429" i="1"/>
  <c r="L431" i="1"/>
  <c r="L331" i="11"/>
  <c r="L332" i="11" s="1"/>
  <c r="L333" i="11" s="1"/>
  <c r="L334" i="11" s="1"/>
  <c r="L335" i="11" s="1"/>
  <c r="L336" i="11" s="1"/>
  <c r="L337" i="11" s="1"/>
  <c r="L338" i="11" s="1"/>
  <c r="L339" i="11" s="1"/>
  <c r="L340" i="11" s="1"/>
  <c r="L341" i="11" s="1"/>
  <c r="D17" i="14" s="1"/>
  <c r="L81" i="8"/>
  <c r="L80" i="8"/>
  <c r="L14" i="8"/>
  <c r="L428" i="1"/>
  <c r="L55" i="10"/>
  <c r="L56" i="10" s="1"/>
  <c r="L57" i="10" s="1"/>
  <c r="L58" i="10" s="1"/>
  <c r="L59" i="10" s="1"/>
  <c r="L60" i="10" s="1"/>
  <c r="L61" i="10" s="1"/>
  <c r="L62" i="10" s="1"/>
  <c r="L63" i="10" s="1"/>
  <c r="L64" i="10" s="1"/>
  <c r="L65" i="10" s="1"/>
  <c r="D16" i="14" s="1"/>
  <c r="L48" i="9"/>
  <c r="L49" i="9" s="1"/>
  <c r="L50" i="9" s="1"/>
  <c r="L51" i="9" s="1"/>
  <c r="L52" i="9" s="1"/>
  <c r="L53" i="9" s="1"/>
  <c r="L54" i="9" s="1"/>
  <c r="L55" i="9" s="1"/>
  <c r="L56" i="9" s="1"/>
  <c r="L57" i="9" s="1"/>
  <c r="L58" i="9" s="1"/>
  <c r="D15" i="14" s="1"/>
  <c r="L69" i="8"/>
  <c r="L15" i="8"/>
  <c r="L56" i="8"/>
  <c r="L70" i="8"/>
  <c r="L65" i="8"/>
  <c r="L61" i="8"/>
  <c r="L16" i="8"/>
  <c r="L17" i="8"/>
  <c r="L68" i="8"/>
  <c r="L74" i="8"/>
  <c r="L67" i="8"/>
  <c r="L77" i="8"/>
  <c r="G79" i="8"/>
  <c r="K79" i="8"/>
  <c r="I79" i="8"/>
  <c r="L62" i="8"/>
  <c r="G71" i="8"/>
  <c r="G82" i="8" s="1"/>
  <c r="L83" i="8" s="1"/>
  <c r="K71" i="8"/>
  <c r="I71" i="8"/>
  <c r="I82" i="8" s="1"/>
  <c r="L76" i="8"/>
  <c r="L64" i="8"/>
  <c r="L13" i="8"/>
  <c r="L63" i="8"/>
  <c r="L66" i="8"/>
  <c r="K82" i="8" l="1"/>
  <c r="L71" i="8"/>
  <c r="L79" i="8"/>
  <c r="L82" i="8" l="1"/>
  <c r="L84" i="8" s="1"/>
  <c r="L85" i="8" s="1"/>
  <c r="L86" i="8" s="1"/>
  <c r="L87" i="8" s="1"/>
  <c r="L88" i="8" s="1"/>
  <c r="L89" i="8" s="1"/>
  <c r="L90" i="8" s="1"/>
  <c r="L91" i="8" s="1"/>
  <c r="L92" i="8" s="1"/>
  <c r="L93" i="8" s="1"/>
  <c r="L94" i="8" s="1"/>
  <c r="D11" i="14" s="1"/>
  <c r="E573" i="1"/>
  <c r="E178" i="1"/>
  <c r="E177" i="1"/>
  <c r="E166" i="1"/>
  <c r="E165" i="1"/>
  <c r="D164" i="1"/>
  <c r="D185" i="1"/>
  <c r="E185" i="1"/>
  <c r="E175" i="1"/>
  <c r="D183" i="1"/>
  <c r="D176" i="1"/>
  <c r="E176" i="1" s="1"/>
  <c r="D184" i="1"/>
  <c r="D180" i="1"/>
  <c r="D179" i="1"/>
  <c r="E162" i="1"/>
  <c r="D157" i="1"/>
  <c r="E124" i="1"/>
  <c r="G124" i="1" s="1"/>
  <c r="E123" i="1"/>
  <c r="I123" i="1" s="1"/>
  <c r="D130" i="1"/>
  <c r="D129" i="1"/>
  <c r="D126" i="1"/>
  <c r="D125" i="1"/>
  <c r="G120" i="1"/>
  <c r="E309" i="1"/>
  <c r="E297" i="1"/>
  <c r="E286" i="1"/>
  <c r="E181" i="1" l="1"/>
  <c r="K181" i="1" s="1"/>
  <c r="E184" i="1"/>
  <c r="K184" i="1" s="1"/>
  <c r="E183" i="1"/>
  <c r="I183" i="1" s="1"/>
  <c r="E179" i="1"/>
  <c r="K179" i="1" s="1"/>
  <c r="E180" i="1"/>
  <c r="K180" i="1" s="1"/>
  <c r="K178" i="1"/>
  <c r="G178" i="1"/>
  <c r="I178" i="1"/>
  <c r="G175" i="1"/>
  <c r="K175" i="1"/>
  <c r="I175" i="1"/>
  <c r="K176" i="1"/>
  <c r="I176" i="1"/>
  <c r="G176" i="1"/>
  <c r="E182" i="1"/>
  <c r="K185" i="1"/>
  <c r="I185" i="1"/>
  <c r="G185" i="1"/>
  <c r="K177" i="1"/>
  <c r="I177" i="1"/>
  <c r="G177" i="1"/>
  <c r="K124" i="1"/>
  <c r="I124" i="1"/>
  <c r="E131" i="1"/>
  <c r="G131" i="1" s="1"/>
  <c r="E121" i="1"/>
  <c r="K120" i="1"/>
  <c r="E122" i="1"/>
  <c r="E129" i="1" s="1"/>
  <c r="I120" i="1"/>
  <c r="K123" i="1"/>
  <c r="G123" i="1"/>
  <c r="A14" i="6"/>
  <c r="A19" i="6" s="1"/>
  <c r="A22" i="6" s="1"/>
  <c r="A27" i="6" s="1"/>
  <c r="A30" i="6" s="1"/>
  <c r="A35" i="6" s="1"/>
  <c r="A38" i="6" s="1"/>
  <c r="A43" i="6" s="1"/>
  <c r="A46" i="6" s="1"/>
  <c r="A51" i="6" s="1"/>
  <c r="A54" i="6" s="1"/>
  <c r="A59" i="6" s="1"/>
  <c r="A62" i="6" s="1"/>
  <c r="A67" i="6" s="1"/>
  <c r="A70" i="6" s="1"/>
  <c r="A75" i="6" s="1"/>
  <c r="A78" i="6" s="1"/>
  <c r="A79" i="6" s="1"/>
  <c r="A83" i="6" s="1"/>
  <c r="A87" i="6" s="1"/>
  <c r="K76" i="6"/>
  <c r="I76" i="6"/>
  <c r="G76" i="6"/>
  <c r="K75" i="6"/>
  <c r="I75" i="6"/>
  <c r="G75" i="6"/>
  <c r="K74" i="6"/>
  <c r="I74" i="6"/>
  <c r="G74" i="6"/>
  <c r="K73" i="6"/>
  <c r="I73" i="6"/>
  <c r="G73" i="6"/>
  <c r="K72" i="6"/>
  <c r="I72" i="6"/>
  <c r="G72" i="6"/>
  <c r="K71" i="6"/>
  <c r="I71" i="6"/>
  <c r="G71" i="6"/>
  <c r="K70" i="6"/>
  <c r="I70" i="6"/>
  <c r="G70" i="6"/>
  <c r="K69" i="6"/>
  <c r="I69" i="6"/>
  <c r="G69" i="6"/>
  <c r="K68" i="6"/>
  <c r="I68" i="6"/>
  <c r="G68" i="6"/>
  <c r="K67" i="6"/>
  <c r="I67" i="6"/>
  <c r="G67" i="6"/>
  <c r="K66" i="6"/>
  <c r="I66" i="6"/>
  <c r="G66" i="6"/>
  <c r="K65" i="6"/>
  <c r="I65" i="6"/>
  <c r="G65" i="6"/>
  <c r="K64" i="6"/>
  <c r="I64" i="6"/>
  <c r="G64" i="6"/>
  <c r="K63" i="6"/>
  <c r="I63" i="6"/>
  <c r="G63" i="6"/>
  <c r="K62" i="6"/>
  <c r="I62" i="6"/>
  <c r="G62" i="6"/>
  <c r="K61" i="6"/>
  <c r="I61" i="6"/>
  <c r="G61" i="6"/>
  <c r="K60" i="6"/>
  <c r="I60" i="6"/>
  <c r="G60" i="6"/>
  <c r="K59" i="6"/>
  <c r="I59" i="6"/>
  <c r="G59" i="6"/>
  <c r="K58" i="6"/>
  <c r="I58" i="6"/>
  <c r="G58" i="6"/>
  <c r="K57" i="6"/>
  <c r="I57" i="6"/>
  <c r="G57" i="6"/>
  <c r="K56" i="6"/>
  <c r="I56" i="6"/>
  <c r="G56" i="6"/>
  <c r="K55" i="6"/>
  <c r="I55" i="6"/>
  <c r="G55" i="6"/>
  <c r="K54" i="6"/>
  <c r="I54" i="6"/>
  <c r="G54" i="6"/>
  <c r="K53" i="6"/>
  <c r="I53" i="6"/>
  <c r="G53" i="6"/>
  <c r="K52" i="6"/>
  <c r="I52" i="6"/>
  <c r="G52" i="6"/>
  <c r="K51" i="6"/>
  <c r="I51" i="6"/>
  <c r="G51" i="6"/>
  <c r="K50" i="6"/>
  <c r="I50" i="6"/>
  <c r="G50" i="6"/>
  <c r="K49" i="6"/>
  <c r="I49" i="6"/>
  <c r="G49" i="6"/>
  <c r="K48" i="6"/>
  <c r="I48" i="6"/>
  <c r="G48" i="6"/>
  <c r="K47" i="6"/>
  <c r="I47" i="6"/>
  <c r="G47" i="6"/>
  <c r="K46" i="6"/>
  <c r="I46" i="6"/>
  <c r="G46" i="6"/>
  <c r="K45" i="6"/>
  <c r="I45" i="6"/>
  <c r="G45" i="6"/>
  <c r="K44" i="6"/>
  <c r="I44" i="6"/>
  <c r="G44" i="6"/>
  <c r="K43" i="6"/>
  <c r="I43" i="6"/>
  <c r="G43" i="6"/>
  <c r="K42" i="6"/>
  <c r="I42" i="6"/>
  <c r="G42" i="6"/>
  <c r="K41" i="6"/>
  <c r="I41" i="6"/>
  <c r="G41" i="6"/>
  <c r="K40" i="6"/>
  <c r="I40" i="6"/>
  <c r="G40" i="6"/>
  <c r="K39" i="6"/>
  <c r="I39" i="6"/>
  <c r="G39" i="6"/>
  <c r="K38" i="6"/>
  <c r="I38" i="6"/>
  <c r="G38" i="6"/>
  <c r="K37" i="6"/>
  <c r="I37" i="6"/>
  <c r="G37" i="6"/>
  <c r="K36" i="6"/>
  <c r="I36" i="6"/>
  <c r="G36" i="6"/>
  <c r="K35" i="6"/>
  <c r="I35" i="6"/>
  <c r="G35" i="6"/>
  <c r="K34" i="6"/>
  <c r="I34" i="6"/>
  <c r="G34" i="6"/>
  <c r="K33" i="6"/>
  <c r="I33" i="6"/>
  <c r="G33" i="6"/>
  <c r="K32" i="6"/>
  <c r="I32" i="6"/>
  <c r="G32" i="6"/>
  <c r="K31" i="6"/>
  <c r="I31" i="6"/>
  <c r="G31" i="6"/>
  <c r="K30" i="6"/>
  <c r="I30" i="6"/>
  <c r="G30" i="6"/>
  <c r="K29" i="6"/>
  <c r="I29" i="6"/>
  <c r="G29" i="6"/>
  <c r="K28" i="6"/>
  <c r="I28" i="6"/>
  <c r="G28" i="6"/>
  <c r="K27" i="6"/>
  <c r="I27" i="6"/>
  <c r="G27" i="6"/>
  <c r="K26" i="6"/>
  <c r="I26" i="6"/>
  <c r="G26" i="6"/>
  <c r="K25" i="6"/>
  <c r="I25" i="6"/>
  <c r="G25" i="6"/>
  <c r="K24" i="6"/>
  <c r="I24" i="6"/>
  <c r="G24" i="6"/>
  <c r="K23" i="6"/>
  <c r="I23" i="6"/>
  <c r="G23" i="6"/>
  <c r="K22" i="6"/>
  <c r="I22" i="6"/>
  <c r="G22" i="6"/>
  <c r="K21" i="6"/>
  <c r="I21" i="6"/>
  <c r="G21" i="6"/>
  <c r="K20" i="6"/>
  <c r="I20" i="6"/>
  <c r="G20" i="6"/>
  <c r="K19" i="6"/>
  <c r="I19" i="6"/>
  <c r="G19" i="6"/>
  <c r="K18" i="6"/>
  <c r="I18" i="6"/>
  <c r="G18" i="6"/>
  <c r="K17" i="6"/>
  <c r="I17" i="6"/>
  <c r="G17" i="6"/>
  <c r="K16" i="6"/>
  <c r="I16" i="6"/>
  <c r="G16" i="6"/>
  <c r="K15" i="6"/>
  <c r="I15" i="6"/>
  <c r="G15" i="6"/>
  <c r="K80" i="6"/>
  <c r="I80" i="6"/>
  <c r="G80" i="6"/>
  <c r="K79" i="6"/>
  <c r="I79" i="6"/>
  <c r="G79" i="6"/>
  <c r="K78" i="6"/>
  <c r="K77" i="6"/>
  <c r="I77" i="6"/>
  <c r="K14" i="6"/>
  <c r="I14" i="6"/>
  <c r="I13" i="6"/>
  <c r="G13" i="6"/>
  <c r="I12" i="6"/>
  <c r="K12" i="6"/>
  <c r="K11" i="6"/>
  <c r="I11" i="6"/>
  <c r="G11" i="6"/>
  <c r="K10" i="6"/>
  <c r="I10" i="6"/>
  <c r="G10" i="6"/>
  <c r="E64" i="5"/>
  <c r="E50" i="5"/>
  <c r="A48" i="5"/>
  <c r="A49" i="5" s="1"/>
  <c r="A50" i="5" s="1"/>
  <c r="A63" i="5" s="1"/>
  <c r="A64" i="5" s="1"/>
  <c r="A77" i="5" s="1"/>
  <c r="A78" i="5" s="1"/>
  <c r="A79" i="5" s="1"/>
  <c r="A47" i="5"/>
  <c r="E28" i="5"/>
  <c r="A14" i="5"/>
  <c r="A19" i="5" s="1"/>
  <c r="A25" i="5" s="1"/>
  <c r="A28" i="5" s="1"/>
  <c r="A43" i="5" s="1"/>
  <c r="A44" i="5" s="1"/>
  <c r="A45" i="5" s="1"/>
  <c r="K79" i="5"/>
  <c r="I79" i="5"/>
  <c r="G79" i="5"/>
  <c r="K78" i="5"/>
  <c r="I78" i="5"/>
  <c r="G78" i="5"/>
  <c r="K77" i="5"/>
  <c r="I77" i="5"/>
  <c r="G77" i="5"/>
  <c r="K76" i="5"/>
  <c r="I76" i="5"/>
  <c r="G76" i="5"/>
  <c r="K75" i="5"/>
  <c r="I75" i="5"/>
  <c r="G75" i="5"/>
  <c r="K74" i="5"/>
  <c r="I74" i="5"/>
  <c r="G74" i="5"/>
  <c r="K73" i="5"/>
  <c r="I73" i="5"/>
  <c r="G73" i="5"/>
  <c r="K72" i="5"/>
  <c r="I72" i="5"/>
  <c r="G72" i="5"/>
  <c r="K71" i="5"/>
  <c r="I71" i="5"/>
  <c r="G71" i="5"/>
  <c r="K70" i="5"/>
  <c r="I70" i="5"/>
  <c r="G70" i="5"/>
  <c r="K69" i="5"/>
  <c r="I69" i="5"/>
  <c r="G69" i="5"/>
  <c r="K68" i="5"/>
  <c r="I68" i="5"/>
  <c r="G68" i="5"/>
  <c r="K67" i="5"/>
  <c r="I67" i="5"/>
  <c r="G67" i="5"/>
  <c r="K66" i="5"/>
  <c r="I66" i="5"/>
  <c r="G66" i="5"/>
  <c r="K65" i="5"/>
  <c r="I65" i="5"/>
  <c r="G65" i="5"/>
  <c r="K63" i="5"/>
  <c r="I63" i="5"/>
  <c r="G63" i="5"/>
  <c r="K62" i="5"/>
  <c r="I62" i="5"/>
  <c r="G62" i="5"/>
  <c r="K61" i="5"/>
  <c r="I61" i="5"/>
  <c r="G61" i="5"/>
  <c r="K60" i="5"/>
  <c r="I60" i="5"/>
  <c r="G60" i="5"/>
  <c r="K59" i="5"/>
  <c r="I59" i="5"/>
  <c r="G59" i="5"/>
  <c r="K58" i="5"/>
  <c r="I58" i="5"/>
  <c r="G58" i="5"/>
  <c r="K57" i="5"/>
  <c r="I57" i="5"/>
  <c r="G57" i="5"/>
  <c r="K56" i="5"/>
  <c r="I56" i="5"/>
  <c r="G56" i="5"/>
  <c r="K55" i="5"/>
  <c r="I55" i="5"/>
  <c r="G55" i="5"/>
  <c r="K54" i="5"/>
  <c r="I54" i="5"/>
  <c r="G54" i="5"/>
  <c r="K52" i="5"/>
  <c r="K51" i="5"/>
  <c r="I51" i="5"/>
  <c r="G51" i="5"/>
  <c r="K47" i="5"/>
  <c r="I47" i="5"/>
  <c r="G47" i="5"/>
  <c r="K46" i="5"/>
  <c r="I46" i="5"/>
  <c r="G46" i="5"/>
  <c r="K45" i="5"/>
  <c r="K42" i="5"/>
  <c r="I42" i="5"/>
  <c r="G42" i="5"/>
  <c r="K44" i="5"/>
  <c r="K40" i="5"/>
  <c r="K43" i="5"/>
  <c r="I43" i="5"/>
  <c r="G43" i="5"/>
  <c r="K39" i="5"/>
  <c r="I39" i="5"/>
  <c r="G39" i="5"/>
  <c r="I24" i="5"/>
  <c r="K23" i="5"/>
  <c r="I23" i="5"/>
  <c r="G23" i="5"/>
  <c r="K22" i="5"/>
  <c r="K21" i="5"/>
  <c r="I21" i="5"/>
  <c r="G21" i="5"/>
  <c r="G15" i="5"/>
  <c r="K14" i="5"/>
  <c r="I14" i="5"/>
  <c r="K12" i="5"/>
  <c r="I12" i="5"/>
  <c r="G12" i="5"/>
  <c r="K11" i="5"/>
  <c r="I11" i="5"/>
  <c r="G11" i="5"/>
  <c r="K10" i="5"/>
  <c r="I10" i="5"/>
  <c r="G10" i="5"/>
  <c r="K12" i="4"/>
  <c r="K11" i="4"/>
  <c r="I11" i="4"/>
  <c r="G11" i="4"/>
  <c r="E13" i="4"/>
  <c r="K13" i="4" s="1"/>
  <c r="E12" i="4"/>
  <c r="I12" i="4" s="1"/>
  <c r="A11" i="4"/>
  <c r="A14" i="4" s="1"/>
  <c r="A18" i="4" s="1"/>
  <c r="A22" i="4" s="1"/>
  <c r="A25" i="4" s="1"/>
  <c r="A36" i="4" s="1"/>
  <c r="A39" i="4" s="1"/>
  <c r="A44" i="4" s="1"/>
  <c r="A55" i="4" s="1"/>
  <c r="E55" i="4"/>
  <c r="E57" i="4" s="1"/>
  <c r="E48" i="4"/>
  <c r="I48" i="4" s="1"/>
  <c r="E47" i="4"/>
  <c r="G47" i="4" s="1"/>
  <c r="E45" i="4"/>
  <c r="D54" i="4"/>
  <c r="D53" i="4"/>
  <c r="D50" i="4"/>
  <c r="D49" i="4"/>
  <c r="D46" i="4"/>
  <c r="E46" i="4" s="1"/>
  <c r="E43" i="4"/>
  <c r="G43" i="4" s="1"/>
  <c r="E41" i="4"/>
  <c r="I41" i="4" s="1"/>
  <c r="E40" i="4"/>
  <c r="I40" i="4" s="1"/>
  <c r="D42" i="4"/>
  <c r="E42" i="4" s="1"/>
  <c r="I42" i="4" s="1"/>
  <c r="D35" i="4"/>
  <c r="D34" i="4"/>
  <c r="D33" i="4"/>
  <c r="D30" i="4"/>
  <c r="D29" i="4"/>
  <c r="D27" i="4"/>
  <c r="E25" i="4"/>
  <c r="E36" i="4" s="1"/>
  <c r="E24" i="4"/>
  <c r="E23" i="4"/>
  <c r="K23" i="4" s="1"/>
  <c r="E18" i="4"/>
  <c r="E21" i="4" s="1"/>
  <c r="I21" i="4" s="1"/>
  <c r="E17" i="4"/>
  <c r="K60" i="4"/>
  <c r="I60" i="4"/>
  <c r="G60" i="4"/>
  <c r="K48" i="4"/>
  <c r="K44" i="4"/>
  <c r="K41" i="4"/>
  <c r="G40" i="4"/>
  <c r="K39" i="4"/>
  <c r="I39" i="4"/>
  <c r="G39" i="4"/>
  <c r="I24" i="4"/>
  <c r="I22" i="4"/>
  <c r="G22" i="4"/>
  <c r="K22" i="4"/>
  <c r="K18" i="4"/>
  <c r="G18" i="4"/>
  <c r="L322" i="3"/>
  <c r="K322" i="3"/>
  <c r="I322" i="3"/>
  <c r="G322" i="3"/>
  <c r="K321" i="3"/>
  <c r="L321" i="3" s="1"/>
  <c r="I321" i="3"/>
  <c r="G321" i="3"/>
  <c r="K320" i="3"/>
  <c r="L320" i="3" s="1"/>
  <c r="I320" i="3"/>
  <c r="G320" i="3"/>
  <c r="L319" i="3"/>
  <c r="K319" i="3"/>
  <c r="I319" i="3"/>
  <c r="G319" i="3"/>
  <c r="E322" i="3"/>
  <c r="E321" i="3"/>
  <c r="E341" i="3"/>
  <c r="D335" i="3"/>
  <c r="E335" i="3" s="1"/>
  <c r="E333" i="3"/>
  <c r="E338" i="3" s="1"/>
  <c r="E332" i="3"/>
  <c r="E329" i="3"/>
  <c r="E325" i="3"/>
  <c r="E328" i="3" s="1"/>
  <c r="E327" i="3"/>
  <c r="E324" i="3"/>
  <c r="D311" i="3"/>
  <c r="D267" i="3"/>
  <c r="D301" i="3"/>
  <c r="E292" i="3"/>
  <c r="E296" i="3" s="1"/>
  <c r="E291" i="3"/>
  <c r="E290" i="3"/>
  <c r="E286" i="3"/>
  <c r="E281" i="3"/>
  <c r="E278" i="3"/>
  <c r="E279" i="3" s="1"/>
  <c r="D276" i="3"/>
  <c r="E274" i="3"/>
  <c r="E275" i="3" s="1"/>
  <c r="E265" i="3"/>
  <c r="E266" i="3" s="1"/>
  <c r="E264" i="3"/>
  <c r="E263" i="3"/>
  <c r="E262" i="3"/>
  <c r="E255" i="3"/>
  <c r="E257" i="3" s="1"/>
  <c r="E503" i="1"/>
  <c r="E496" i="1"/>
  <c r="E151" i="1"/>
  <c r="E251" i="3"/>
  <c r="E253" i="3" s="1"/>
  <c r="E246" i="3"/>
  <c r="E250" i="3" s="1"/>
  <c r="D232" i="3"/>
  <c r="G676" i="1"/>
  <c r="I676" i="1"/>
  <c r="K676" i="1"/>
  <c r="D225" i="3"/>
  <c r="E223" i="3"/>
  <c r="E224" i="3" s="1"/>
  <c r="E227" i="3" s="1"/>
  <c r="E218" i="3"/>
  <c r="E234" i="3" s="1"/>
  <c r="E235" i="3" s="1"/>
  <c r="D221" i="3"/>
  <c r="D216" i="3"/>
  <c r="E213" i="3"/>
  <c r="E217" i="3" s="1"/>
  <c r="E195" i="3"/>
  <c r="E198" i="3" s="1"/>
  <c r="E199" i="3" s="1"/>
  <c r="E202" i="3" s="1"/>
  <c r="E184" i="3"/>
  <c r="E185" i="3" s="1"/>
  <c r="E206" i="3"/>
  <c r="E209" i="3" s="1"/>
  <c r="D205" i="3"/>
  <c r="D204" i="3"/>
  <c r="D201" i="3"/>
  <c r="D200" i="3"/>
  <c r="D197" i="3"/>
  <c r="D194" i="3"/>
  <c r="D193" i="3"/>
  <c r="D190" i="3"/>
  <c r="D189" i="3"/>
  <c r="D186" i="3"/>
  <c r="E176" i="3"/>
  <c r="E160" i="3"/>
  <c r="E148" i="3"/>
  <c r="E175" i="3"/>
  <c r="E159" i="3"/>
  <c r="E147" i="3"/>
  <c r="E173" i="3"/>
  <c r="D183" i="3"/>
  <c r="E183" i="3" s="1"/>
  <c r="D182" i="3"/>
  <c r="D181" i="3"/>
  <c r="D178" i="3"/>
  <c r="D177" i="3"/>
  <c r="D174" i="3"/>
  <c r="E174" i="3" s="1"/>
  <c r="E171" i="3"/>
  <c r="E157" i="3"/>
  <c r="D167" i="3"/>
  <c r="E167" i="3" s="1"/>
  <c r="D166" i="3"/>
  <c r="D165" i="3"/>
  <c r="D162" i="3"/>
  <c r="D161" i="3"/>
  <c r="D158" i="3"/>
  <c r="E158" i="3" s="1"/>
  <c r="E164" i="3" s="1"/>
  <c r="E144" i="3"/>
  <c r="D155" i="3"/>
  <c r="D154" i="3"/>
  <c r="D153" i="3"/>
  <c r="D150" i="3"/>
  <c r="D149" i="3"/>
  <c r="D146" i="3"/>
  <c r="D94" i="3"/>
  <c r="E92" i="3"/>
  <c r="G92" i="3" s="1"/>
  <c r="E136" i="3"/>
  <c r="E135" i="3"/>
  <c r="D143" i="3"/>
  <c r="D142" i="3"/>
  <c r="D141" i="3"/>
  <c r="D138" i="3"/>
  <c r="D137" i="3"/>
  <c r="D134" i="3"/>
  <c r="E132" i="3"/>
  <c r="E133" i="3" s="1"/>
  <c r="E124" i="3"/>
  <c r="E123" i="3"/>
  <c r="E122" i="3"/>
  <c r="E131" i="3" s="1"/>
  <c r="E121" i="3"/>
  <c r="D130" i="3"/>
  <c r="D129" i="3"/>
  <c r="D126" i="3"/>
  <c r="D125" i="3"/>
  <c r="E112" i="3"/>
  <c r="E111" i="3"/>
  <c r="D119" i="3"/>
  <c r="D118" i="3"/>
  <c r="D117" i="3"/>
  <c r="D114" i="3"/>
  <c r="D113" i="3"/>
  <c r="D110" i="3"/>
  <c r="E108" i="3"/>
  <c r="E100" i="3"/>
  <c r="E99" i="3"/>
  <c r="E97" i="3"/>
  <c r="D107" i="3"/>
  <c r="E107" i="3" s="1"/>
  <c r="D106" i="3"/>
  <c r="D105" i="3"/>
  <c r="D102" i="3"/>
  <c r="D101" i="3"/>
  <c r="D98" i="3"/>
  <c r="E46" i="3"/>
  <c r="E45" i="3"/>
  <c r="E84" i="3"/>
  <c r="E83" i="3"/>
  <c r="D91" i="3"/>
  <c r="D90" i="3"/>
  <c r="D89" i="3"/>
  <c r="D86" i="3"/>
  <c r="D85" i="3"/>
  <c r="D82" i="3"/>
  <c r="E80" i="3"/>
  <c r="E81" i="3" s="1"/>
  <c r="E79" i="3"/>
  <c r="E78" i="3"/>
  <c r="E73" i="3"/>
  <c r="E75" i="3" s="1"/>
  <c r="E68" i="3"/>
  <c r="E67" i="3"/>
  <c r="D65" i="3"/>
  <c r="D64" i="3"/>
  <c r="D53" i="3"/>
  <c r="D52" i="3"/>
  <c r="D51" i="3"/>
  <c r="D48" i="3"/>
  <c r="D47" i="3"/>
  <c r="D44" i="3"/>
  <c r="E42" i="3"/>
  <c r="E43" i="3" s="1"/>
  <c r="E41" i="3"/>
  <c r="E40" i="3"/>
  <c r="E36" i="3"/>
  <c r="E38" i="3" s="1"/>
  <c r="E28" i="3"/>
  <c r="E27" i="3"/>
  <c r="D34" i="3"/>
  <c r="D33" i="3"/>
  <c r="D30" i="3"/>
  <c r="D29" i="3"/>
  <c r="E24" i="3"/>
  <c r="E35" i="3" s="1"/>
  <c r="E23" i="3"/>
  <c r="E21" i="3"/>
  <c r="D22" i="3"/>
  <c r="E22" i="3" s="1"/>
  <c r="E17" i="3"/>
  <c r="E19" i="3" s="1"/>
  <c r="E16" i="3"/>
  <c r="E15" i="3"/>
  <c r="D13" i="3"/>
  <c r="E11" i="3"/>
  <c r="E12" i="3" s="1"/>
  <c r="A11" i="3"/>
  <c r="A14" i="3" s="1"/>
  <c r="A17" i="3" s="1"/>
  <c r="A20" i="3" s="1"/>
  <c r="A24" i="3" s="1"/>
  <c r="A36" i="3" s="1"/>
  <c r="A39" i="3" s="1"/>
  <c r="A42" i="3" s="1"/>
  <c r="A54" i="3" s="1"/>
  <c r="A57" i="3" s="1"/>
  <c r="A61" i="3" s="1"/>
  <c r="E10" i="3"/>
  <c r="E598" i="1"/>
  <c r="E593" i="1"/>
  <c r="G180" i="1" l="1"/>
  <c r="I180" i="1"/>
  <c r="L18" i="6"/>
  <c r="L30" i="6"/>
  <c r="L42" i="6"/>
  <c r="L46" i="6"/>
  <c r="L54" i="6"/>
  <c r="L17" i="6"/>
  <c r="L58" i="6"/>
  <c r="L66" i="6"/>
  <c r="K183" i="1"/>
  <c r="G183" i="1"/>
  <c r="I179" i="1"/>
  <c r="G179" i="1"/>
  <c r="K122" i="1"/>
  <c r="E15" i="4"/>
  <c r="G14" i="4"/>
  <c r="L39" i="4"/>
  <c r="E16" i="4"/>
  <c r="I18" i="4"/>
  <c r="E19" i="4"/>
  <c r="E58" i="4"/>
  <c r="I58" i="4" s="1"/>
  <c r="E20" i="4"/>
  <c r="A62" i="4"/>
  <c r="A59" i="4"/>
  <c r="L177" i="1"/>
  <c r="L175" i="1"/>
  <c r="G181" i="1"/>
  <c r="L185" i="1"/>
  <c r="I181" i="1"/>
  <c r="G184" i="1"/>
  <c r="I184" i="1"/>
  <c r="L676" i="1"/>
  <c r="G182" i="1"/>
  <c r="K182" i="1"/>
  <c r="I182" i="1"/>
  <c r="L176" i="1"/>
  <c r="L178" i="1"/>
  <c r="K131" i="1"/>
  <c r="I131" i="1"/>
  <c r="L120" i="1"/>
  <c r="L124" i="1"/>
  <c r="I129" i="1"/>
  <c r="K129" i="1"/>
  <c r="G129" i="1"/>
  <c r="G122" i="1"/>
  <c r="E128" i="1"/>
  <c r="E130" i="1"/>
  <c r="G121" i="1"/>
  <c r="I121" i="1"/>
  <c r="K121" i="1"/>
  <c r="E127" i="1"/>
  <c r="G127" i="1" s="1"/>
  <c r="E125" i="1"/>
  <c r="I122" i="1"/>
  <c r="E126" i="1"/>
  <c r="L123" i="1"/>
  <c r="L28" i="6"/>
  <c r="L40" i="6"/>
  <c r="L56" i="6"/>
  <c r="L68" i="6"/>
  <c r="L23" i="6"/>
  <c r="L35" i="6"/>
  <c r="L29" i="6"/>
  <c r="L41" i="6"/>
  <c r="L25" i="6"/>
  <c r="L33" i="6"/>
  <c r="L45" i="6"/>
  <c r="L57" i="6"/>
  <c r="L73" i="6"/>
  <c r="L26" i="6"/>
  <c r="L38" i="6"/>
  <c r="L37" i="6"/>
  <c r="L21" i="6"/>
  <c r="L49" i="6"/>
  <c r="L61" i="6"/>
  <c r="L69" i="6"/>
  <c r="L22" i="6"/>
  <c r="L34" i="6"/>
  <c r="L50" i="6"/>
  <c r="L62" i="6"/>
  <c r="L74" i="6"/>
  <c r="L70" i="6"/>
  <c r="L19" i="6"/>
  <c r="L31" i="6"/>
  <c r="L43" i="6"/>
  <c r="L47" i="6"/>
  <c r="L59" i="6"/>
  <c r="L71" i="6"/>
  <c r="L65" i="6"/>
  <c r="L15" i="6"/>
  <c r="L27" i="6"/>
  <c r="L39" i="6"/>
  <c r="L51" i="6"/>
  <c r="L55" i="6"/>
  <c r="L63" i="6"/>
  <c r="L67" i="6"/>
  <c r="L75" i="6"/>
  <c r="L20" i="6"/>
  <c r="L32" i="6"/>
  <c r="L44" i="6"/>
  <c r="L53" i="6"/>
  <c r="L11" i="6"/>
  <c r="L16" i="6"/>
  <c r="L24" i="6"/>
  <c r="L36" i="6"/>
  <c r="L48" i="6"/>
  <c r="L52" i="6"/>
  <c r="L60" i="6"/>
  <c r="L64" i="6"/>
  <c r="L72" i="6"/>
  <c r="L76" i="6"/>
  <c r="L79" i="6"/>
  <c r="L80" i="6"/>
  <c r="L10" i="6"/>
  <c r="K81" i="6"/>
  <c r="I81" i="6"/>
  <c r="G81" i="6"/>
  <c r="G87" i="6"/>
  <c r="I87" i="6"/>
  <c r="K87" i="6"/>
  <c r="K85" i="6"/>
  <c r="I85" i="6"/>
  <c r="G85" i="6"/>
  <c r="G84" i="6"/>
  <c r="K84" i="6"/>
  <c r="I84" i="6"/>
  <c r="K13" i="6"/>
  <c r="L13" i="6" s="1"/>
  <c r="G82" i="6"/>
  <c r="G78" i="6"/>
  <c r="K82" i="6"/>
  <c r="I78" i="6"/>
  <c r="G14" i="6"/>
  <c r="L14" i="6" s="1"/>
  <c r="G12" i="6"/>
  <c r="L12" i="6" s="1"/>
  <c r="I82" i="6"/>
  <c r="G77" i="6"/>
  <c r="L77" i="6" s="1"/>
  <c r="L72" i="5"/>
  <c r="L63" i="5"/>
  <c r="L73" i="5"/>
  <c r="L70" i="5"/>
  <c r="L42" i="5"/>
  <c r="L67" i="5"/>
  <c r="L39" i="5"/>
  <c r="L79" i="5"/>
  <c r="L69" i="5"/>
  <c r="L76" i="5"/>
  <c r="L77" i="5"/>
  <c r="L47" i="5"/>
  <c r="L65" i="5"/>
  <c r="L68" i="5"/>
  <c r="L66" i="5"/>
  <c r="L59" i="5"/>
  <c r="L55" i="5"/>
  <c r="L56" i="5"/>
  <c r="L60" i="5"/>
  <c r="L61" i="5"/>
  <c r="L62" i="5"/>
  <c r="L57" i="5"/>
  <c r="L78" i="5"/>
  <c r="L74" i="5"/>
  <c r="L75" i="5"/>
  <c r="L54" i="5"/>
  <c r="L58" i="5"/>
  <c r="L71" i="5"/>
  <c r="L46" i="5"/>
  <c r="L43" i="5"/>
  <c r="L10" i="5"/>
  <c r="L21" i="5"/>
  <c r="L11" i="5"/>
  <c r="L23" i="5"/>
  <c r="I48" i="5"/>
  <c r="K48" i="5"/>
  <c r="G48" i="5"/>
  <c r="I35" i="5"/>
  <c r="G35" i="5"/>
  <c r="K35" i="5"/>
  <c r="L12" i="5"/>
  <c r="K49" i="5"/>
  <c r="I49" i="5"/>
  <c r="G49" i="5"/>
  <c r="K16" i="5"/>
  <c r="G16" i="5"/>
  <c r="I16" i="5"/>
  <c r="L51" i="5"/>
  <c r="G31" i="5"/>
  <c r="K31" i="5"/>
  <c r="I31" i="5"/>
  <c r="G19" i="5"/>
  <c r="I19" i="5"/>
  <c r="K19" i="5"/>
  <c r="K29" i="5"/>
  <c r="I29" i="5"/>
  <c r="G29" i="5"/>
  <c r="I53" i="5"/>
  <c r="G53" i="5"/>
  <c r="K53" i="5"/>
  <c r="K30" i="5"/>
  <c r="I30" i="5"/>
  <c r="G30" i="5"/>
  <c r="I33" i="5"/>
  <c r="K33" i="5"/>
  <c r="G33" i="5"/>
  <c r="G41" i="5"/>
  <c r="K41" i="5"/>
  <c r="I41" i="5"/>
  <c r="K34" i="5"/>
  <c r="I34" i="5"/>
  <c r="G34" i="5"/>
  <c r="I45" i="5"/>
  <c r="G26" i="5"/>
  <c r="G17" i="5"/>
  <c r="I26" i="5"/>
  <c r="G45" i="5"/>
  <c r="I17" i="5"/>
  <c r="K26" i="5"/>
  <c r="I15" i="5"/>
  <c r="K17" i="5"/>
  <c r="I22" i="5"/>
  <c r="K24" i="5"/>
  <c r="G44" i="5"/>
  <c r="G52" i="5"/>
  <c r="G22" i="5"/>
  <c r="G13" i="5"/>
  <c r="K15" i="5"/>
  <c r="G40" i="5"/>
  <c r="I44" i="5"/>
  <c r="I52" i="5"/>
  <c r="I13" i="5"/>
  <c r="I40" i="5"/>
  <c r="G24" i="5"/>
  <c r="K13" i="5"/>
  <c r="G14" i="5"/>
  <c r="L14" i="5" s="1"/>
  <c r="G23" i="4"/>
  <c r="E27" i="4"/>
  <c r="I27" i="4" s="1"/>
  <c r="I23" i="4"/>
  <c r="L23" i="4" s="1"/>
  <c r="G48" i="4"/>
  <c r="L48" i="4" s="1"/>
  <c r="E35" i="4"/>
  <c r="K35" i="4" s="1"/>
  <c r="E26" i="4"/>
  <c r="G58" i="4"/>
  <c r="E56" i="4"/>
  <c r="E50" i="4"/>
  <c r="E49" i="4"/>
  <c r="E53" i="4"/>
  <c r="K46" i="4"/>
  <c r="E52" i="4"/>
  <c r="E51" i="4"/>
  <c r="E30" i="4"/>
  <c r="I30" i="4" s="1"/>
  <c r="E34" i="4"/>
  <c r="E32" i="4"/>
  <c r="I32" i="4" s="1"/>
  <c r="E31" i="4"/>
  <c r="E37" i="4"/>
  <c r="G37" i="4" s="1"/>
  <c r="E38" i="4"/>
  <c r="G36" i="4"/>
  <c r="E54" i="4"/>
  <c r="E29" i="4"/>
  <c r="G29" i="4" s="1"/>
  <c r="G17" i="4"/>
  <c r="K17" i="4"/>
  <c r="I17" i="4"/>
  <c r="K43" i="4"/>
  <c r="G19" i="4"/>
  <c r="G26" i="4"/>
  <c r="K58" i="4"/>
  <c r="L58" i="4" s="1"/>
  <c r="K20" i="4"/>
  <c r="E28" i="4"/>
  <c r="G28" i="4" s="1"/>
  <c r="L11" i="4"/>
  <c r="G12" i="4"/>
  <c r="K40" i="4"/>
  <c r="L40" i="4" s="1"/>
  <c r="L12" i="4"/>
  <c r="G13" i="4"/>
  <c r="I13" i="4"/>
  <c r="L60" i="4"/>
  <c r="L22" i="4"/>
  <c r="K25" i="4"/>
  <c r="G25" i="4"/>
  <c r="I25" i="4"/>
  <c r="G46" i="4"/>
  <c r="I14" i="4"/>
  <c r="I35" i="4"/>
  <c r="I46" i="4"/>
  <c r="G35" i="4"/>
  <c r="G42" i="4"/>
  <c r="K42" i="4"/>
  <c r="K21" i="4"/>
  <c r="G21" i="4"/>
  <c r="K57" i="4"/>
  <c r="I57" i="4"/>
  <c r="G57" i="4"/>
  <c r="K14" i="4"/>
  <c r="K36" i="4"/>
  <c r="I36" i="4"/>
  <c r="K47" i="4"/>
  <c r="I47" i="4"/>
  <c r="L18" i="4"/>
  <c r="K24" i="4"/>
  <c r="G24" i="4"/>
  <c r="G44" i="4"/>
  <c r="I44" i="4"/>
  <c r="K10" i="4"/>
  <c r="I10" i="4"/>
  <c r="G10" i="4"/>
  <c r="K45" i="4"/>
  <c r="I45" i="4"/>
  <c r="G45" i="4"/>
  <c r="K61" i="4"/>
  <c r="I61" i="4"/>
  <c r="G61" i="4"/>
  <c r="G41" i="4"/>
  <c r="L41" i="4" s="1"/>
  <c r="I43" i="4"/>
  <c r="E336" i="3"/>
  <c r="E337" i="3"/>
  <c r="E326" i="3"/>
  <c r="E309" i="3"/>
  <c r="E313" i="3" s="1"/>
  <c r="E334" i="3"/>
  <c r="E101" i="3"/>
  <c r="E311" i="3"/>
  <c r="E317" i="3"/>
  <c r="E316" i="3"/>
  <c r="E314" i="3"/>
  <c r="E318" i="3"/>
  <c r="E315" i="3"/>
  <c r="E284" i="3"/>
  <c r="G284" i="3" s="1"/>
  <c r="E285" i="3"/>
  <c r="K285" i="3" s="1"/>
  <c r="E312" i="3"/>
  <c r="E298" i="3"/>
  <c r="E297" i="3"/>
  <c r="I297" i="3" s="1"/>
  <c r="E299" i="3"/>
  <c r="E301" i="3" s="1"/>
  <c r="E293" i="3"/>
  <c r="K293" i="3" s="1"/>
  <c r="E294" i="3"/>
  <c r="E295" i="3"/>
  <c r="I295" i="3" s="1"/>
  <c r="E276" i="3"/>
  <c r="E254" i="3"/>
  <c r="E267" i="3"/>
  <c r="E268" i="3"/>
  <c r="K268" i="3" s="1"/>
  <c r="E269" i="3"/>
  <c r="E270" i="3" s="1"/>
  <c r="E256" i="3"/>
  <c r="E259" i="3"/>
  <c r="K259" i="3" s="1"/>
  <c r="E54" i="3"/>
  <c r="G54" i="3" s="1"/>
  <c r="E216" i="3"/>
  <c r="E252" i="3"/>
  <c r="E277" i="3"/>
  <c r="I277" i="3" s="1"/>
  <c r="E221" i="3"/>
  <c r="I221" i="3" s="1"/>
  <c r="E258" i="3"/>
  <c r="K258" i="3" s="1"/>
  <c r="E225" i="3"/>
  <c r="E214" i="3"/>
  <c r="I214" i="3" s="1"/>
  <c r="E247" i="3"/>
  <c r="K247" i="3" s="1"/>
  <c r="E236" i="3"/>
  <c r="E215" i="3"/>
  <c r="K215" i="3" s="1"/>
  <c r="E229" i="3"/>
  <c r="E239" i="3"/>
  <c r="E248" i="3"/>
  <c r="I248" i="3" s="1"/>
  <c r="E238" i="3"/>
  <c r="E207" i="3"/>
  <c r="I207" i="3" s="1"/>
  <c r="E226" i="3"/>
  <c r="E230" i="3"/>
  <c r="K230" i="3" s="1"/>
  <c r="E249" i="3"/>
  <c r="K249" i="3" s="1"/>
  <c r="E237" i="3"/>
  <c r="E228" i="3"/>
  <c r="G228" i="3" s="1"/>
  <c r="E210" i="3"/>
  <c r="E240" i="3"/>
  <c r="E166" i="3"/>
  <c r="G166" i="3" s="1"/>
  <c r="E197" i="3"/>
  <c r="E200" i="3" s="1"/>
  <c r="E203" i="3" s="1"/>
  <c r="I203" i="3" s="1"/>
  <c r="E155" i="3"/>
  <c r="E222" i="3"/>
  <c r="I222" i="3" s="1"/>
  <c r="E219" i="3"/>
  <c r="I219" i="3" s="1"/>
  <c r="E220" i="3"/>
  <c r="K220" i="3" s="1"/>
  <c r="A66" i="3"/>
  <c r="A69" i="3" s="1"/>
  <c r="A73" i="3" s="1"/>
  <c r="A77" i="3" s="1"/>
  <c r="A80" i="3" s="1"/>
  <c r="A92" i="3" s="1"/>
  <c r="A96" i="3" s="1"/>
  <c r="A108" i="3" s="1"/>
  <c r="A120" i="3" s="1"/>
  <c r="A132" i="3" s="1"/>
  <c r="A144" i="3" s="1"/>
  <c r="A156" i="3" s="1"/>
  <c r="A168" i="3" s="1"/>
  <c r="A172" i="3" s="1"/>
  <c r="A184" i="3" s="1"/>
  <c r="A195" i="3" s="1"/>
  <c r="A206" i="3" s="1"/>
  <c r="A213" i="3" s="1"/>
  <c r="A218" i="3" s="1"/>
  <c r="A223" i="3" s="1"/>
  <c r="A230" i="3" s="1"/>
  <c r="A234" i="3" s="1"/>
  <c r="A240" i="3" s="1"/>
  <c r="A243" i="3" s="1"/>
  <c r="A246" i="3" s="1"/>
  <c r="A251" i="3" s="1"/>
  <c r="A255" i="3" s="1"/>
  <c r="A261" i="3" s="1"/>
  <c r="A265" i="3" s="1"/>
  <c r="A269" i="3" s="1"/>
  <c r="A274" i="3" s="1"/>
  <c r="A278" i="3" s="1"/>
  <c r="A286" i="3" s="1"/>
  <c r="A289" i="3" s="1"/>
  <c r="A292" i="3" s="1"/>
  <c r="A296" i="3" s="1"/>
  <c r="A299" i="3" s="1"/>
  <c r="A303" i="3" s="1"/>
  <c r="A309" i="3" s="1"/>
  <c r="A313" i="3" s="1"/>
  <c r="E205" i="3"/>
  <c r="K205" i="3" s="1"/>
  <c r="E162" i="3"/>
  <c r="E165" i="3"/>
  <c r="K165" i="3" s="1"/>
  <c r="E201" i="3"/>
  <c r="E204" i="3" s="1"/>
  <c r="I204" i="3" s="1"/>
  <c r="E208" i="3"/>
  <c r="E161" i="3"/>
  <c r="E178" i="3"/>
  <c r="E181" i="3"/>
  <c r="K181" i="3" s="1"/>
  <c r="E180" i="3"/>
  <c r="E179" i="3"/>
  <c r="G179" i="3" s="1"/>
  <c r="E177" i="3"/>
  <c r="E182" i="3"/>
  <c r="I182" i="3" s="1"/>
  <c r="E94" i="3"/>
  <c r="K94" i="3" s="1"/>
  <c r="E44" i="3"/>
  <c r="E47" i="3" s="1"/>
  <c r="E169" i="3"/>
  <c r="K169" i="3" s="1"/>
  <c r="E163" i="3"/>
  <c r="E170" i="3"/>
  <c r="E143" i="3"/>
  <c r="K143" i="3" s="1"/>
  <c r="E113" i="3"/>
  <c r="E186" i="3"/>
  <c r="E193" i="3" s="1"/>
  <c r="I193" i="3" s="1"/>
  <c r="E196" i="3"/>
  <c r="E187" i="3"/>
  <c r="E188" i="3" s="1"/>
  <c r="E140" i="3"/>
  <c r="E109" i="3"/>
  <c r="K109" i="3" s="1"/>
  <c r="E93" i="3"/>
  <c r="E95" i="3"/>
  <c r="K95" i="3" s="1"/>
  <c r="E82" i="3"/>
  <c r="E88" i="3" s="1"/>
  <c r="K88" i="3" s="1"/>
  <c r="E129" i="3"/>
  <c r="E126" i="3"/>
  <c r="G126" i="3" s="1"/>
  <c r="E13" i="3"/>
  <c r="E39" i="3"/>
  <c r="E105" i="3"/>
  <c r="K105" i="3" s="1"/>
  <c r="E130" i="3"/>
  <c r="E146" i="3"/>
  <c r="E154" i="3" s="1"/>
  <c r="E61" i="3"/>
  <c r="E70" i="3" s="1"/>
  <c r="E91" i="3"/>
  <c r="E145" i="3"/>
  <c r="E53" i="3"/>
  <c r="K53" i="3" s="1"/>
  <c r="E102" i="3"/>
  <c r="E25" i="3"/>
  <c r="E37" i="3"/>
  <c r="I37" i="3" s="1"/>
  <c r="E74" i="3"/>
  <c r="K74" i="3" s="1"/>
  <c r="E103" i="3"/>
  <c r="E125" i="3"/>
  <c r="G125" i="3" s="1"/>
  <c r="E104" i="3"/>
  <c r="E18" i="3"/>
  <c r="E76" i="3"/>
  <c r="K76" i="3" s="1"/>
  <c r="E127" i="3"/>
  <c r="E26" i="3"/>
  <c r="E33" i="3" s="1"/>
  <c r="E128" i="3"/>
  <c r="K92" i="3"/>
  <c r="I92" i="3"/>
  <c r="E106" i="3"/>
  <c r="K106" i="3" s="1"/>
  <c r="K343" i="3"/>
  <c r="I343" i="3"/>
  <c r="G343" i="3"/>
  <c r="K342" i="3"/>
  <c r="I342" i="3"/>
  <c r="G342" i="3"/>
  <c r="K341" i="3"/>
  <c r="I341" i="3"/>
  <c r="G341" i="3"/>
  <c r="K340" i="3"/>
  <c r="K339" i="3"/>
  <c r="I339" i="3"/>
  <c r="G339" i="3"/>
  <c r="G338" i="3"/>
  <c r="K337" i="3"/>
  <c r="K333" i="3"/>
  <c r="K329" i="3"/>
  <c r="K325" i="3"/>
  <c r="K324" i="3"/>
  <c r="K323" i="3"/>
  <c r="I323" i="3"/>
  <c r="G323" i="3"/>
  <c r="K309" i="3"/>
  <c r="G309" i="3"/>
  <c r="K308" i="3"/>
  <c r="I308" i="3"/>
  <c r="G308" i="3"/>
  <c r="G297" i="3"/>
  <c r="K288" i="3"/>
  <c r="I288" i="3"/>
  <c r="G288" i="3"/>
  <c r="K287" i="3"/>
  <c r="I287" i="3"/>
  <c r="G287" i="3"/>
  <c r="K283" i="3"/>
  <c r="I283" i="3"/>
  <c r="G283" i="3"/>
  <c r="K281" i="3"/>
  <c r="I281" i="3"/>
  <c r="G281" i="3"/>
  <c r="I279" i="3"/>
  <c r="K265" i="3"/>
  <c r="K264" i="3"/>
  <c r="G264" i="3"/>
  <c r="I264" i="3"/>
  <c r="K263" i="3"/>
  <c r="G263" i="3"/>
  <c r="I263" i="3"/>
  <c r="G262" i="3"/>
  <c r="K261" i="3"/>
  <c r="I261" i="3"/>
  <c r="G261" i="3"/>
  <c r="K260" i="3"/>
  <c r="I260" i="3"/>
  <c r="G260" i="3"/>
  <c r="K257" i="3"/>
  <c r="I257" i="3"/>
  <c r="G257" i="3"/>
  <c r="K251" i="3"/>
  <c r="G250" i="3"/>
  <c r="I250" i="3"/>
  <c r="I234" i="3"/>
  <c r="I220" i="3"/>
  <c r="G217" i="3"/>
  <c r="I216" i="3"/>
  <c r="K213" i="3"/>
  <c r="I213" i="3"/>
  <c r="G213" i="3"/>
  <c r="K212" i="3"/>
  <c r="I212" i="3"/>
  <c r="G212" i="3"/>
  <c r="K211" i="3"/>
  <c r="I211" i="3"/>
  <c r="G211" i="3"/>
  <c r="K202" i="3"/>
  <c r="I202" i="3"/>
  <c r="G202" i="3"/>
  <c r="K167" i="3"/>
  <c r="G167" i="3"/>
  <c r="I167" i="3"/>
  <c r="I157" i="3"/>
  <c r="I136" i="3"/>
  <c r="I108" i="3"/>
  <c r="K97" i="3"/>
  <c r="I97" i="3"/>
  <c r="K96" i="3"/>
  <c r="K84" i="3"/>
  <c r="K83" i="3"/>
  <c r="K81" i="3"/>
  <c r="G81" i="3"/>
  <c r="I81" i="3"/>
  <c r="K80" i="3"/>
  <c r="K79" i="3"/>
  <c r="I78" i="3"/>
  <c r="G78" i="3"/>
  <c r="K78" i="3"/>
  <c r="K77" i="3"/>
  <c r="I77" i="3"/>
  <c r="K75" i="3"/>
  <c r="K66" i="3"/>
  <c r="I66" i="3"/>
  <c r="G66" i="3"/>
  <c r="I41" i="3"/>
  <c r="K40" i="3"/>
  <c r="K38" i="3"/>
  <c r="I38" i="3"/>
  <c r="K28" i="3"/>
  <c r="K24" i="3"/>
  <c r="K22" i="3"/>
  <c r="K21" i="3"/>
  <c r="I21" i="3"/>
  <c r="G21" i="3"/>
  <c r="I20" i="3"/>
  <c r="G17" i="3"/>
  <c r="K16" i="3"/>
  <c r="I16" i="3"/>
  <c r="G16" i="3"/>
  <c r="K15" i="3"/>
  <c r="I15" i="3"/>
  <c r="G15" i="3"/>
  <c r="K14" i="3"/>
  <c r="I14" i="3"/>
  <c r="G14" i="3"/>
  <c r="K11" i="3"/>
  <c r="K10" i="3"/>
  <c r="I10" i="3"/>
  <c r="E631" i="1"/>
  <c r="E395" i="1"/>
  <c r="E674" i="1"/>
  <c r="G674" i="1" s="1"/>
  <c r="G19" i="1"/>
  <c r="I19" i="1"/>
  <c r="K19" i="1"/>
  <c r="G684" i="1"/>
  <c r="E675" i="1"/>
  <c r="I675" i="1" s="1"/>
  <c r="E510" i="1"/>
  <c r="E520" i="1" s="1"/>
  <c r="I686" i="1"/>
  <c r="D679" i="1"/>
  <c r="E677" i="1"/>
  <c r="I677" i="1" s="1"/>
  <c r="G665" i="1"/>
  <c r="E645" i="1"/>
  <c r="G645" i="1" s="1"/>
  <c r="E644" i="1"/>
  <c r="G644" i="1" s="1"/>
  <c r="E640" i="1"/>
  <c r="E638" i="1" s="1"/>
  <c r="E641" i="1" s="1"/>
  <c r="E632" i="1"/>
  <c r="E636" i="1"/>
  <c r="E635" i="1"/>
  <c r="G647" i="1"/>
  <c r="I647" i="1"/>
  <c r="K647" i="1"/>
  <c r="G673" i="1"/>
  <c r="I673" i="1"/>
  <c r="K673" i="1"/>
  <c r="G683" i="1"/>
  <c r="I683" i="1"/>
  <c r="K683" i="1"/>
  <c r="G686" i="1"/>
  <c r="G687" i="1"/>
  <c r="I687" i="1"/>
  <c r="K687" i="1"/>
  <c r="G688" i="1"/>
  <c r="I688" i="1"/>
  <c r="K688" i="1"/>
  <c r="E623" i="1"/>
  <c r="E622" i="1"/>
  <c r="E621" i="1"/>
  <c r="E620" i="1"/>
  <c r="E618" i="1"/>
  <c r="E617" i="1"/>
  <c r="E616" i="1"/>
  <c r="E615" i="1"/>
  <c r="E614" i="1"/>
  <c r="E613" i="1"/>
  <c r="E612" i="1"/>
  <c r="D619" i="1"/>
  <c r="E619" i="1" s="1"/>
  <c r="D606" i="1"/>
  <c r="E610" i="1"/>
  <c r="L184" i="1" l="1"/>
  <c r="L180" i="1"/>
  <c r="L183" i="1"/>
  <c r="L179" i="1"/>
  <c r="L17" i="4"/>
  <c r="L182" i="1"/>
  <c r="L181" i="1"/>
  <c r="K395" i="1"/>
  <c r="E400" i="1"/>
  <c r="I20" i="4"/>
  <c r="L20" i="4" s="1"/>
  <c r="G20" i="4"/>
  <c r="L19" i="4"/>
  <c r="K27" i="4"/>
  <c r="E33" i="4"/>
  <c r="K33" i="4" s="1"/>
  <c r="I19" i="4"/>
  <c r="K19" i="4"/>
  <c r="G27" i="4"/>
  <c r="L131" i="1"/>
  <c r="K127" i="1"/>
  <c r="L19" i="1"/>
  <c r="L121" i="1"/>
  <c r="L129" i="1"/>
  <c r="L122" i="1"/>
  <c r="K125" i="1"/>
  <c r="G125" i="1"/>
  <c r="I125" i="1"/>
  <c r="I127" i="1"/>
  <c r="I395" i="1"/>
  <c r="G395" i="1"/>
  <c r="G130" i="1"/>
  <c r="I130" i="1"/>
  <c r="K130" i="1"/>
  <c r="I128" i="1"/>
  <c r="G128" i="1"/>
  <c r="K128" i="1"/>
  <c r="I126" i="1"/>
  <c r="K126" i="1"/>
  <c r="G126" i="1"/>
  <c r="E679" i="1"/>
  <c r="I679" i="1" s="1"/>
  <c r="L87" i="6"/>
  <c r="L78" i="6"/>
  <c r="L84" i="6"/>
  <c r="L85" i="6"/>
  <c r="L81" i="6"/>
  <c r="L82" i="6"/>
  <c r="K83" i="6"/>
  <c r="K88" i="6" s="1"/>
  <c r="I83" i="6"/>
  <c r="I88" i="6" s="1"/>
  <c r="G83" i="6"/>
  <c r="G88" i="6" s="1"/>
  <c r="L89" i="6" s="1"/>
  <c r="L40" i="5"/>
  <c r="L52" i="5"/>
  <c r="L45" i="5"/>
  <c r="L35" i="5"/>
  <c r="L22" i="5"/>
  <c r="L44" i="5"/>
  <c r="L53" i="5"/>
  <c r="L19" i="5"/>
  <c r="L24" i="5"/>
  <c r="L30" i="5"/>
  <c r="L31" i="5"/>
  <c r="L49" i="5"/>
  <c r="L41" i="5"/>
  <c r="K20" i="5"/>
  <c r="I20" i="5"/>
  <c r="G20" i="5"/>
  <c r="L17" i="5"/>
  <c r="K36" i="5"/>
  <c r="I36" i="5"/>
  <c r="G36" i="5"/>
  <c r="K25" i="5"/>
  <c r="I25" i="5"/>
  <c r="G25" i="5"/>
  <c r="K27" i="5"/>
  <c r="I27" i="5"/>
  <c r="G27" i="5"/>
  <c r="K32" i="5"/>
  <c r="I32" i="5"/>
  <c r="G32" i="5"/>
  <c r="L29" i="5"/>
  <c r="L15" i="5"/>
  <c r="L26" i="5"/>
  <c r="L16" i="5"/>
  <c r="K18" i="5"/>
  <c r="I18" i="5"/>
  <c r="G18" i="5"/>
  <c r="L13" i="5"/>
  <c r="L33" i="5"/>
  <c r="L48" i="5"/>
  <c r="L34" i="5"/>
  <c r="L42" i="4"/>
  <c r="K56" i="4"/>
  <c r="I56" i="4"/>
  <c r="K28" i="4"/>
  <c r="G56" i="4"/>
  <c r="I26" i="4"/>
  <c r="K26" i="4"/>
  <c r="L26" i="4" s="1"/>
  <c r="L13" i="4"/>
  <c r="K32" i="4"/>
  <c r="L32" i="4" s="1"/>
  <c r="G32" i="4"/>
  <c r="K29" i="4"/>
  <c r="I29" i="4"/>
  <c r="I28" i="4"/>
  <c r="I33" i="4"/>
  <c r="K30" i="4"/>
  <c r="I37" i="4"/>
  <c r="K37" i="4"/>
  <c r="K49" i="4"/>
  <c r="I49" i="4"/>
  <c r="G49" i="4"/>
  <c r="L43" i="4"/>
  <c r="G33" i="4"/>
  <c r="G30" i="4"/>
  <c r="K31" i="4"/>
  <c r="G31" i="4"/>
  <c r="I31" i="4"/>
  <c r="L57" i="4"/>
  <c r="L46" i="4"/>
  <c r="L35" i="4"/>
  <c r="G50" i="4"/>
  <c r="K50" i="4"/>
  <c r="I50" i="4"/>
  <c r="L36" i="4"/>
  <c r="L25" i="4"/>
  <c r="I55" i="4"/>
  <c r="K55" i="4"/>
  <c r="G55" i="4"/>
  <c r="K62" i="4"/>
  <c r="I62" i="4"/>
  <c r="G62" i="4"/>
  <c r="I53" i="4"/>
  <c r="G53" i="4"/>
  <c r="K53" i="4"/>
  <c r="I51" i="4"/>
  <c r="K51" i="4"/>
  <c r="G51" i="4"/>
  <c r="K15" i="4"/>
  <c r="I15" i="4"/>
  <c r="G15" i="4"/>
  <c r="K54" i="4"/>
  <c r="I54" i="4"/>
  <c r="G54" i="4"/>
  <c r="L10" i="4"/>
  <c r="K34" i="4"/>
  <c r="I34" i="4"/>
  <c r="G34" i="4"/>
  <c r="L61" i="4"/>
  <c r="L45" i="4"/>
  <c r="L14" i="4"/>
  <c r="L21" i="4"/>
  <c r="K38" i="4"/>
  <c r="G38" i="4"/>
  <c r="I38" i="4"/>
  <c r="L44" i="4"/>
  <c r="L47" i="4"/>
  <c r="K16" i="4"/>
  <c r="I16" i="4"/>
  <c r="G16" i="4"/>
  <c r="L24" i="4"/>
  <c r="I52" i="4"/>
  <c r="G52" i="4"/>
  <c r="K52" i="4"/>
  <c r="K248" i="3"/>
  <c r="K297" i="3"/>
  <c r="A325" i="3"/>
  <c r="A329" i="3" s="1"/>
  <c r="A330" i="3" s="1"/>
  <c r="A331" i="3" s="1"/>
  <c r="A332" i="3" s="1"/>
  <c r="A333" i="3" s="1"/>
  <c r="A340" i="3" s="1"/>
  <c r="A341" i="3" s="1"/>
  <c r="A342" i="3" s="1"/>
  <c r="A343" i="3" s="1"/>
  <c r="A320" i="3"/>
  <c r="A324" i="3" s="1"/>
  <c r="E310" i="3"/>
  <c r="I310" i="3" s="1"/>
  <c r="I166" i="3"/>
  <c r="K284" i="3"/>
  <c r="I285" i="3"/>
  <c r="G220" i="3"/>
  <c r="I105" i="3"/>
  <c r="I247" i="3"/>
  <c r="L247" i="3" s="1"/>
  <c r="G285" i="3"/>
  <c r="L285" i="3" s="1"/>
  <c r="E57" i="3"/>
  <c r="E60" i="3" s="1"/>
  <c r="G247" i="3"/>
  <c r="I54" i="3"/>
  <c r="K54" i="3"/>
  <c r="G230" i="3"/>
  <c r="I230" i="3"/>
  <c r="L230" i="3" s="1"/>
  <c r="K166" i="3"/>
  <c r="E272" i="3"/>
  <c r="I74" i="3"/>
  <c r="E271" i="3"/>
  <c r="E303" i="3"/>
  <c r="E320" i="3" s="1"/>
  <c r="E302" i="3"/>
  <c r="G302" i="3" s="1"/>
  <c r="E300" i="3"/>
  <c r="K300" i="3" s="1"/>
  <c r="E55" i="3"/>
  <c r="I55" i="3" s="1"/>
  <c r="I228" i="3"/>
  <c r="E56" i="3"/>
  <c r="K56" i="3" s="1"/>
  <c r="E273" i="3"/>
  <c r="I169" i="3"/>
  <c r="G37" i="3"/>
  <c r="G94" i="3"/>
  <c r="K37" i="3"/>
  <c r="K228" i="3"/>
  <c r="E150" i="3"/>
  <c r="G150" i="3" s="1"/>
  <c r="E115" i="3"/>
  <c r="I143" i="3"/>
  <c r="E118" i="3"/>
  <c r="E243" i="3"/>
  <c r="E242" i="3"/>
  <c r="E241" i="3"/>
  <c r="G241" i="3" s="1"/>
  <c r="G219" i="3"/>
  <c r="G74" i="3"/>
  <c r="G143" i="3"/>
  <c r="G82" i="3"/>
  <c r="E233" i="3"/>
  <c r="G233" i="3" s="1"/>
  <c r="E232" i="3"/>
  <c r="K232" i="3" s="1"/>
  <c r="E231" i="3"/>
  <c r="E50" i="3"/>
  <c r="I50" i="3" s="1"/>
  <c r="E396" i="1"/>
  <c r="K396" i="1" s="1"/>
  <c r="E398" i="1"/>
  <c r="E397" i="1"/>
  <c r="E399" i="1"/>
  <c r="K399" i="1" s="1"/>
  <c r="K219" i="3"/>
  <c r="E114" i="3"/>
  <c r="E116" i="3"/>
  <c r="I116" i="3" s="1"/>
  <c r="E51" i="3"/>
  <c r="E48" i="3"/>
  <c r="G48" i="3" s="1"/>
  <c r="E52" i="3"/>
  <c r="E117" i="3"/>
  <c r="I117" i="3" s="1"/>
  <c r="I82" i="3"/>
  <c r="E141" i="3"/>
  <c r="G141" i="3" s="1"/>
  <c r="E138" i="3"/>
  <c r="K154" i="3"/>
  <c r="I154" i="3"/>
  <c r="G154" i="3"/>
  <c r="G105" i="3"/>
  <c r="I94" i="3"/>
  <c r="E49" i="3"/>
  <c r="I49" i="3" s="1"/>
  <c r="E149" i="3"/>
  <c r="G149" i="3" s="1"/>
  <c r="E72" i="3"/>
  <c r="E194" i="3"/>
  <c r="K194" i="3" s="1"/>
  <c r="E191" i="3"/>
  <c r="G191" i="3" s="1"/>
  <c r="E192" i="3"/>
  <c r="E189" i="3"/>
  <c r="I189" i="3" s="1"/>
  <c r="E62" i="3"/>
  <c r="K62" i="3" s="1"/>
  <c r="E71" i="3"/>
  <c r="E152" i="3"/>
  <c r="E190" i="3"/>
  <c r="G190" i="3" s="1"/>
  <c r="E65" i="3"/>
  <c r="G65" i="3" s="1"/>
  <c r="E153" i="3"/>
  <c r="G153" i="3" s="1"/>
  <c r="E63" i="3"/>
  <c r="I63" i="3" s="1"/>
  <c r="E151" i="3"/>
  <c r="G151" i="3" s="1"/>
  <c r="I61" i="3"/>
  <c r="E64" i="3"/>
  <c r="I64" i="3" s="1"/>
  <c r="E86" i="3"/>
  <c r="K86" i="3" s="1"/>
  <c r="E90" i="3"/>
  <c r="K140" i="3"/>
  <c r="I140" i="3"/>
  <c r="E139" i="3"/>
  <c r="E137" i="3"/>
  <c r="E85" i="3"/>
  <c r="I85" i="3" s="1"/>
  <c r="E30" i="3"/>
  <c r="E89" i="3"/>
  <c r="K89" i="3" s="1"/>
  <c r="G93" i="3"/>
  <c r="K93" i="3"/>
  <c r="I93" i="3"/>
  <c r="E87" i="3"/>
  <c r="I95" i="3"/>
  <c r="G95" i="3"/>
  <c r="E142" i="3"/>
  <c r="G140" i="3"/>
  <c r="L92" i="3"/>
  <c r="E32" i="3"/>
  <c r="E31" i="3"/>
  <c r="E34" i="3"/>
  <c r="L212" i="3"/>
  <c r="L257" i="3"/>
  <c r="E29" i="3"/>
  <c r="L66" i="3"/>
  <c r="L16" i="3"/>
  <c r="L15" i="3"/>
  <c r="L323" i="3"/>
  <c r="L21" i="3"/>
  <c r="L339" i="3"/>
  <c r="L283" i="3"/>
  <c r="L281" i="3"/>
  <c r="L288" i="3"/>
  <c r="L342" i="3"/>
  <c r="I159" i="3"/>
  <c r="K159" i="3"/>
  <c r="K147" i="3"/>
  <c r="I144" i="3"/>
  <c r="K183" i="3"/>
  <c r="K113" i="3"/>
  <c r="I112" i="3"/>
  <c r="K82" i="3"/>
  <c r="I126" i="3"/>
  <c r="I198" i="3"/>
  <c r="K250" i="3"/>
  <c r="L250" i="3" s="1"/>
  <c r="L260" i="3"/>
  <c r="I284" i="3"/>
  <c r="I309" i="3"/>
  <c r="L309" i="3" s="1"/>
  <c r="G329" i="3"/>
  <c r="I340" i="3"/>
  <c r="I329" i="3"/>
  <c r="G193" i="3"/>
  <c r="G216" i="3"/>
  <c r="L287" i="3"/>
  <c r="G83" i="3"/>
  <c r="K132" i="3"/>
  <c r="I11" i="3"/>
  <c r="I22" i="3"/>
  <c r="I83" i="3"/>
  <c r="K108" i="3"/>
  <c r="G178" i="3"/>
  <c r="K193" i="3"/>
  <c r="G203" i="3"/>
  <c r="K216" i="3"/>
  <c r="K221" i="3"/>
  <c r="K234" i="3"/>
  <c r="G256" i="3"/>
  <c r="G265" i="3"/>
  <c r="G279" i="3"/>
  <c r="L341" i="3"/>
  <c r="G22" i="3"/>
  <c r="L78" i="3"/>
  <c r="I178" i="3"/>
  <c r="K203" i="3"/>
  <c r="I13" i="3"/>
  <c r="I17" i="3"/>
  <c r="G41" i="3"/>
  <c r="G75" i="3"/>
  <c r="G79" i="3"/>
  <c r="G109" i="3"/>
  <c r="K178" i="3"/>
  <c r="G195" i="3"/>
  <c r="K218" i="3"/>
  <c r="G222" i="3"/>
  <c r="I262" i="3"/>
  <c r="K126" i="3"/>
  <c r="K12" i="3"/>
  <c r="K17" i="3"/>
  <c r="I24" i="3"/>
  <c r="K41" i="3"/>
  <c r="G61" i="3"/>
  <c r="I75" i="3"/>
  <c r="I109" i="3"/>
  <c r="K222" i="3"/>
  <c r="G248" i="3"/>
  <c r="L248" i="3" s="1"/>
  <c r="K262" i="3"/>
  <c r="L297" i="3"/>
  <c r="K316" i="3"/>
  <c r="G337" i="3"/>
  <c r="G108" i="3"/>
  <c r="L167" i="3"/>
  <c r="L14" i="3"/>
  <c r="K19" i="3"/>
  <c r="K61" i="3"/>
  <c r="K236" i="3"/>
  <c r="I337" i="3"/>
  <c r="I110" i="3"/>
  <c r="G97" i="3"/>
  <c r="L97" i="3" s="1"/>
  <c r="I125" i="3"/>
  <c r="I205" i="3"/>
  <c r="I224" i="3"/>
  <c r="G293" i="3"/>
  <c r="L308" i="3"/>
  <c r="I325" i="3"/>
  <c r="I338" i="3"/>
  <c r="K20" i="3"/>
  <c r="G77" i="3"/>
  <c r="L77" i="3" s="1"/>
  <c r="G106" i="3"/>
  <c r="K47" i="3"/>
  <c r="I106" i="3"/>
  <c r="K125" i="3"/>
  <c r="I293" i="3"/>
  <c r="K338" i="3"/>
  <c r="I113" i="3"/>
  <c r="K110" i="3"/>
  <c r="K198" i="3"/>
  <c r="G198" i="3"/>
  <c r="I47" i="3"/>
  <c r="G47" i="3"/>
  <c r="G18" i="3"/>
  <c r="K18" i="3"/>
  <c r="I18" i="3"/>
  <c r="K39" i="3"/>
  <c r="I39" i="3"/>
  <c r="G39" i="3"/>
  <c r="K164" i="3"/>
  <c r="I164" i="3"/>
  <c r="G164" i="3"/>
  <c r="L81" i="3"/>
  <c r="G91" i="3"/>
  <c r="G13" i="3"/>
  <c r="K23" i="3"/>
  <c r="I23" i="3"/>
  <c r="G23" i="3"/>
  <c r="K160" i="3"/>
  <c r="I160" i="3"/>
  <c r="G160" i="3"/>
  <c r="K173" i="3"/>
  <c r="I173" i="3"/>
  <c r="G173" i="3"/>
  <c r="G36" i="3"/>
  <c r="K36" i="3"/>
  <c r="I36" i="3"/>
  <c r="I104" i="3"/>
  <c r="G104" i="3"/>
  <c r="K104" i="3"/>
  <c r="G25" i="3"/>
  <c r="G76" i="3"/>
  <c r="G88" i="3"/>
  <c r="G144" i="3"/>
  <c r="G157" i="3"/>
  <c r="K157" i="3"/>
  <c r="G165" i="3"/>
  <c r="I168" i="3"/>
  <c r="G204" i="3"/>
  <c r="G207" i="3"/>
  <c r="I25" i="3"/>
  <c r="I76" i="3"/>
  <c r="I88" i="3"/>
  <c r="K144" i="3"/>
  <c r="I165" i="3"/>
  <c r="K168" i="3"/>
  <c r="K177" i="3"/>
  <c r="I177" i="3"/>
  <c r="I180" i="3"/>
  <c r="K207" i="3"/>
  <c r="K25" i="3"/>
  <c r="G136" i="3"/>
  <c r="K136" i="3"/>
  <c r="G177" i="3"/>
  <c r="G180" i="3"/>
  <c r="I201" i="3"/>
  <c r="K204" i="3"/>
  <c r="G168" i="3"/>
  <c r="I12" i="3"/>
  <c r="K145" i="3"/>
  <c r="I145" i="3"/>
  <c r="G145" i="3"/>
  <c r="K158" i="3"/>
  <c r="I158" i="3"/>
  <c r="G158" i="3"/>
  <c r="K180" i="3"/>
  <c r="K208" i="3"/>
  <c r="I208" i="3"/>
  <c r="G208" i="3"/>
  <c r="G19" i="3"/>
  <c r="G28" i="3"/>
  <c r="I79" i="3"/>
  <c r="G84" i="3"/>
  <c r="G96" i="3"/>
  <c r="G107" i="3"/>
  <c r="I28" i="3"/>
  <c r="I84" i="3"/>
  <c r="I96" i="3"/>
  <c r="I107" i="3"/>
  <c r="G132" i="3"/>
  <c r="G170" i="3"/>
  <c r="K170" i="3"/>
  <c r="G237" i="3"/>
  <c r="K237" i="3"/>
  <c r="I237" i="3"/>
  <c r="G11" i="3"/>
  <c r="G24" i="3"/>
  <c r="K107" i="3"/>
  <c r="I132" i="3"/>
  <c r="K146" i="3"/>
  <c r="G159" i="3"/>
  <c r="I170" i="3"/>
  <c r="L202" i="3"/>
  <c r="G155" i="3"/>
  <c r="K155" i="3"/>
  <c r="K227" i="3"/>
  <c r="I227" i="3"/>
  <c r="G227" i="3"/>
  <c r="G40" i="3"/>
  <c r="G53" i="3"/>
  <c r="G80" i="3"/>
  <c r="G147" i="3"/>
  <c r="I155" i="3"/>
  <c r="G182" i="3"/>
  <c r="K240" i="3"/>
  <c r="I240" i="3"/>
  <c r="G240" i="3"/>
  <c r="G10" i="3"/>
  <c r="L10" i="3" s="1"/>
  <c r="G20" i="3"/>
  <c r="G38" i="3"/>
  <c r="L38" i="3" s="1"/>
  <c r="I40" i="3"/>
  <c r="I53" i="3"/>
  <c r="I80" i="3"/>
  <c r="K179" i="3"/>
  <c r="I179" i="3"/>
  <c r="K182" i="3"/>
  <c r="K206" i="3"/>
  <c r="I206" i="3"/>
  <c r="G206" i="3"/>
  <c r="K156" i="3"/>
  <c r="I156" i="3"/>
  <c r="G156" i="3"/>
  <c r="K223" i="3"/>
  <c r="I223" i="3"/>
  <c r="G223" i="3"/>
  <c r="L211" i="3"/>
  <c r="I256" i="3"/>
  <c r="K318" i="3"/>
  <c r="G318" i="3"/>
  <c r="I318" i="3"/>
  <c r="K256" i="3"/>
  <c r="G214" i="3"/>
  <c r="G224" i="3"/>
  <c r="K276" i="3"/>
  <c r="I276" i="3"/>
  <c r="G276" i="3"/>
  <c r="G181" i="3"/>
  <c r="K214" i="3"/>
  <c r="I217" i="3"/>
  <c r="L220" i="3"/>
  <c r="K224" i="3"/>
  <c r="I252" i="3"/>
  <c r="G252" i="3"/>
  <c r="G169" i="3"/>
  <c r="I181" i="3"/>
  <c r="G205" i="3"/>
  <c r="K217" i="3"/>
  <c r="K252" i="3"/>
  <c r="I258" i="3"/>
  <c r="G258" i="3"/>
  <c r="I218" i="3"/>
  <c r="G226" i="3"/>
  <c r="K226" i="3"/>
  <c r="K238" i="3"/>
  <c r="I238" i="3"/>
  <c r="G238" i="3"/>
  <c r="G246" i="3"/>
  <c r="K246" i="3"/>
  <c r="I226" i="3"/>
  <c r="I239" i="3"/>
  <c r="G239" i="3"/>
  <c r="I246" i="3"/>
  <c r="L213" i="3"/>
  <c r="K239" i="3"/>
  <c r="L261" i="3"/>
  <c r="G277" i="3"/>
  <c r="K298" i="3"/>
  <c r="G298" i="3"/>
  <c r="K314" i="3"/>
  <c r="G314" i="3"/>
  <c r="G253" i="3"/>
  <c r="G259" i="3"/>
  <c r="L264" i="3"/>
  <c r="K267" i="3"/>
  <c r="I267" i="3"/>
  <c r="G267" i="3"/>
  <c r="K277" i="3"/>
  <c r="I294" i="3"/>
  <c r="G294" i="3"/>
  <c r="I298" i="3"/>
  <c r="I314" i="3"/>
  <c r="G215" i="3"/>
  <c r="G236" i="3"/>
  <c r="G251" i="3"/>
  <c r="I259" i="3"/>
  <c r="K289" i="3"/>
  <c r="G289" i="3"/>
  <c r="K294" i="3"/>
  <c r="K299" i="3"/>
  <c r="I299" i="3"/>
  <c r="G299" i="3"/>
  <c r="K315" i="3"/>
  <c r="I315" i="3"/>
  <c r="G315" i="3"/>
  <c r="I215" i="3"/>
  <c r="G225" i="3"/>
  <c r="G249" i="3"/>
  <c r="I251" i="3"/>
  <c r="K253" i="3"/>
  <c r="G268" i="3"/>
  <c r="K279" i="3"/>
  <c r="I289" i="3"/>
  <c r="G295" i="3"/>
  <c r="K295" i="3"/>
  <c r="G221" i="3"/>
  <c r="I225" i="3"/>
  <c r="G234" i="3"/>
  <c r="I249" i="3"/>
  <c r="I268" i="3"/>
  <c r="I316" i="3"/>
  <c r="K225" i="3"/>
  <c r="K310" i="3"/>
  <c r="K269" i="3"/>
  <c r="I269" i="3"/>
  <c r="G269" i="3"/>
  <c r="K328" i="3"/>
  <c r="I328" i="3"/>
  <c r="G328" i="3"/>
  <c r="G336" i="3"/>
  <c r="K336" i="3"/>
  <c r="I336" i="3"/>
  <c r="L263" i="3"/>
  <c r="K275" i="3"/>
  <c r="G275" i="3"/>
  <c r="I296" i="3"/>
  <c r="G296" i="3"/>
  <c r="G266" i="3"/>
  <c r="I275" i="3"/>
  <c r="K296" i="3"/>
  <c r="L343" i="3"/>
  <c r="G325" i="3"/>
  <c r="G340" i="3"/>
  <c r="I300" i="3"/>
  <c r="G335" i="3"/>
  <c r="G324" i="3"/>
  <c r="G333" i="3"/>
  <c r="I335" i="3"/>
  <c r="I265" i="3"/>
  <c r="I324" i="3"/>
  <c r="I333" i="3"/>
  <c r="K335" i="3"/>
  <c r="K674" i="1"/>
  <c r="I674" i="1"/>
  <c r="G675" i="1"/>
  <c r="E633" i="1"/>
  <c r="G633" i="1" s="1"/>
  <c r="E680" i="1"/>
  <c r="G680" i="1" s="1"/>
  <c r="E681" i="1"/>
  <c r="G681" i="1" s="1"/>
  <c r="E678" i="1"/>
  <c r="G678" i="1" s="1"/>
  <c r="E682" i="1"/>
  <c r="G682" i="1" s="1"/>
  <c r="K677" i="1"/>
  <c r="K675" i="1"/>
  <c r="E603" i="1"/>
  <c r="G603" i="1" s="1"/>
  <c r="E524" i="1"/>
  <c r="L683" i="1"/>
  <c r="E599" i="1"/>
  <c r="G599" i="1" s="1"/>
  <c r="E600" i="1"/>
  <c r="I600" i="1" s="1"/>
  <c r="G677" i="1"/>
  <c r="E601" i="1"/>
  <c r="G601" i="1" s="1"/>
  <c r="E606" i="1"/>
  <c r="G606" i="1" s="1"/>
  <c r="E602" i="1"/>
  <c r="G602" i="1" s="1"/>
  <c r="E604" i="1"/>
  <c r="G604" i="1" s="1"/>
  <c r="L647" i="1"/>
  <c r="E605" i="1"/>
  <c r="I605" i="1" s="1"/>
  <c r="E624" i="1"/>
  <c r="E626" i="1" s="1"/>
  <c r="G626" i="1" s="1"/>
  <c r="E639" i="1"/>
  <c r="G639" i="1" s="1"/>
  <c r="E642" i="1"/>
  <c r="G642" i="1" s="1"/>
  <c r="E607" i="1"/>
  <c r="G607" i="1" s="1"/>
  <c r="E608" i="1"/>
  <c r="I608" i="1" s="1"/>
  <c r="E609" i="1"/>
  <c r="G609" i="1" s="1"/>
  <c r="K686" i="1"/>
  <c r="L686" i="1" s="1"/>
  <c r="L673" i="1"/>
  <c r="L688" i="1"/>
  <c r="L687" i="1"/>
  <c r="I684" i="1"/>
  <c r="K684" i="1"/>
  <c r="K665" i="1"/>
  <c r="I665" i="1"/>
  <c r="I645" i="1"/>
  <c r="K645" i="1"/>
  <c r="I644" i="1"/>
  <c r="K644" i="1"/>
  <c r="E597" i="1"/>
  <c r="K597" i="1" s="1"/>
  <c r="E596" i="1"/>
  <c r="G596" i="1" s="1"/>
  <c r="E595" i="1"/>
  <c r="G595" i="1" s="1"/>
  <c r="E594" i="1"/>
  <c r="G594" i="1" s="1"/>
  <c r="E529" i="1"/>
  <c r="K529" i="1" s="1"/>
  <c r="E581" i="1"/>
  <c r="E585" i="1" s="1"/>
  <c r="G585" i="1" s="1"/>
  <c r="G630" i="1"/>
  <c r="I630" i="1"/>
  <c r="K630" i="1"/>
  <c r="G631" i="1"/>
  <c r="I631" i="1"/>
  <c r="K631" i="1"/>
  <c r="G635" i="1"/>
  <c r="I635" i="1"/>
  <c r="K635" i="1"/>
  <c r="G636" i="1"/>
  <c r="I636" i="1"/>
  <c r="K636" i="1"/>
  <c r="G632" i="1"/>
  <c r="I632" i="1"/>
  <c r="K632" i="1"/>
  <c r="G638" i="1"/>
  <c r="I638" i="1"/>
  <c r="K638" i="1"/>
  <c r="G640" i="1"/>
  <c r="I640" i="1"/>
  <c r="K640" i="1"/>
  <c r="G641" i="1"/>
  <c r="I641" i="1"/>
  <c r="K641" i="1"/>
  <c r="G610" i="1"/>
  <c r="I610" i="1"/>
  <c r="K610" i="1"/>
  <c r="G611" i="1"/>
  <c r="I611" i="1"/>
  <c r="K611" i="1"/>
  <c r="G612" i="1"/>
  <c r="I612" i="1"/>
  <c r="K612" i="1"/>
  <c r="G613" i="1"/>
  <c r="I613" i="1"/>
  <c r="K613" i="1"/>
  <c r="G614" i="1"/>
  <c r="I614" i="1"/>
  <c r="K614" i="1"/>
  <c r="G615" i="1"/>
  <c r="I615" i="1"/>
  <c r="K615" i="1"/>
  <c r="G616" i="1"/>
  <c r="I616" i="1"/>
  <c r="K616" i="1"/>
  <c r="G617" i="1"/>
  <c r="I617" i="1"/>
  <c r="K617" i="1"/>
  <c r="G618" i="1"/>
  <c r="I618" i="1"/>
  <c r="K618" i="1"/>
  <c r="G619" i="1"/>
  <c r="I619" i="1"/>
  <c r="K619" i="1"/>
  <c r="G620" i="1"/>
  <c r="I620" i="1"/>
  <c r="K620" i="1"/>
  <c r="G621" i="1"/>
  <c r="I621" i="1"/>
  <c r="K621" i="1"/>
  <c r="G622" i="1"/>
  <c r="I622" i="1"/>
  <c r="K622" i="1"/>
  <c r="G623" i="1"/>
  <c r="I623" i="1"/>
  <c r="K623" i="1"/>
  <c r="D571" i="1"/>
  <c r="I573" i="1"/>
  <c r="D567" i="1"/>
  <c r="E564" i="1"/>
  <c r="I564" i="1" s="1"/>
  <c r="D562" i="1"/>
  <c r="E559" i="1"/>
  <c r="I559" i="1" s="1"/>
  <c r="E547" i="1"/>
  <c r="E544" i="1"/>
  <c r="I544" i="1" s="1"/>
  <c r="D552" i="1"/>
  <c r="D540" i="1"/>
  <c r="G592" i="1"/>
  <c r="I592" i="1"/>
  <c r="K592" i="1"/>
  <c r="G593" i="1"/>
  <c r="I593" i="1"/>
  <c r="K593" i="1"/>
  <c r="G598" i="1"/>
  <c r="I598" i="1"/>
  <c r="K598" i="1"/>
  <c r="E509" i="1"/>
  <c r="K509" i="1" s="1"/>
  <c r="E508" i="1"/>
  <c r="I508" i="1" s="1"/>
  <c r="K507" i="1"/>
  <c r="I507" i="1"/>
  <c r="G507" i="1"/>
  <c r="E528" i="1"/>
  <c r="E527" i="1"/>
  <c r="E526" i="1"/>
  <c r="E519" i="1"/>
  <c r="E517" i="1"/>
  <c r="E516" i="1"/>
  <c r="D518" i="1"/>
  <c r="E518" i="1" s="1"/>
  <c r="E514" i="1"/>
  <c r="E513" i="1"/>
  <c r="E512" i="1"/>
  <c r="E511" i="1"/>
  <c r="D505" i="1"/>
  <c r="E505" i="1" s="1"/>
  <c r="E506" i="1"/>
  <c r="D489" i="1"/>
  <c r="E483" i="1"/>
  <c r="E482" i="1"/>
  <c r="E479" i="1"/>
  <c r="E481" i="1" s="1"/>
  <c r="K63" i="4" l="1"/>
  <c r="G63" i="4"/>
  <c r="L64" i="4" s="1"/>
  <c r="I63" i="4"/>
  <c r="E554" i="1"/>
  <c r="K554" i="1" s="1"/>
  <c r="E586" i="1"/>
  <c r="E587" i="1" s="1"/>
  <c r="I587" i="1" s="1"/>
  <c r="L27" i="4"/>
  <c r="L49" i="4"/>
  <c r="L37" i="4"/>
  <c r="L28" i="4"/>
  <c r="L395" i="1"/>
  <c r="L127" i="1"/>
  <c r="I633" i="1"/>
  <c r="I680" i="1"/>
  <c r="L130" i="1"/>
  <c r="L128" i="1"/>
  <c r="I626" i="1"/>
  <c r="L126" i="1"/>
  <c r="L125" i="1"/>
  <c r="K679" i="1"/>
  <c r="I682" i="1"/>
  <c r="K682" i="1"/>
  <c r="I396" i="1"/>
  <c r="K633" i="1"/>
  <c r="E634" i="1"/>
  <c r="G634" i="1" s="1"/>
  <c r="G396" i="1"/>
  <c r="K600" i="1"/>
  <c r="I399" i="1"/>
  <c r="G399" i="1"/>
  <c r="K680" i="1"/>
  <c r="I529" i="1"/>
  <c r="G679" i="1"/>
  <c r="L83" i="6"/>
  <c r="L88" i="6" s="1"/>
  <c r="L90" i="6" s="1"/>
  <c r="L91" i="6" s="1"/>
  <c r="L92" i="6" s="1"/>
  <c r="L93" i="6" s="1"/>
  <c r="L94" i="6" s="1"/>
  <c r="L95" i="6" s="1"/>
  <c r="L96" i="6" s="1"/>
  <c r="L97" i="6" s="1"/>
  <c r="L98" i="6" s="1"/>
  <c r="L99" i="6" s="1"/>
  <c r="L100" i="6" s="1"/>
  <c r="D13" i="14" s="1"/>
  <c r="L32" i="5"/>
  <c r="L18" i="5"/>
  <c r="I38" i="5"/>
  <c r="G38" i="5"/>
  <c r="K38" i="5"/>
  <c r="L27" i="5"/>
  <c r="L20" i="5"/>
  <c r="L25" i="5"/>
  <c r="L36" i="5"/>
  <c r="K37" i="5"/>
  <c r="I37" i="5"/>
  <c r="G37" i="5"/>
  <c r="L56" i="4"/>
  <c r="L30" i="4"/>
  <c r="L33" i="4"/>
  <c r="L31" i="4"/>
  <c r="L29" i="4"/>
  <c r="L54" i="4"/>
  <c r="L15" i="4"/>
  <c r="L62" i="4"/>
  <c r="L50" i="4"/>
  <c r="L34" i="4"/>
  <c r="L53" i="4"/>
  <c r="L52" i="4"/>
  <c r="L16" i="4"/>
  <c r="L38" i="4"/>
  <c r="L51" i="4"/>
  <c r="L55" i="4"/>
  <c r="K303" i="3"/>
  <c r="G303" i="3"/>
  <c r="G310" i="3"/>
  <c r="L166" i="3"/>
  <c r="I232" i="3"/>
  <c r="L284" i="3"/>
  <c r="L105" i="3"/>
  <c r="L54" i="3"/>
  <c r="I57" i="3"/>
  <c r="K57" i="3"/>
  <c r="L228" i="3"/>
  <c r="L169" i="3"/>
  <c r="L37" i="3"/>
  <c r="G55" i="3"/>
  <c r="G57" i="3"/>
  <c r="E58" i="3"/>
  <c r="I58" i="3" s="1"/>
  <c r="E59" i="3"/>
  <c r="I59" i="3" s="1"/>
  <c r="I302" i="3"/>
  <c r="K302" i="3"/>
  <c r="L324" i="3"/>
  <c r="E307" i="3"/>
  <c r="E306" i="3"/>
  <c r="E305" i="3"/>
  <c r="E304" i="3"/>
  <c r="G304" i="3" s="1"/>
  <c r="L325" i="3"/>
  <c r="G232" i="3"/>
  <c r="L232" i="3" s="1"/>
  <c r="I303" i="3"/>
  <c r="L303" i="3" s="1"/>
  <c r="G300" i="3"/>
  <c r="L300" i="3" s="1"/>
  <c r="K233" i="3"/>
  <c r="L74" i="3"/>
  <c r="G116" i="3"/>
  <c r="K48" i="3"/>
  <c r="K55" i="3"/>
  <c r="I150" i="3"/>
  <c r="G56" i="3"/>
  <c r="I56" i="3"/>
  <c r="L95" i="3"/>
  <c r="I48" i="3"/>
  <c r="L279" i="3"/>
  <c r="I194" i="3"/>
  <c r="L143" i="3"/>
  <c r="I241" i="3"/>
  <c r="I233" i="3"/>
  <c r="K241" i="3"/>
  <c r="G50" i="3"/>
  <c r="L94" i="3"/>
  <c r="I190" i="3"/>
  <c r="G194" i="3"/>
  <c r="I141" i="3"/>
  <c r="K141" i="3"/>
  <c r="K50" i="3"/>
  <c r="L22" i="3"/>
  <c r="K150" i="3"/>
  <c r="L219" i="3"/>
  <c r="L246" i="3"/>
  <c r="K64" i="3"/>
  <c r="L82" i="3"/>
  <c r="G64" i="3"/>
  <c r="I231" i="3"/>
  <c r="G231" i="3"/>
  <c r="L251" i="3"/>
  <c r="K116" i="3"/>
  <c r="K59" i="3"/>
  <c r="I191" i="3"/>
  <c r="I86" i="3"/>
  <c r="L154" i="3"/>
  <c r="I60" i="3"/>
  <c r="G60" i="3"/>
  <c r="K60" i="3"/>
  <c r="K231" i="3"/>
  <c r="E245" i="3"/>
  <c r="K245" i="3" s="1"/>
  <c r="E244" i="3"/>
  <c r="G244" i="3" s="1"/>
  <c r="K599" i="1"/>
  <c r="G600" i="1"/>
  <c r="L598" i="1"/>
  <c r="G397" i="1"/>
  <c r="I397" i="1"/>
  <c r="K397" i="1"/>
  <c r="E498" i="1"/>
  <c r="E493" i="1"/>
  <c r="E500" i="1"/>
  <c r="I398" i="1"/>
  <c r="G398" i="1"/>
  <c r="K398" i="1"/>
  <c r="G89" i="3"/>
  <c r="G63" i="3"/>
  <c r="K49" i="3"/>
  <c r="L268" i="3"/>
  <c r="I149" i="3"/>
  <c r="K190" i="3"/>
  <c r="K149" i="3"/>
  <c r="K63" i="3"/>
  <c r="I151" i="3"/>
  <c r="K151" i="3"/>
  <c r="L140" i="3"/>
  <c r="L93" i="3"/>
  <c r="L88" i="3"/>
  <c r="G86" i="3"/>
  <c r="K191" i="3"/>
  <c r="I89" i="3"/>
  <c r="K65" i="3"/>
  <c r="I65" i="3"/>
  <c r="G85" i="3"/>
  <c r="K153" i="3"/>
  <c r="I153" i="3"/>
  <c r="G49" i="3"/>
  <c r="K85" i="3"/>
  <c r="G62" i="3"/>
  <c r="I62" i="3"/>
  <c r="L159" i="3"/>
  <c r="L337" i="3"/>
  <c r="L126" i="3"/>
  <c r="K87" i="3"/>
  <c r="I87" i="3"/>
  <c r="L106" i="3"/>
  <c r="L265" i="3"/>
  <c r="G87" i="3"/>
  <c r="L170" i="3"/>
  <c r="K142" i="3"/>
  <c r="G142" i="3"/>
  <c r="I142" i="3"/>
  <c r="I139" i="3"/>
  <c r="K139" i="3"/>
  <c r="G139" i="3"/>
  <c r="L259" i="3"/>
  <c r="L109" i="3"/>
  <c r="L329" i="3"/>
  <c r="L165" i="3"/>
  <c r="L293" i="3"/>
  <c r="K29" i="3"/>
  <c r="G29" i="3"/>
  <c r="I29" i="3"/>
  <c r="L277" i="3"/>
  <c r="L205" i="3"/>
  <c r="L104" i="3"/>
  <c r="L83" i="3"/>
  <c r="L80" i="3"/>
  <c r="L79" i="3"/>
  <c r="L17" i="3"/>
  <c r="K606" i="1"/>
  <c r="I599" i="1"/>
  <c r="K604" i="1"/>
  <c r="K601" i="1"/>
  <c r="I601" i="1"/>
  <c r="L289" i="3"/>
  <c r="L181" i="3"/>
  <c r="L61" i="3"/>
  <c r="L84" i="3"/>
  <c r="L234" i="3"/>
  <c r="L36" i="3"/>
  <c r="L340" i="3"/>
  <c r="L20" i="3"/>
  <c r="L108" i="3"/>
  <c r="L125" i="3"/>
  <c r="L222" i="3"/>
  <c r="L203" i="3"/>
  <c r="L221" i="3"/>
  <c r="L158" i="3"/>
  <c r="L338" i="3"/>
  <c r="L75" i="3"/>
  <c r="K103" i="3"/>
  <c r="I103" i="3"/>
  <c r="G103" i="3"/>
  <c r="L295" i="3"/>
  <c r="L258" i="3"/>
  <c r="L206" i="3"/>
  <c r="L204" i="3"/>
  <c r="G117" i="3"/>
  <c r="L178" i="3"/>
  <c r="L252" i="3"/>
  <c r="G112" i="3"/>
  <c r="I146" i="3"/>
  <c r="G146" i="3"/>
  <c r="L275" i="3"/>
  <c r="L225" i="3"/>
  <c r="I236" i="3"/>
  <c r="L236" i="3" s="1"/>
  <c r="L217" i="3"/>
  <c r="G192" i="3"/>
  <c r="L132" i="3"/>
  <c r="L145" i="3"/>
  <c r="L25" i="3"/>
  <c r="L207" i="3"/>
  <c r="K112" i="3"/>
  <c r="K91" i="3"/>
  <c r="G113" i="3"/>
  <c r="L113" i="3" s="1"/>
  <c r="I192" i="3"/>
  <c r="L240" i="3"/>
  <c r="K117" i="3"/>
  <c r="G12" i="3"/>
  <c r="L12" i="3" s="1"/>
  <c r="L76" i="3"/>
  <c r="L160" i="3"/>
  <c r="G98" i="3"/>
  <c r="L262" i="3"/>
  <c r="L193" i="3"/>
  <c r="L96" i="3"/>
  <c r="L41" i="3"/>
  <c r="L215" i="3"/>
  <c r="L333" i="3"/>
  <c r="G218" i="3"/>
  <c r="L218" i="3" s="1"/>
  <c r="L24" i="3"/>
  <c r="L28" i="3"/>
  <c r="K192" i="3"/>
  <c r="I91" i="3"/>
  <c r="K266" i="3"/>
  <c r="I266" i="3"/>
  <c r="L11" i="3"/>
  <c r="I19" i="3"/>
  <c r="L19" i="3" s="1"/>
  <c r="I195" i="3"/>
  <c r="I90" i="3"/>
  <c r="K90" i="3"/>
  <c r="G90" i="3"/>
  <c r="G316" i="3"/>
  <c r="L316" i="3" s="1"/>
  <c r="I253" i="3"/>
  <c r="L253" i="3" s="1"/>
  <c r="L223" i="3"/>
  <c r="L53" i="3"/>
  <c r="I147" i="3"/>
  <c r="L147" i="3" s="1"/>
  <c r="G183" i="3"/>
  <c r="K195" i="3"/>
  <c r="K13" i="3"/>
  <c r="L13" i="3" s="1"/>
  <c r="G110" i="3"/>
  <c r="L249" i="3"/>
  <c r="L40" i="3"/>
  <c r="I183" i="3"/>
  <c r="L136" i="3"/>
  <c r="L168" i="3"/>
  <c r="L157" i="3"/>
  <c r="K201" i="3"/>
  <c r="G201" i="3"/>
  <c r="K189" i="3"/>
  <c r="G189" i="3"/>
  <c r="K229" i="3"/>
  <c r="I229" i="3"/>
  <c r="G229" i="3"/>
  <c r="K148" i="3"/>
  <c r="I148" i="3"/>
  <c r="G148" i="3"/>
  <c r="I235" i="3"/>
  <c r="K235" i="3"/>
  <c r="G235" i="3"/>
  <c r="L216" i="3"/>
  <c r="L296" i="3"/>
  <c r="K278" i="3"/>
  <c r="I278" i="3"/>
  <c r="G278" i="3"/>
  <c r="L156" i="3"/>
  <c r="K176" i="3"/>
  <c r="I176" i="3"/>
  <c r="G176" i="3"/>
  <c r="L237" i="3"/>
  <c r="K52" i="3"/>
  <c r="I52" i="3"/>
  <c r="G52" i="3"/>
  <c r="K99" i="3"/>
  <c r="I99" i="3"/>
  <c r="G99" i="3"/>
  <c r="L164" i="3"/>
  <c r="L198" i="3"/>
  <c r="K175" i="3"/>
  <c r="I175" i="3"/>
  <c r="G175" i="3"/>
  <c r="L335" i="3"/>
  <c r="L315" i="3"/>
  <c r="K161" i="3"/>
  <c r="G161" i="3"/>
  <c r="I161" i="3"/>
  <c r="K171" i="3"/>
  <c r="I171" i="3"/>
  <c r="G171" i="3"/>
  <c r="G115" i="3"/>
  <c r="K115" i="3"/>
  <c r="I115" i="3"/>
  <c r="L144" i="3"/>
  <c r="K42" i="3"/>
  <c r="I42" i="3"/>
  <c r="G42" i="3"/>
  <c r="L173" i="3"/>
  <c r="I71" i="3"/>
  <c r="G71" i="3"/>
  <c r="K71" i="3"/>
  <c r="K101" i="3"/>
  <c r="I101" i="3"/>
  <c r="G101" i="3"/>
  <c r="L47" i="3"/>
  <c r="K313" i="3"/>
  <c r="I313" i="3"/>
  <c r="G313" i="3"/>
  <c r="K270" i="3"/>
  <c r="G270" i="3"/>
  <c r="I270" i="3"/>
  <c r="K254" i="3"/>
  <c r="I254" i="3"/>
  <c r="G254" i="3"/>
  <c r="L267" i="3"/>
  <c r="L155" i="3"/>
  <c r="K137" i="3"/>
  <c r="I137" i="3"/>
  <c r="G137" i="3"/>
  <c r="K111" i="3"/>
  <c r="I111" i="3"/>
  <c r="G111" i="3"/>
  <c r="K331" i="3"/>
  <c r="I331" i="3"/>
  <c r="G331" i="3"/>
  <c r="K114" i="3"/>
  <c r="G114" i="3"/>
  <c r="I114" i="3"/>
  <c r="K118" i="3"/>
  <c r="G118" i="3"/>
  <c r="I118" i="3"/>
  <c r="K43" i="3"/>
  <c r="I43" i="3"/>
  <c r="G43" i="3"/>
  <c r="I102" i="3"/>
  <c r="G102" i="3"/>
  <c r="K102" i="3"/>
  <c r="K98" i="3"/>
  <c r="I98" i="3"/>
  <c r="K46" i="3"/>
  <c r="I46" i="3"/>
  <c r="G46" i="3"/>
  <c r="I286" i="3"/>
  <c r="G286" i="3"/>
  <c r="K286" i="3"/>
  <c r="L336" i="3"/>
  <c r="K273" i="3"/>
  <c r="I273" i="3"/>
  <c r="G273" i="3"/>
  <c r="L298" i="3"/>
  <c r="L224" i="3"/>
  <c r="K135" i="3"/>
  <c r="I135" i="3"/>
  <c r="G135" i="3"/>
  <c r="K51" i="3"/>
  <c r="I51" i="3"/>
  <c r="G51" i="3"/>
  <c r="L208" i="3"/>
  <c r="I100" i="3"/>
  <c r="G100" i="3"/>
  <c r="K100" i="3"/>
  <c r="K70" i="3"/>
  <c r="I70" i="3"/>
  <c r="G70" i="3"/>
  <c r="K312" i="3"/>
  <c r="I312" i="3"/>
  <c r="G312" i="3"/>
  <c r="K271" i="3"/>
  <c r="G271" i="3"/>
  <c r="I271" i="3"/>
  <c r="L310" i="3"/>
  <c r="L299" i="3"/>
  <c r="L239" i="3"/>
  <c r="L238" i="3"/>
  <c r="K127" i="3"/>
  <c r="I127" i="3"/>
  <c r="G127" i="3"/>
  <c r="L182" i="3"/>
  <c r="G152" i="3"/>
  <c r="I152" i="3"/>
  <c r="K152" i="3"/>
  <c r="L227" i="3"/>
  <c r="L107" i="3"/>
  <c r="I133" i="3"/>
  <c r="G133" i="3"/>
  <c r="K133" i="3"/>
  <c r="L180" i="3"/>
  <c r="I184" i="3"/>
  <c r="K184" i="3"/>
  <c r="G184" i="3"/>
  <c r="I120" i="3"/>
  <c r="G120" i="3"/>
  <c r="K120" i="3"/>
  <c r="L23" i="3"/>
  <c r="L39" i="3"/>
  <c r="L294" i="3"/>
  <c r="L226" i="3"/>
  <c r="L318" i="3"/>
  <c r="K200" i="3"/>
  <c r="I200" i="3"/>
  <c r="G200" i="3"/>
  <c r="I134" i="3"/>
  <c r="G134" i="3"/>
  <c r="K134" i="3"/>
  <c r="K26" i="3"/>
  <c r="I26" i="3"/>
  <c r="G26" i="3"/>
  <c r="G186" i="3"/>
  <c r="K186" i="3"/>
  <c r="I186" i="3"/>
  <c r="K210" i="3"/>
  <c r="I210" i="3"/>
  <c r="G210" i="3"/>
  <c r="K72" i="3"/>
  <c r="I72" i="3"/>
  <c r="G72" i="3"/>
  <c r="K44" i="3"/>
  <c r="I44" i="3"/>
  <c r="G44" i="3"/>
  <c r="I69" i="3"/>
  <c r="G69" i="3"/>
  <c r="K69" i="3"/>
  <c r="K67" i="3"/>
  <c r="I67" i="3"/>
  <c r="G67" i="3"/>
  <c r="K326" i="3"/>
  <c r="I326" i="3"/>
  <c r="G326" i="3"/>
  <c r="K274" i="3"/>
  <c r="I274" i="3"/>
  <c r="G274" i="3"/>
  <c r="K290" i="3"/>
  <c r="I290" i="3"/>
  <c r="G290" i="3"/>
  <c r="L314" i="3"/>
  <c r="L214" i="3"/>
  <c r="L179" i="3"/>
  <c r="G138" i="3"/>
  <c r="K138" i="3"/>
  <c r="I138" i="3"/>
  <c r="K119" i="3"/>
  <c r="I119" i="3"/>
  <c r="G119" i="3"/>
  <c r="G188" i="3"/>
  <c r="K188" i="3"/>
  <c r="I188" i="3"/>
  <c r="G45" i="3"/>
  <c r="K45" i="3"/>
  <c r="I45" i="3"/>
  <c r="K242" i="3"/>
  <c r="I242" i="3"/>
  <c r="G242" i="3"/>
  <c r="G172" i="3"/>
  <c r="K172" i="3"/>
  <c r="I172" i="3"/>
  <c r="I73" i="3"/>
  <c r="G73" i="3"/>
  <c r="K73" i="3"/>
  <c r="K209" i="3"/>
  <c r="I209" i="3"/>
  <c r="G209" i="3"/>
  <c r="K163" i="3"/>
  <c r="I163" i="3"/>
  <c r="G163" i="3"/>
  <c r="K317" i="3"/>
  <c r="I317" i="3"/>
  <c r="G317" i="3"/>
  <c r="L328" i="3"/>
  <c r="L269" i="3"/>
  <c r="K291" i="3"/>
  <c r="G291" i="3"/>
  <c r="I291" i="3"/>
  <c r="K280" i="3"/>
  <c r="G280" i="3"/>
  <c r="I280" i="3"/>
  <c r="K292" i="3"/>
  <c r="G292" i="3"/>
  <c r="I292" i="3"/>
  <c r="L276" i="3"/>
  <c r="L256" i="3"/>
  <c r="K162" i="3"/>
  <c r="I162" i="3"/>
  <c r="G162" i="3"/>
  <c r="I197" i="3"/>
  <c r="K197" i="3"/>
  <c r="G197" i="3"/>
  <c r="K68" i="3"/>
  <c r="I68" i="3"/>
  <c r="G68" i="3"/>
  <c r="L18" i="3"/>
  <c r="I311" i="3"/>
  <c r="G311" i="3"/>
  <c r="K311" i="3"/>
  <c r="K301" i="3"/>
  <c r="I301" i="3"/>
  <c r="G301" i="3"/>
  <c r="G272" i="3"/>
  <c r="K272" i="3"/>
  <c r="I272" i="3"/>
  <c r="K282" i="3"/>
  <c r="I282" i="3"/>
  <c r="G282" i="3"/>
  <c r="I243" i="3"/>
  <c r="G243" i="3"/>
  <c r="K243" i="3"/>
  <c r="K187" i="3"/>
  <c r="I187" i="3"/>
  <c r="G187" i="3"/>
  <c r="K196" i="3"/>
  <c r="I196" i="3"/>
  <c r="G196" i="3"/>
  <c r="K199" i="3"/>
  <c r="I199" i="3"/>
  <c r="G199" i="3"/>
  <c r="K185" i="3"/>
  <c r="I185" i="3"/>
  <c r="G185" i="3"/>
  <c r="K174" i="3"/>
  <c r="I174" i="3"/>
  <c r="G174" i="3"/>
  <c r="L177" i="3"/>
  <c r="I639" i="1"/>
  <c r="G529" i="1"/>
  <c r="K678" i="1"/>
  <c r="L675" i="1"/>
  <c r="E627" i="1"/>
  <c r="K626" i="1"/>
  <c r="I609" i="1"/>
  <c r="E625" i="1"/>
  <c r="G625" i="1" s="1"/>
  <c r="K624" i="1"/>
  <c r="I604" i="1"/>
  <c r="K535" i="1"/>
  <c r="G535" i="1"/>
  <c r="I624" i="1"/>
  <c r="L644" i="1"/>
  <c r="G624" i="1"/>
  <c r="K603" i="1"/>
  <c r="I603" i="1"/>
  <c r="K639" i="1"/>
  <c r="E628" i="1"/>
  <c r="I628" i="1" s="1"/>
  <c r="L674" i="1"/>
  <c r="L621" i="1"/>
  <c r="L613" i="1"/>
  <c r="K609" i="1"/>
  <c r="I678" i="1"/>
  <c r="K559" i="1"/>
  <c r="E486" i="1"/>
  <c r="E489" i="1" s="1"/>
  <c r="K681" i="1"/>
  <c r="E637" i="1"/>
  <c r="I681" i="1"/>
  <c r="E629" i="1"/>
  <c r="G629" i="1" s="1"/>
  <c r="L618" i="1"/>
  <c r="L610" i="1"/>
  <c r="L677" i="1"/>
  <c r="L665" i="1"/>
  <c r="G605" i="1"/>
  <c r="L592" i="1"/>
  <c r="K605" i="1"/>
  <c r="E540" i="1"/>
  <c r="G540" i="1" s="1"/>
  <c r="E530" i="1"/>
  <c r="G530" i="1" s="1"/>
  <c r="E538" i="1"/>
  <c r="I538" i="1" s="1"/>
  <c r="E531" i="1"/>
  <c r="E539" i="1"/>
  <c r="G539" i="1" s="1"/>
  <c r="E532" i="1"/>
  <c r="G532" i="1" s="1"/>
  <c r="L684" i="1"/>
  <c r="K602" i="1"/>
  <c r="E533" i="1"/>
  <c r="G533" i="1" s="1"/>
  <c r="I606" i="1"/>
  <c r="I602" i="1"/>
  <c r="L619" i="1"/>
  <c r="L615" i="1"/>
  <c r="L593" i="1"/>
  <c r="L641" i="1"/>
  <c r="I597" i="1"/>
  <c r="E536" i="1"/>
  <c r="K536" i="1" s="1"/>
  <c r="E574" i="1"/>
  <c r="K574" i="1" s="1"/>
  <c r="E567" i="1"/>
  <c r="K567" i="1" s="1"/>
  <c r="E566" i="1"/>
  <c r="E575" i="1"/>
  <c r="K575" i="1" s="1"/>
  <c r="K608" i="1"/>
  <c r="E646" i="1"/>
  <c r="E643" i="1"/>
  <c r="G597" i="1"/>
  <c r="E545" i="1"/>
  <c r="K545" i="1" s="1"/>
  <c r="E569" i="1"/>
  <c r="G569" i="1" s="1"/>
  <c r="G608" i="1"/>
  <c r="K595" i="1"/>
  <c r="E480" i="1"/>
  <c r="E546" i="1"/>
  <c r="G546" i="1" s="1"/>
  <c r="E562" i="1"/>
  <c r="G562" i="1" s="1"/>
  <c r="K607" i="1"/>
  <c r="E485" i="1"/>
  <c r="G559" i="1"/>
  <c r="E560" i="1"/>
  <c r="G560" i="1" s="1"/>
  <c r="L611" i="1"/>
  <c r="I607" i="1"/>
  <c r="K642" i="1"/>
  <c r="E568" i="1"/>
  <c r="G568" i="1" s="1"/>
  <c r="E576" i="1"/>
  <c r="G576" i="1" s="1"/>
  <c r="I595" i="1"/>
  <c r="E484" i="1"/>
  <c r="E561" i="1"/>
  <c r="K561" i="1" s="1"/>
  <c r="I642" i="1"/>
  <c r="L645" i="1"/>
  <c r="L632" i="1"/>
  <c r="L636" i="1"/>
  <c r="L635" i="1"/>
  <c r="L623" i="1"/>
  <c r="L614" i="1"/>
  <c r="L612" i="1"/>
  <c r="K596" i="1"/>
  <c r="I596" i="1"/>
  <c r="K594" i="1"/>
  <c r="I594" i="1"/>
  <c r="E555" i="1"/>
  <c r="G555" i="1" s="1"/>
  <c r="E556" i="1"/>
  <c r="G556" i="1" s="1"/>
  <c r="L617" i="1"/>
  <c r="L631" i="1"/>
  <c r="E499" i="1"/>
  <c r="G509" i="1"/>
  <c r="E577" i="1"/>
  <c r="I577" i="1" s="1"/>
  <c r="L638" i="1"/>
  <c r="E537" i="1"/>
  <c r="I537" i="1" s="1"/>
  <c r="E563" i="1"/>
  <c r="G563" i="1" s="1"/>
  <c r="L620" i="1"/>
  <c r="L616" i="1"/>
  <c r="L630" i="1"/>
  <c r="E504" i="1"/>
  <c r="E565" i="1"/>
  <c r="I565" i="1" s="1"/>
  <c r="L622" i="1"/>
  <c r="L640" i="1"/>
  <c r="I581" i="1"/>
  <c r="E582" i="1"/>
  <c r="G582" i="1" s="1"/>
  <c r="E583" i="1"/>
  <c r="G583" i="1" s="1"/>
  <c r="E584" i="1"/>
  <c r="G584" i="1" s="1"/>
  <c r="I585" i="1"/>
  <c r="K585" i="1"/>
  <c r="G581" i="1"/>
  <c r="K581" i="1"/>
  <c r="G573" i="1"/>
  <c r="K573" i="1"/>
  <c r="G564" i="1"/>
  <c r="K564" i="1"/>
  <c r="E557" i="1"/>
  <c r="K547" i="1"/>
  <c r="E548" i="1"/>
  <c r="E549" i="1"/>
  <c r="G549" i="1" s="1"/>
  <c r="E550" i="1"/>
  <c r="G550" i="1" s="1"/>
  <c r="E558" i="1"/>
  <c r="E551" i="1"/>
  <c r="E552" i="1"/>
  <c r="I552" i="1" s="1"/>
  <c r="G547" i="1"/>
  <c r="E553" i="1"/>
  <c r="G553" i="1" s="1"/>
  <c r="E541" i="1"/>
  <c r="I541" i="1" s="1"/>
  <c r="E542" i="1"/>
  <c r="E543" i="1"/>
  <c r="I547" i="1"/>
  <c r="K544" i="1"/>
  <c r="G544" i="1"/>
  <c r="I535" i="1"/>
  <c r="I509" i="1"/>
  <c r="E497" i="1"/>
  <c r="G508" i="1"/>
  <c r="K508" i="1"/>
  <c r="L507" i="1"/>
  <c r="E521" i="1"/>
  <c r="E522" i="1"/>
  <c r="E523" i="1"/>
  <c r="L679" i="1" l="1"/>
  <c r="G554" i="1"/>
  <c r="L633" i="1"/>
  <c r="I554" i="1"/>
  <c r="L63" i="4"/>
  <c r="L65" i="4" s="1"/>
  <c r="L66" i="4" s="1"/>
  <c r="L67" i="4" s="1"/>
  <c r="L68" i="4" s="1"/>
  <c r="L69" i="4" s="1"/>
  <c r="L70" i="4" s="1"/>
  <c r="L71" i="4" s="1"/>
  <c r="L72" i="4" s="1"/>
  <c r="L73" i="4" s="1"/>
  <c r="L74" i="4" s="1"/>
  <c r="L75" i="4" s="1"/>
  <c r="D10" i="14" s="1"/>
  <c r="I344" i="3"/>
  <c r="K344" i="3"/>
  <c r="L110" i="3"/>
  <c r="G344" i="3"/>
  <c r="L345" i="3" s="1"/>
  <c r="L601" i="1"/>
  <c r="L682" i="1"/>
  <c r="I634" i="1"/>
  <c r="L529" i="1"/>
  <c r="L680" i="1"/>
  <c r="K634" i="1"/>
  <c r="L559" i="1"/>
  <c r="L626" i="1"/>
  <c r="L399" i="1"/>
  <c r="L600" i="1"/>
  <c r="E487" i="1"/>
  <c r="L604" i="1"/>
  <c r="I556" i="1"/>
  <c r="L639" i="1"/>
  <c r="L606" i="1"/>
  <c r="L396" i="1"/>
  <c r="L397" i="1"/>
  <c r="K576" i="1"/>
  <c r="K546" i="1"/>
  <c r="G574" i="1"/>
  <c r="I574" i="1"/>
  <c r="L603" i="1"/>
  <c r="E490" i="1"/>
  <c r="E488" i="1"/>
  <c r="I586" i="1"/>
  <c r="K533" i="1"/>
  <c r="L81" i="5"/>
  <c r="L38" i="5"/>
  <c r="L37" i="5"/>
  <c r="K304" i="3"/>
  <c r="L57" i="3"/>
  <c r="G59" i="3"/>
  <c r="L233" i="3"/>
  <c r="K58" i="3"/>
  <c r="L55" i="3"/>
  <c r="L64" i="3"/>
  <c r="L241" i="3"/>
  <c r="I304" i="3"/>
  <c r="L150" i="3"/>
  <c r="L302" i="3"/>
  <c r="G58" i="3"/>
  <c r="L149" i="3"/>
  <c r="L56" i="3"/>
  <c r="G305" i="3"/>
  <c r="K305" i="3"/>
  <c r="I305" i="3"/>
  <c r="L50" i="3"/>
  <c r="K306" i="3"/>
  <c r="I306" i="3"/>
  <c r="G306" i="3"/>
  <c r="L48" i="3"/>
  <c r="K307" i="3"/>
  <c r="I307" i="3"/>
  <c r="G307" i="3"/>
  <c r="L116" i="3"/>
  <c r="I244" i="3"/>
  <c r="L194" i="3"/>
  <c r="I245" i="3"/>
  <c r="L141" i="3"/>
  <c r="G245" i="3"/>
  <c r="L190" i="3"/>
  <c r="L191" i="3"/>
  <c r="K244" i="3"/>
  <c r="L151" i="3"/>
  <c r="L63" i="3"/>
  <c r="L231" i="3"/>
  <c r="L60" i="3"/>
  <c r="L89" i="3"/>
  <c r="L62" i="3"/>
  <c r="L86" i="3"/>
  <c r="L49" i="3"/>
  <c r="L59" i="3"/>
  <c r="L153" i="3"/>
  <c r="I532" i="1"/>
  <c r="G500" i="1"/>
  <c r="I500" i="1"/>
  <c r="K500" i="1"/>
  <c r="E502" i="1"/>
  <c r="E501" i="1"/>
  <c r="L509" i="1"/>
  <c r="L599" i="1"/>
  <c r="K493" i="1"/>
  <c r="E494" i="1"/>
  <c r="E495" i="1"/>
  <c r="G493" i="1"/>
  <c r="I493" i="1"/>
  <c r="I568" i="1"/>
  <c r="I629" i="1"/>
  <c r="L398" i="1"/>
  <c r="L183" i="3"/>
  <c r="L65" i="3"/>
  <c r="L85" i="3"/>
  <c r="L195" i="3"/>
  <c r="L139" i="3"/>
  <c r="L192" i="3"/>
  <c r="L87" i="3"/>
  <c r="L229" i="3"/>
  <c r="L286" i="3"/>
  <c r="L146" i="3"/>
  <c r="L142" i="3"/>
  <c r="L189" i="3"/>
  <c r="L117" i="3"/>
  <c r="L29" i="3"/>
  <c r="L266" i="3"/>
  <c r="L605" i="1"/>
  <c r="L609" i="1"/>
  <c r="K625" i="1"/>
  <c r="G628" i="1"/>
  <c r="L624" i="1"/>
  <c r="L148" i="3"/>
  <c r="L90" i="3"/>
  <c r="L101" i="3"/>
  <c r="L201" i="3"/>
  <c r="L274" i="3"/>
  <c r="L278" i="3"/>
  <c r="L174" i="3"/>
  <c r="L152" i="3"/>
  <c r="L91" i="3"/>
  <c r="L317" i="3"/>
  <c r="L114" i="3"/>
  <c r="L42" i="3"/>
  <c r="L235" i="3"/>
  <c r="L112" i="3"/>
  <c r="L134" i="3"/>
  <c r="L175" i="3"/>
  <c r="L46" i="3"/>
  <c r="L185" i="3"/>
  <c r="K255" i="3"/>
  <c r="I255" i="3"/>
  <c r="G255" i="3"/>
  <c r="L243" i="3"/>
  <c r="L161" i="3"/>
  <c r="L290" i="3"/>
  <c r="L186" i="3"/>
  <c r="L98" i="3"/>
  <c r="L118" i="3"/>
  <c r="L71" i="3"/>
  <c r="L197" i="3"/>
  <c r="L292" i="3"/>
  <c r="L103" i="3"/>
  <c r="K124" i="3"/>
  <c r="I124" i="3"/>
  <c r="G124" i="3"/>
  <c r="L100" i="3"/>
  <c r="K330" i="3"/>
  <c r="G330" i="3"/>
  <c r="I330" i="3"/>
  <c r="L44" i="3"/>
  <c r="L312" i="3"/>
  <c r="L102" i="3"/>
  <c r="L254" i="3"/>
  <c r="L270" i="3"/>
  <c r="L200" i="3"/>
  <c r="L115" i="3"/>
  <c r="L26" i="3"/>
  <c r="L209" i="3"/>
  <c r="L199" i="3"/>
  <c r="G123" i="3"/>
  <c r="I123" i="3"/>
  <c r="K123" i="3"/>
  <c r="L45" i="3"/>
  <c r="L68" i="3"/>
  <c r="I327" i="3"/>
  <c r="G327" i="3"/>
  <c r="K327" i="3"/>
  <c r="L184" i="3"/>
  <c r="L273" i="3"/>
  <c r="L99" i="3"/>
  <c r="L280" i="3"/>
  <c r="L272" i="3"/>
  <c r="L291" i="3"/>
  <c r="L51" i="3"/>
  <c r="L43" i="3"/>
  <c r="L282" i="3"/>
  <c r="G27" i="3"/>
  <c r="K27" i="3"/>
  <c r="I27" i="3"/>
  <c r="L67" i="3"/>
  <c r="L210" i="3"/>
  <c r="I332" i="3"/>
  <c r="K332" i="3"/>
  <c r="G332" i="3"/>
  <c r="L162" i="3"/>
  <c r="L326" i="3"/>
  <c r="L72" i="3"/>
  <c r="L196" i="3"/>
  <c r="L163" i="3"/>
  <c r="L73" i="3"/>
  <c r="L119" i="3"/>
  <c r="L69" i="3"/>
  <c r="L120" i="3"/>
  <c r="L133" i="3"/>
  <c r="L111" i="3"/>
  <c r="K121" i="3"/>
  <c r="I121" i="3"/>
  <c r="G121" i="3"/>
  <c r="L301" i="3"/>
  <c r="L172" i="3"/>
  <c r="L138" i="3"/>
  <c r="I128" i="3"/>
  <c r="K128" i="3"/>
  <c r="G128" i="3"/>
  <c r="L127" i="3"/>
  <c r="L135" i="3"/>
  <c r="L331" i="3"/>
  <c r="L313" i="3"/>
  <c r="L52" i="3"/>
  <c r="L187" i="3"/>
  <c r="L311" i="3"/>
  <c r="L242" i="3"/>
  <c r="L188" i="3"/>
  <c r="K122" i="3"/>
  <c r="I122" i="3"/>
  <c r="G122" i="3"/>
  <c r="L271" i="3"/>
  <c r="L70" i="3"/>
  <c r="I334" i="3"/>
  <c r="G334" i="3"/>
  <c r="K334" i="3"/>
  <c r="L137" i="3"/>
  <c r="L171" i="3"/>
  <c r="L176" i="3"/>
  <c r="L681" i="1"/>
  <c r="L508" i="1"/>
  <c r="L602" i="1"/>
  <c r="I530" i="1"/>
  <c r="I627" i="1"/>
  <c r="G627" i="1"/>
  <c r="K627" i="1"/>
  <c r="L535" i="1"/>
  <c r="K540" i="1"/>
  <c r="K629" i="1"/>
  <c r="K628" i="1"/>
  <c r="I625" i="1"/>
  <c r="L678" i="1"/>
  <c r="I546" i="1"/>
  <c r="L607" i="1"/>
  <c r="E571" i="1"/>
  <c r="K571" i="1" s="1"/>
  <c r="G637" i="1"/>
  <c r="I637" i="1"/>
  <c r="K637" i="1"/>
  <c r="K556" i="1"/>
  <c r="I540" i="1"/>
  <c r="K532" i="1"/>
  <c r="L608" i="1"/>
  <c r="I545" i="1"/>
  <c r="L597" i="1"/>
  <c r="K560" i="1"/>
  <c r="I531" i="1"/>
  <c r="K531" i="1"/>
  <c r="L642" i="1"/>
  <c r="E572" i="1"/>
  <c r="I572" i="1" s="1"/>
  <c r="G565" i="1"/>
  <c r="G538" i="1"/>
  <c r="K538" i="1"/>
  <c r="K568" i="1"/>
  <c r="K539" i="1"/>
  <c r="I533" i="1"/>
  <c r="K530" i="1"/>
  <c r="I560" i="1"/>
  <c r="G567" i="1"/>
  <c r="K537" i="1"/>
  <c r="K586" i="1"/>
  <c r="I539" i="1"/>
  <c r="G531" i="1"/>
  <c r="L595" i="1"/>
  <c r="G566" i="1"/>
  <c r="I566" i="1"/>
  <c r="K566" i="1"/>
  <c r="I643" i="1"/>
  <c r="K643" i="1"/>
  <c r="G643" i="1"/>
  <c r="L547" i="1"/>
  <c r="K562" i="1"/>
  <c r="L573" i="1"/>
  <c r="I555" i="1"/>
  <c r="E570" i="1"/>
  <c r="G570" i="1" s="1"/>
  <c r="K577" i="1"/>
  <c r="K541" i="1"/>
  <c r="I563" i="1"/>
  <c r="I576" i="1"/>
  <c r="I562" i="1"/>
  <c r="K569" i="1"/>
  <c r="E589" i="1"/>
  <c r="G589" i="1" s="1"/>
  <c r="G536" i="1"/>
  <c r="I536" i="1"/>
  <c r="K563" i="1"/>
  <c r="E588" i="1"/>
  <c r="I588" i="1" s="1"/>
  <c r="I567" i="1"/>
  <c r="I569" i="1"/>
  <c r="G646" i="1"/>
  <c r="K646" i="1"/>
  <c r="I646" i="1"/>
  <c r="K555" i="1"/>
  <c r="G545" i="1"/>
  <c r="G537" i="1"/>
  <c r="K565" i="1"/>
  <c r="G561" i="1"/>
  <c r="I561" i="1"/>
  <c r="G575" i="1"/>
  <c r="I575" i="1"/>
  <c r="L596" i="1"/>
  <c r="L594" i="1"/>
  <c r="L564" i="1"/>
  <c r="I549" i="1"/>
  <c r="E590" i="1"/>
  <c r="I590" i="1" s="1"/>
  <c r="K549" i="1"/>
  <c r="G577" i="1"/>
  <c r="E580" i="1"/>
  <c r="E579" i="1"/>
  <c r="E578" i="1"/>
  <c r="G586" i="1"/>
  <c r="E591" i="1"/>
  <c r="G591" i="1" s="1"/>
  <c r="G541" i="1"/>
  <c r="L585" i="1"/>
  <c r="L581" i="1"/>
  <c r="I582" i="1"/>
  <c r="K582" i="1"/>
  <c r="K587" i="1"/>
  <c r="I583" i="1"/>
  <c r="K583" i="1"/>
  <c r="I584" i="1"/>
  <c r="K584" i="1"/>
  <c r="G587" i="1"/>
  <c r="K551" i="1"/>
  <c r="I551" i="1"/>
  <c r="G551" i="1"/>
  <c r="K558" i="1"/>
  <c r="G558" i="1"/>
  <c r="I558" i="1"/>
  <c r="I550" i="1"/>
  <c r="K550" i="1"/>
  <c r="I548" i="1"/>
  <c r="K548" i="1"/>
  <c r="G548" i="1"/>
  <c r="K552" i="1"/>
  <c r="G552" i="1"/>
  <c r="G557" i="1"/>
  <c r="K557" i="1"/>
  <c r="I557" i="1"/>
  <c r="I553" i="1"/>
  <c r="K553" i="1"/>
  <c r="I543" i="1"/>
  <c r="K543" i="1"/>
  <c r="G543" i="1"/>
  <c r="K542" i="1"/>
  <c r="G542" i="1"/>
  <c r="I542" i="1"/>
  <c r="L544" i="1"/>
  <c r="L568" i="1" l="1"/>
  <c r="L634" i="1"/>
  <c r="L554" i="1"/>
  <c r="L574" i="1"/>
  <c r="L344" i="3"/>
  <c r="L346" i="3" s="1"/>
  <c r="L347" i="3" s="1"/>
  <c r="L348" i="3" s="1"/>
  <c r="L349" i="3" s="1"/>
  <c r="L350" i="3" s="1"/>
  <c r="L351" i="3" s="1"/>
  <c r="L352" i="3" s="1"/>
  <c r="L353" i="3" s="1"/>
  <c r="L354" i="3" s="1"/>
  <c r="L355" i="3" s="1"/>
  <c r="L356" i="3" s="1"/>
  <c r="D9" i="14" s="1"/>
  <c r="L575" i="1"/>
  <c r="L576" i="1"/>
  <c r="L500" i="1"/>
  <c r="L533" i="1"/>
  <c r="L583" i="1"/>
  <c r="L556" i="1"/>
  <c r="G572" i="1"/>
  <c r="L546" i="1"/>
  <c r="L582" i="1"/>
  <c r="L538" i="1"/>
  <c r="L625" i="1"/>
  <c r="L532" i="1"/>
  <c r="L567" i="1"/>
  <c r="L628" i="1"/>
  <c r="L82" i="5"/>
  <c r="L83" i="5" s="1"/>
  <c r="L84" i="5" s="1"/>
  <c r="L85" i="5" s="1"/>
  <c r="L86" i="5" s="1"/>
  <c r="L87" i="5" s="1"/>
  <c r="L88" i="5" s="1"/>
  <c r="L89" i="5" s="1"/>
  <c r="L90" i="5" s="1"/>
  <c r="L91" i="5" s="1"/>
  <c r="L92" i="5" s="1"/>
  <c r="D12" i="14" s="1"/>
  <c r="L58" i="3"/>
  <c r="L304" i="3"/>
  <c r="L245" i="3"/>
  <c r="L306" i="3"/>
  <c r="L307" i="3"/>
  <c r="L244" i="3"/>
  <c r="L305" i="3"/>
  <c r="G495" i="1"/>
  <c r="I495" i="1"/>
  <c r="K495" i="1"/>
  <c r="K494" i="1"/>
  <c r="G494" i="1"/>
  <c r="I494" i="1"/>
  <c r="L531" i="1"/>
  <c r="L629" i="1"/>
  <c r="I501" i="1"/>
  <c r="G501" i="1"/>
  <c r="K501" i="1"/>
  <c r="K502" i="1"/>
  <c r="I502" i="1"/>
  <c r="G502" i="1"/>
  <c r="L537" i="1"/>
  <c r="L560" i="1"/>
  <c r="L530" i="1"/>
  <c r="L493" i="1"/>
  <c r="L122" i="3"/>
  <c r="L123" i="3"/>
  <c r="L255" i="3"/>
  <c r="K129" i="3"/>
  <c r="I129" i="3"/>
  <c r="G129" i="3"/>
  <c r="K35" i="3"/>
  <c r="I35" i="3"/>
  <c r="G35" i="3"/>
  <c r="K130" i="3"/>
  <c r="G130" i="3"/>
  <c r="I130" i="3"/>
  <c r="G34" i="3"/>
  <c r="K34" i="3"/>
  <c r="I34" i="3"/>
  <c r="L124" i="3"/>
  <c r="L121" i="3"/>
  <c r="L27" i="3"/>
  <c r="K33" i="3"/>
  <c r="I33" i="3"/>
  <c r="G33" i="3"/>
  <c r="L330" i="3"/>
  <c r="K30" i="3"/>
  <c r="I30" i="3"/>
  <c r="G30" i="3"/>
  <c r="L334" i="3"/>
  <c r="K32" i="3"/>
  <c r="I32" i="3"/>
  <c r="G32" i="3"/>
  <c r="K131" i="3"/>
  <c r="I131" i="3"/>
  <c r="G131" i="3"/>
  <c r="L332" i="3"/>
  <c r="L327" i="3"/>
  <c r="K31" i="3"/>
  <c r="I31" i="3"/>
  <c r="G31" i="3"/>
  <c r="L128" i="3"/>
  <c r="L536" i="1"/>
  <c r="L555" i="1"/>
  <c r="L540" i="1"/>
  <c r="L569" i="1"/>
  <c r="K572" i="1"/>
  <c r="L637" i="1"/>
  <c r="L627" i="1"/>
  <c r="L541" i="1"/>
  <c r="L545" i="1"/>
  <c r="L586" i="1"/>
  <c r="I571" i="1"/>
  <c r="G571" i="1"/>
  <c r="L571" i="1" s="1"/>
  <c r="K589" i="1"/>
  <c r="I589" i="1"/>
  <c r="L565" i="1"/>
  <c r="L577" i="1"/>
  <c r="L562" i="1"/>
  <c r="L549" i="1"/>
  <c r="K570" i="1"/>
  <c r="I570" i="1"/>
  <c r="L550" i="1"/>
  <c r="K588" i="1"/>
  <c r="G588" i="1"/>
  <c r="L566" i="1"/>
  <c r="L539" i="1"/>
  <c r="L643" i="1"/>
  <c r="K590" i="1"/>
  <c r="L646" i="1"/>
  <c r="G590" i="1"/>
  <c r="L561" i="1"/>
  <c r="L563" i="1"/>
  <c r="G578" i="1"/>
  <c r="I578" i="1"/>
  <c r="K578" i="1"/>
  <c r="L557" i="1"/>
  <c r="K591" i="1"/>
  <c r="K579" i="1"/>
  <c r="I579" i="1"/>
  <c r="G579" i="1"/>
  <c r="L552" i="1"/>
  <c r="I591" i="1"/>
  <c r="G580" i="1"/>
  <c r="K580" i="1"/>
  <c r="I580" i="1"/>
  <c r="L584" i="1"/>
  <c r="L553" i="1"/>
  <c r="L587" i="1"/>
  <c r="L551" i="1"/>
  <c r="L548" i="1"/>
  <c r="L558" i="1"/>
  <c r="L542" i="1"/>
  <c r="L543" i="1"/>
  <c r="L589" i="1" l="1"/>
  <c r="L572" i="1"/>
  <c r="L501" i="1"/>
  <c r="L502" i="1"/>
  <c r="L495" i="1"/>
  <c r="L494" i="1"/>
  <c r="L34" i="3"/>
  <c r="L31" i="3"/>
  <c r="L130" i="3"/>
  <c r="L131" i="3"/>
  <c r="L129" i="3"/>
  <c r="L32" i="3"/>
  <c r="L33" i="3"/>
  <c r="L35" i="3"/>
  <c r="L30" i="3"/>
  <c r="L570" i="1"/>
  <c r="L588" i="1"/>
  <c r="L580" i="1"/>
  <c r="L590" i="1"/>
  <c r="L579" i="1"/>
  <c r="L591" i="1"/>
  <c r="L578" i="1"/>
  <c r="E338" i="1" l="1"/>
  <c r="K474" i="1" l="1"/>
  <c r="G471" i="1"/>
  <c r="E473" i="1"/>
  <c r="G473" i="1" s="1"/>
  <c r="D469" i="1"/>
  <c r="E467" i="1"/>
  <c r="K467" i="1" s="1"/>
  <c r="D459" i="1"/>
  <c r="E457" i="1"/>
  <c r="G457" i="1" s="1"/>
  <c r="E456" i="1"/>
  <c r="G456" i="1" s="1"/>
  <c r="E455" i="1"/>
  <c r="G455" i="1" s="1"/>
  <c r="E454" i="1"/>
  <c r="G454" i="1" s="1"/>
  <c r="E451" i="1"/>
  <c r="G451" i="1" s="1"/>
  <c r="E450" i="1"/>
  <c r="K450" i="1" s="1"/>
  <c r="E449" i="1"/>
  <c r="I449" i="1" s="1"/>
  <c r="K448" i="1"/>
  <c r="I448" i="1"/>
  <c r="G448" i="1"/>
  <c r="D416" i="1"/>
  <c r="D411" i="1"/>
  <c r="K437" i="1"/>
  <c r="E443" i="1"/>
  <c r="E436" i="1"/>
  <c r="E435" i="1"/>
  <c r="E434" i="1"/>
  <c r="E433" i="1"/>
  <c r="D407" i="1"/>
  <c r="D419" i="1"/>
  <c r="K382" i="1"/>
  <c r="I382" i="1"/>
  <c r="G382" i="1"/>
  <c r="G452" i="1"/>
  <c r="I452" i="1"/>
  <c r="K452" i="1"/>
  <c r="G453" i="1"/>
  <c r="I453" i="1"/>
  <c r="K453" i="1"/>
  <c r="G476" i="1"/>
  <c r="I476" i="1"/>
  <c r="K476" i="1"/>
  <c r="G477" i="1"/>
  <c r="I477" i="1"/>
  <c r="K477" i="1"/>
  <c r="G479" i="1"/>
  <c r="I479" i="1"/>
  <c r="K479" i="1"/>
  <c r="G480" i="1"/>
  <c r="I480" i="1"/>
  <c r="K480" i="1"/>
  <c r="G481" i="1"/>
  <c r="I481" i="1"/>
  <c r="K481" i="1"/>
  <c r="G482" i="1"/>
  <c r="I482" i="1"/>
  <c r="K482" i="1"/>
  <c r="G483" i="1"/>
  <c r="I483" i="1"/>
  <c r="K483" i="1"/>
  <c r="G484" i="1"/>
  <c r="I484" i="1"/>
  <c r="K484" i="1"/>
  <c r="G485" i="1"/>
  <c r="I485" i="1"/>
  <c r="K485" i="1"/>
  <c r="G486" i="1"/>
  <c r="I486" i="1"/>
  <c r="K486" i="1"/>
  <c r="G487" i="1"/>
  <c r="I487" i="1"/>
  <c r="K487" i="1"/>
  <c r="G488" i="1"/>
  <c r="I488" i="1"/>
  <c r="K488" i="1"/>
  <c r="G489" i="1"/>
  <c r="I489" i="1"/>
  <c r="K489" i="1"/>
  <c r="G490" i="1"/>
  <c r="I490" i="1"/>
  <c r="K490" i="1"/>
  <c r="G491" i="1"/>
  <c r="I491" i="1"/>
  <c r="K491" i="1"/>
  <c r="G492" i="1"/>
  <c r="I492" i="1"/>
  <c r="K492" i="1"/>
  <c r="G496" i="1"/>
  <c r="I496" i="1"/>
  <c r="K496" i="1"/>
  <c r="G497" i="1"/>
  <c r="I497" i="1"/>
  <c r="K497" i="1"/>
  <c r="G498" i="1"/>
  <c r="I498" i="1"/>
  <c r="K498" i="1"/>
  <c r="G499" i="1"/>
  <c r="I499" i="1"/>
  <c r="K499" i="1"/>
  <c r="G503" i="1"/>
  <c r="I503" i="1"/>
  <c r="K503" i="1"/>
  <c r="G504" i="1"/>
  <c r="I504" i="1"/>
  <c r="K504" i="1"/>
  <c r="G505" i="1"/>
  <c r="I505" i="1"/>
  <c r="K505" i="1"/>
  <c r="G506" i="1"/>
  <c r="I506" i="1"/>
  <c r="K506" i="1"/>
  <c r="G510" i="1"/>
  <c r="I510" i="1"/>
  <c r="K510" i="1"/>
  <c r="G511" i="1"/>
  <c r="I511" i="1"/>
  <c r="K511" i="1"/>
  <c r="G512" i="1"/>
  <c r="I512" i="1"/>
  <c r="K512" i="1"/>
  <c r="G513" i="1"/>
  <c r="I513" i="1"/>
  <c r="K513" i="1"/>
  <c r="G514" i="1"/>
  <c r="I514" i="1"/>
  <c r="K514" i="1"/>
  <c r="G515" i="1"/>
  <c r="I515" i="1"/>
  <c r="K515" i="1"/>
  <c r="G516" i="1"/>
  <c r="I516" i="1"/>
  <c r="K516" i="1"/>
  <c r="G517" i="1"/>
  <c r="I517" i="1"/>
  <c r="K517" i="1"/>
  <c r="G518" i="1"/>
  <c r="I518" i="1"/>
  <c r="K518" i="1"/>
  <c r="G519" i="1"/>
  <c r="I519" i="1"/>
  <c r="K519" i="1"/>
  <c r="G520" i="1"/>
  <c r="I520" i="1"/>
  <c r="K520" i="1"/>
  <c r="G521" i="1"/>
  <c r="I521" i="1"/>
  <c r="K521" i="1"/>
  <c r="G522" i="1"/>
  <c r="I522" i="1"/>
  <c r="K522" i="1"/>
  <c r="G523" i="1"/>
  <c r="I523" i="1"/>
  <c r="K523" i="1"/>
  <c r="G524" i="1"/>
  <c r="I524" i="1"/>
  <c r="K524" i="1"/>
  <c r="G525" i="1"/>
  <c r="I525" i="1"/>
  <c r="K525" i="1"/>
  <c r="G526" i="1"/>
  <c r="I526" i="1"/>
  <c r="K526" i="1"/>
  <c r="G527" i="1"/>
  <c r="I527" i="1"/>
  <c r="K527" i="1"/>
  <c r="G528" i="1"/>
  <c r="I528" i="1"/>
  <c r="K528" i="1"/>
  <c r="G534" i="1"/>
  <c r="I534" i="1"/>
  <c r="K534" i="1"/>
  <c r="E392" i="1"/>
  <c r="E391" i="1"/>
  <c r="E390" i="1"/>
  <c r="D394" i="1"/>
  <c r="E394" i="1" s="1"/>
  <c r="E386" i="1"/>
  <c r="E385" i="1"/>
  <c r="E384" i="1"/>
  <c r="D388" i="1"/>
  <c r="E388" i="1" s="1"/>
  <c r="E186" i="1"/>
  <c r="E188" i="1" s="1"/>
  <c r="I474" i="1" l="1"/>
  <c r="G474" i="1"/>
  <c r="G404" i="1"/>
  <c r="E685" i="1"/>
  <c r="E402" i="1"/>
  <c r="K400" i="1"/>
  <c r="I400" i="1"/>
  <c r="G400" i="1"/>
  <c r="E459" i="1"/>
  <c r="I459" i="1" s="1"/>
  <c r="K186" i="1"/>
  <c r="I186" i="1"/>
  <c r="I467" i="1"/>
  <c r="G467" i="1"/>
  <c r="K455" i="1"/>
  <c r="I454" i="1"/>
  <c r="E460" i="1"/>
  <c r="G460" i="1" s="1"/>
  <c r="E461" i="1"/>
  <c r="I461" i="1" s="1"/>
  <c r="E458" i="1"/>
  <c r="I458" i="1" s="1"/>
  <c r="L526" i="1"/>
  <c r="G186" i="1"/>
  <c r="E469" i="1"/>
  <c r="K469" i="1" s="1"/>
  <c r="K473" i="1"/>
  <c r="E468" i="1"/>
  <c r="G468" i="1" s="1"/>
  <c r="L524" i="1"/>
  <c r="I473" i="1"/>
  <c r="E470" i="1"/>
  <c r="L523" i="1"/>
  <c r="E410" i="1"/>
  <c r="I410" i="1" s="1"/>
  <c r="E413" i="1"/>
  <c r="E412" i="1"/>
  <c r="E393" i="1"/>
  <c r="E472" i="1"/>
  <c r="K472" i="1" s="1"/>
  <c r="I455" i="1"/>
  <c r="E475" i="1"/>
  <c r="K475" i="1" s="1"/>
  <c r="K454" i="1"/>
  <c r="E478" i="1"/>
  <c r="G478" i="1" s="1"/>
  <c r="L522" i="1"/>
  <c r="I451" i="1"/>
  <c r="K451" i="1"/>
  <c r="I471" i="1"/>
  <c r="K471" i="1"/>
  <c r="K457" i="1"/>
  <c r="I457" i="1"/>
  <c r="K456" i="1"/>
  <c r="I456" i="1"/>
  <c r="G450" i="1"/>
  <c r="I450" i="1"/>
  <c r="G449" i="1"/>
  <c r="K449" i="1"/>
  <c r="L525" i="1"/>
  <c r="L534" i="1"/>
  <c r="E441" i="1"/>
  <c r="L382" i="1"/>
  <c r="L448" i="1"/>
  <c r="E411" i="1"/>
  <c r="K411" i="1" s="1"/>
  <c r="E414" i="1"/>
  <c r="E415" i="1"/>
  <c r="G415" i="1" s="1"/>
  <c r="E416" i="1"/>
  <c r="E407" i="1"/>
  <c r="G407" i="1" s="1"/>
  <c r="K409" i="1"/>
  <c r="I409" i="1"/>
  <c r="G409" i="1"/>
  <c r="L499" i="1"/>
  <c r="L518" i="1"/>
  <c r="L514" i="1"/>
  <c r="L510" i="1"/>
  <c r="L519" i="1"/>
  <c r="L515" i="1"/>
  <c r="L511" i="1"/>
  <c r="L481" i="1"/>
  <c r="L521" i="1"/>
  <c r="L517" i="1"/>
  <c r="L490" i="1"/>
  <c r="L489" i="1"/>
  <c r="L485" i="1"/>
  <c r="L477" i="1"/>
  <c r="L492" i="1"/>
  <c r="L488" i="1"/>
  <c r="L452" i="1"/>
  <c r="L505" i="1"/>
  <c r="L491" i="1"/>
  <c r="L487" i="1"/>
  <c r="L483" i="1"/>
  <c r="L479" i="1"/>
  <c r="L496" i="1"/>
  <c r="L516" i="1"/>
  <c r="L512" i="1"/>
  <c r="L484" i="1"/>
  <c r="L520" i="1"/>
  <c r="L476" i="1"/>
  <c r="L504" i="1"/>
  <c r="L497" i="1"/>
  <c r="G188" i="1"/>
  <c r="K188" i="1"/>
  <c r="I188" i="1"/>
  <c r="E447" i="1"/>
  <c r="E446" i="1"/>
  <c r="E445" i="1"/>
  <c r="E444" i="1"/>
  <c r="I404" i="1"/>
  <c r="E405" i="1"/>
  <c r="E439" i="1"/>
  <c r="K439" i="1" s="1"/>
  <c r="L498" i="1"/>
  <c r="K404" i="1"/>
  <c r="E406" i="1"/>
  <c r="I406" i="1" s="1"/>
  <c r="E387" i="1"/>
  <c r="L480" i="1"/>
  <c r="E442" i="1"/>
  <c r="E408" i="1"/>
  <c r="K408" i="1" s="1"/>
  <c r="L528" i="1"/>
  <c r="E419" i="1"/>
  <c r="E187" i="1"/>
  <c r="G187" i="1" s="1"/>
  <c r="L503" i="1"/>
  <c r="L513" i="1"/>
  <c r="L486" i="1"/>
  <c r="L482" i="1"/>
  <c r="E438" i="1"/>
  <c r="K438" i="1" s="1"/>
  <c r="L527" i="1"/>
  <c r="L506" i="1"/>
  <c r="L453" i="1"/>
  <c r="I437" i="1"/>
  <c r="G437" i="1"/>
  <c r="E401" i="1"/>
  <c r="E403" i="1"/>
  <c r="L474" i="1" l="1"/>
  <c r="L467" i="1"/>
  <c r="I460" i="1"/>
  <c r="G685" i="1"/>
  <c r="I685" i="1"/>
  <c r="K685" i="1"/>
  <c r="L454" i="1"/>
  <c r="L455" i="1"/>
  <c r="K459" i="1"/>
  <c r="G459" i="1"/>
  <c r="L400" i="1"/>
  <c r="E464" i="1"/>
  <c r="K464" i="1" s="1"/>
  <c r="K460" i="1"/>
  <c r="L186" i="1"/>
  <c r="G458" i="1"/>
  <c r="E465" i="1"/>
  <c r="G465" i="1" s="1"/>
  <c r="K458" i="1"/>
  <c r="L473" i="1"/>
  <c r="E462" i="1"/>
  <c r="G462" i="1" s="1"/>
  <c r="K461" i="1"/>
  <c r="G461" i="1"/>
  <c r="E463" i="1"/>
  <c r="I463" i="1" s="1"/>
  <c r="L461" i="1"/>
  <c r="I469" i="1"/>
  <c r="E466" i="1"/>
  <c r="G466" i="1" s="1"/>
  <c r="L471" i="1"/>
  <c r="I472" i="1"/>
  <c r="G470" i="1"/>
  <c r="I470" i="1"/>
  <c r="K470" i="1"/>
  <c r="L456" i="1"/>
  <c r="I468" i="1"/>
  <c r="G472" i="1"/>
  <c r="K468" i="1"/>
  <c r="L188" i="1"/>
  <c r="G469" i="1"/>
  <c r="G439" i="1"/>
  <c r="L451" i="1"/>
  <c r="G414" i="1"/>
  <c r="I414" i="1"/>
  <c r="K414" i="1"/>
  <c r="G412" i="1"/>
  <c r="I412" i="1"/>
  <c r="K412" i="1"/>
  <c r="G413" i="1"/>
  <c r="I413" i="1"/>
  <c r="K413" i="1"/>
  <c r="I478" i="1"/>
  <c r="K478" i="1"/>
  <c r="K410" i="1"/>
  <c r="I407" i="1"/>
  <c r="I475" i="1"/>
  <c r="G475" i="1"/>
  <c r="K407" i="1"/>
  <c r="L457" i="1"/>
  <c r="G410" i="1"/>
  <c r="L450" i="1"/>
  <c r="I439" i="1"/>
  <c r="L437" i="1"/>
  <c r="L449" i="1"/>
  <c r="I187" i="1"/>
  <c r="K187" i="1"/>
  <c r="G411" i="1"/>
  <c r="I411" i="1"/>
  <c r="K416" i="1"/>
  <c r="I416" i="1"/>
  <c r="G416" i="1"/>
  <c r="I415" i="1"/>
  <c r="K415" i="1"/>
  <c r="I408" i="1"/>
  <c r="E420" i="1"/>
  <c r="L409" i="1"/>
  <c r="G447" i="1"/>
  <c r="I447" i="1"/>
  <c r="K447" i="1"/>
  <c r="I438" i="1"/>
  <c r="G446" i="1"/>
  <c r="I446" i="1"/>
  <c r="K446" i="1"/>
  <c r="L404" i="1"/>
  <c r="I405" i="1"/>
  <c r="G405" i="1"/>
  <c r="K405" i="1"/>
  <c r="G438" i="1"/>
  <c r="K406" i="1"/>
  <c r="G406" i="1"/>
  <c r="G408" i="1"/>
  <c r="E418" i="1"/>
  <c r="K465" i="1" l="1"/>
  <c r="L459" i="1"/>
  <c r="I465" i="1"/>
  <c r="L478" i="1"/>
  <c r="K462" i="1"/>
  <c r="I464" i="1"/>
  <c r="G464" i="1"/>
  <c r="L460" i="1"/>
  <c r="L470" i="1"/>
  <c r="L685" i="1"/>
  <c r="L413" i="1"/>
  <c r="I462" i="1"/>
  <c r="L458" i="1"/>
  <c r="L415" i="1"/>
  <c r="L410" i="1"/>
  <c r="L438" i="1"/>
  <c r="L469" i="1"/>
  <c r="I466" i="1"/>
  <c r="G463" i="1"/>
  <c r="L187" i="1"/>
  <c r="L407" i="1"/>
  <c r="K466" i="1"/>
  <c r="L468" i="1"/>
  <c r="L414" i="1"/>
  <c r="K463" i="1"/>
  <c r="L408" i="1"/>
  <c r="L439" i="1"/>
  <c r="L475" i="1"/>
  <c r="L472" i="1"/>
  <c r="L412" i="1"/>
  <c r="L406" i="1"/>
  <c r="L416" i="1"/>
  <c r="L411" i="1"/>
  <c r="L405" i="1"/>
  <c r="L446" i="1"/>
  <c r="L447" i="1"/>
  <c r="L465" i="1" l="1"/>
  <c r="L462" i="1"/>
  <c r="L464" i="1"/>
  <c r="L463" i="1"/>
  <c r="L466" i="1"/>
  <c r="E380" i="1"/>
  <c r="I380" i="1" s="1"/>
  <c r="E379" i="1"/>
  <c r="I379" i="1" s="1"/>
  <c r="E378" i="1"/>
  <c r="K378" i="1" s="1"/>
  <c r="E375" i="1"/>
  <c r="K375" i="1" s="1"/>
  <c r="E377" i="1"/>
  <c r="E376" i="1"/>
  <c r="I374" i="1"/>
  <c r="D373" i="1"/>
  <c r="E373" i="1" s="1"/>
  <c r="G373" i="1" s="1"/>
  <c r="E372" i="1"/>
  <c r="G372" i="1" s="1"/>
  <c r="E371" i="1"/>
  <c r="I371" i="1" s="1"/>
  <c r="E370" i="1"/>
  <c r="G370" i="1" s="1"/>
  <c r="E369" i="1"/>
  <c r="G369" i="1" s="1"/>
  <c r="E368" i="1"/>
  <c r="G368" i="1" s="1"/>
  <c r="E354" i="1"/>
  <c r="I354" i="1" s="1"/>
  <c r="D365" i="1"/>
  <c r="D364" i="1"/>
  <c r="D363" i="1"/>
  <c r="D360" i="1"/>
  <c r="D359" i="1"/>
  <c r="E353" i="1"/>
  <c r="D349" i="1"/>
  <c r="E349" i="1" s="1"/>
  <c r="D348" i="1"/>
  <c r="D347" i="1"/>
  <c r="D344" i="1"/>
  <c r="D343" i="1"/>
  <c r="D340" i="1"/>
  <c r="G366" i="1"/>
  <c r="I366" i="1"/>
  <c r="K366" i="1"/>
  <c r="G367" i="1"/>
  <c r="I367" i="1"/>
  <c r="K367" i="1"/>
  <c r="G374" i="1"/>
  <c r="K374" i="1"/>
  <c r="G381" i="1"/>
  <c r="I381" i="1"/>
  <c r="K381" i="1"/>
  <c r="G383" i="1"/>
  <c r="I383" i="1"/>
  <c r="K383" i="1"/>
  <c r="G384" i="1"/>
  <c r="I384" i="1"/>
  <c r="K384" i="1"/>
  <c r="G385" i="1"/>
  <c r="I385" i="1"/>
  <c r="K385" i="1"/>
  <c r="G386" i="1"/>
  <c r="I386" i="1"/>
  <c r="K386" i="1"/>
  <c r="G387" i="1"/>
  <c r="I387" i="1"/>
  <c r="K387" i="1"/>
  <c r="G388" i="1"/>
  <c r="I388" i="1"/>
  <c r="K388" i="1"/>
  <c r="G389" i="1"/>
  <c r="I389" i="1"/>
  <c r="K389" i="1"/>
  <c r="G390" i="1"/>
  <c r="I390" i="1"/>
  <c r="K390" i="1"/>
  <c r="G391" i="1"/>
  <c r="I391" i="1"/>
  <c r="K391" i="1"/>
  <c r="G392" i="1"/>
  <c r="I392" i="1"/>
  <c r="K392" i="1"/>
  <c r="G393" i="1"/>
  <c r="I393" i="1"/>
  <c r="K393" i="1"/>
  <c r="G394" i="1"/>
  <c r="I394" i="1"/>
  <c r="K394" i="1"/>
  <c r="G401" i="1"/>
  <c r="I401" i="1"/>
  <c r="K401" i="1"/>
  <c r="G402" i="1"/>
  <c r="I402" i="1"/>
  <c r="K402" i="1"/>
  <c r="G403" i="1"/>
  <c r="I403" i="1"/>
  <c r="K403" i="1"/>
  <c r="G421" i="1"/>
  <c r="I421" i="1"/>
  <c r="K421" i="1"/>
  <c r="G422" i="1"/>
  <c r="I422" i="1"/>
  <c r="K422" i="1"/>
  <c r="G423" i="1"/>
  <c r="I423" i="1"/>
  <c r="K423" i="1"/>
  <c r="G424" i="1"/>
  <c r="I424" i="1"/>
  <c r="K424" i="1"/>
  <c r="G425" i="1"/>
  <c r="I425" i="1"/>
  <c r="K425" i="1"/>
  <c r="G417" i="1"/>
  <c r="I417" i="1"/>
  <c r="K417" i="1"/>
  <c r="G418" i="1"/>
  <c r="I418" i="1"/>
  <c r="K418" i="1"/>
  <c r="G419" i="1"/>
  <c r="I419" i="1"/>
  <c r="K419" i="1"/>
  <c r="G420" i="1"/>
  <c r="I420" i="1"/>
  <c r="K420" i="1"/>
  <c r="G432" i="1"/>
  <c r="I432" i="1"/>
  <c r="K432" i="1"/>
  <c r="G433" i="1"/>
  <c r="I433" i="1"/>
  <c r="K433" i="1"/>
  <c r="G434" i="1"/>
  <c r="I434" i="1"/>
  <c r="K434" i="1"/>
  <c r="G435" i="1"/>
  <c r="I435" i="1"/>
  <c r="K435" i="1"/>
  <c r="G436" i="1"/>
  <c r="I436" i="1"/>
  <c r="K436" i="1"/>
  <c r="G440" i="1"/>
  <c r="I440" i="1"/>
  <c r="K440" i="1"/>
  <c r="G441" i="1"/>
  <c r="I441" i="1"/>
  <c r="K441" i="1"/>
  <c r="G442" i="1"/>
  <c r="I442" i="1"/>
  <c r="K442" i="1"/>
  <c r="G443" i="1"/>
  <c r="I443" i="1"/>
  <c r="K443" i="1"/>
  <c r="G444" i="1"/>
  <c r="I444" i="1"/>
  <c r="K444" i="1"/>
  <c r="G445" i="1"/>
  <c r="I445" i="1"/>
  <c r="K445" i="1"/>
  <c r="D328" i="1"/>
  <c r="D337" i="1"/>
  <c r="D336" i="1"/>
  <c r="D335" i="1"/>
  <c r="D332" i="1"/>
  <c r="D331" i="1"/>
  <c r="E326" i="1"/>
  <c r="E327" i="1" s="1"/>
  <c r="D325" i="1"/>
  <c r="D316" i="1"/>
  <c r="D319" i="1"/>
  <c r="D324" i="1"/>
  <c r="D323" i="1"/>
  <c r="D320" i="1"/>
  <c r="E314" i="1"/>
  <c r="E317" i="1" s="1"/>
  <c r="E318" i="1" s="1"/>
  <c r="G81" i="1"/>
  <c r="I81" i="1"/>
  <c r="K81" i="1"/>
  <c r="E310" i="1"/>
  <c r="E365" i="1" l="1"/>
  <c r="I365" i="1" s="1"/>
  <c r="L385" i="1"/>
  <c r="L81" i="1"/>
  <c r="L444" i="1"/>
  <c r="L445" i="1"/>
  <c r="G377" i="1"/>
  <c r="K377" i="1"/>
  <c r="E328" i="1"/>
  <c r="E334" i="1" s="1"/>
  <c r="I375" i="1"/>
  <c r="E311" i="1"/>
  <c r="L435" i="1"/>
  <c r="L401" i="1"/>
  <c r="L388" i="1"/>
  <c r="E313" i="1"/>
  <c r="E316" i="1"/>
  <c r="K316" i="1" s="1"/>
  <c r="L384" i="1"/>
  <c r="K370" i="1"/>
  <c r="L391" i="1"/>
  <c r="L387" i="1"/>
  <c r="I370" i="1"/>
  <c r="E340" i="1"/>
  <c r="E345" i="1" s="1"/>
  <c r="I369" i="1"/>
  <c r="L443" i="1"/>
  <c r="L436" i="1"/>
  <c r="K368" i="1"/>
  <c r="I368" i="1"/>
  <c r="L420" i="1"/>
  <c r="L441" i="1"/>
  <c r="L442" i="1"/>
  <c r="I377" i="1"/>
  <c r="L367" i="1"/>
  <c r="G375" i="1"/>
  <c r="E335" i="1"/>
  <c r="L434" i="1"/>
  <c r="L419" i="1"/>
  <c r="L421" i="1"/>
  <c r="L366" i="1"/>
  <c r="E357" i="1"/>
  <c r="G357" i="1" s="1"/>
  <c r="E337" i="1"/>
  <c r="L425" i="1"/>
  <c r="G371" i="1"/>
  <c r="L424" i="1"/>
  <c r="L403" i="1"/>
  <c r="G354" i="1"/>
  <c r="E329" i="1"/>
  <c r="E330" i="1" s="1"/>
  <c r="L423" i="1"/>
  <c r="L393" i="1"/>
  <c r="L440" i="1"/>
  <c r="L432" i="1"/>
  <c r="L417" i="1"/>
  <c r="L418" i="1"/>
  <c r="L422" i="1"/>
  <c r="L402" i="1"/>
  <c r="L394" i="1"/>
  <c r="L392" i="1"/>
  <c r="L390" i="1"/>
  <c r="L389" i="1"/>
  <c r="L386" i="1"/>
  <c r="L383" i="1"/>
  <c r="G353" i="1"/>
  <c r="I353" i="1"/>
  <c r="K353" i="1"/>
  <c r="K376" i="1"/>
  <c r="G376" i="1"/>
  <c r="I376" i="1"/>
  <c r="I378" i="1"/>
  <c r="E312" i="1"/>
  <c r="E315" i="1"/>
  <c r="G378" i="1"/>
  <c r="E341" i="1"/>
  <c r="E342" i="1" s="1"/>
  <c r="K350" i="1"/>
  <c r="I350" i="1"/>
  <c r="G350" i="1"/>
  <c r="E339" i="1"/>
  <c r="E351" i="1"/>
  <c r="K369" i="1"/>
  <c r="K354" i="1"/>
  <c r="E352" i="1"/>
  <c r="L433" i="1"/>
  <c r="K380" i="1"/>
  <c r="K371" i="1"/>
  <c r="L381" i="1"/>
  <c r="G379" i="1"/>
  <c r="K379" i="1"/>
  <c r="G380" i="1"/>
  <c r="L374" i="1"/>
  <c r="K373" i="1"/>
  <c r="I373" i="1"/>
  <c r="K372" i="1"/>
  <c r="I372" i="1"/>
  <c r="E356" i="1"/>
  <c r="E355" i="1"/>
  <c r="I355" i="1" s="1"/>
  <c r="D308" i="1"/>
  <c r="D307" i="1"/>
  <c r="D306" i="1"/>
  <c r="D303" i="1"/>
  <c r="D302" i="1"/>
  <c r="D299" i="1"/>
  <c r="E300" i="1"/>
  <c r="E301" i="1" s="1"/>
  <c r="D296" i="1"/>
  <c r="D295" i="1"/>
  <c r="D292" i="1"/>
  <c r="D291" i="1"/>
  <c r="D288" i="1"/>
  <c r="E289" i="1"/>
  <c r="E290" i="1" s="1"/>
  <c r="G365" i="1" l="1"/>
  <c r="K365" i="1"/>
  <c r="E331" i="1"/>
  <c r="K331" i="1" s="1"/>
  <c r="E332" i="1"/>
  <c r="K332" i="1" s="1"/>
  <c r="L371" i="1"/>
  <c r="E333" i="1"/>
  <c r="I333" i="1" s="1"/>
  <c r="L377" i="1"/>
  <c r="E336" i="1"/>
  <c r="I336" i="1" s="1"/>
  <c r="L369" i="1"/>
  <c r="L370" i="1"/>
  <c r="E322" i="1"/>
  <c r="K322" i="1" s="1"/>
  <c r="L375" i="1"/>
  <c r="L368" i="1"/>
  <c r="E321" i="1"/>
  <c r="I321" i="1" s="1"/>
  <c r="E323" i="1"/>
  <c r="G323" i="1" s="1"/>
  <c r="E324" i="1"/>
  <c r="G324" i="1" s="1"/>
  <c r="E346" i="1"/>
  <c r="G346" i="1" s="1"/>
  <c r="E348" i="1"/>
  <c r="I348" i="1" s="1"/>
  <c r="E347" i="1"/>
  <c r="I347" i="1" s="1"/>
  <c r="E344" i="1"/>
  <c r="G344" i="1" s="1"/>
  <c r="E320" i="1"/>
  <c r="G320" i="1" s="1"/>
  <c r="E319" i="1"/>
  <c r="I319" i="1" s="1"/>
  <c r="E325" i="1"/>
  <c r="G325" i="1" s="1"/>
  <c r="E308" i="1"/>
  <c r="G308" i="1" s="1"/>
  <c r="G316" i="1"/>
  <c r="I316" i="1"/>
  <c r="L354" i="1"/>
  <c r="E343" i="1"/>
  <c r="I343" i="1" s="1"/>
  <c r="K355" i="1"/>
  <c r="E288" i="1"/>
  <c r="E292" i="1" s="1"/>
  <c r="I357" i="1"/>
  <c r="L380" i="1"/>
  <c r="E299" i="1"/>
  <c r="G299" i="1" s="1"/>
  <c r="E358" i="1"/>
  <c r="I358" i="1" s="1"/>
  <c r="L350" i="1"/>
  <c r="K357" i="1"/>
  <c r="E298" i="1"/>
  <c r="I298" i="1" s="1"/>
  <c r="E287" i="1"/>
  <c r="G287" i="1" s="1"/>
  <c r="K351" i="1"/>
  <c r="G351" i="1"/>
  <c r="I351" i="1"/>
  <c r="L378" i="1"/>
  <c r="G355" i="1"/>
  <c r="K352" i="1"/>
  <c r="G352" i="1"/>
  <c r="I352" i="1"/>
  <c r="L376" i="1"/>
  <c r="L379" i="1"/>
  <c r="L353" i="1"/>
  <c r="L373" i="1"/>
  <c r="L372" i="1"/>
  <c r="E364" i="1"/>
  <c r="K356" i="1"/>
  <c r="E361" i="1"/>
  <c r="E359" i="1"/>
  <c r="E363" i="1"/>
  <c r="E362" i="1"/>
  <c r="E360" i="1"/>
  <c r="G356" i="1"/>
  <c r="I356" i="1"/>
  <c r="E285" i="1"/>
  <c r="I285" i="1" s="1"/>
  <c r="E276" i="1"/>
  <c r="E282" i="1" s="1"/>
  <c r="E275" i="1"/>
  <c r="I275" i="1" s="1"/>
  <c r="D284" i="1"/>
  <c r="D283" i="1"/>
  <c r="D280" i="1"/>
  <c r="D279" i="1"/>
  <c r="E95" i="1"/>
  <c r="E82" i="1"/>
  <c r="E94" i="1"/>
  <c r="E93" i="1"/>
  <c r="E92" i="1"/>
  <c r="E91" i="1"/>
  <c r="E90" i="1"/>
  <c r="E89" i="1"/>
  <c r="E88" i="1"/>
  <c r="E87" i="1"/>
  <c r="E86" i="1"/>
  <c r="E85" i="1"/>
  <c r="E84" i="1"/>
  <c r="E83" i="1"/>
  <c r="E159" i="1"/>
  <c r="D273" i="1"/>
  <c r="D272" i="1"/>
  <c r="D271" i="1"/>
  <c r="D268" i="1"/>
  <c r="D267" i="1"/>
  <c r="G262" i="1"/>
  <c r="E253" i="1"/>
  <c r="K253" i="1" s="1"/>
  <c r="E261" i="1"/>
  <c r="I261" i="1" s="1"/>
  <c r="E252" i="1"/>
  <c r="E257" i="1" s="1"/>
  <c r="E251" i="1"/>
  <c r="G251" i="1" s="1"/>
  <c r="D260" i="1"/>
  <c r="D259" i="1"/>
  <c r="D256" i="1"/>
  <c r="D255" i="1"/>
  <c r="E241" i="1"/>
  <c r="G241" i="1" s="1"/>
  <c r="E240" i="1"/>
  <c r="K240" i="1" s="1"/>
  <c r="E242" i="1"/>
  <c r="D243" i="1"/>
  <c r="E238" i="1"/>
  <c r="G238" i="1" s="1"/>
  <c r="D249" i="1"/>
  <c r="E249" i="1" s="1"/>
  <c r="D239" i="1"/>
  <c r="E239" i="1" s="1"/>
  <c r="G265" i="1"/>
  <c r="I265" i="1"/>
  <c r="K265" i="1"/>
  <c r="G266" i="1"/>
  <c r="I266" i="1"/>
  <c r="K266" i="1"/>
  <c r="G274" i="1"/>
  <c r="I274" i="1"/>
  <c r="K274" i="1"/>
  <c r="G277" i="1"/>
  <c r="I277" i="1"/>
  <c r="K277" i="1"/>
  <c r="G278" i="1"/>
  <c r="I278" i="1"/>
  <c r="K278" i="1"/>
  <c r="G286" i="1"/>
  <c r="I286" i="1"/>
  <c r="K286" i="1"/>
  <c r="G289" i="1"/>
  <c r="I289" i="1"/>
  <c r="K289" i="1"/>
  <c r="G290" i="1"/>
  <c r="I290" i="1"/>
  <c r="K290" i="1"/>
  <c r="G297" i="1"/>
  <c r="I297" i="1"/>
  <c r="K297" i="1"/>
  <c r="G300" i="1"/>
  <c r="I300" i="1"/>
  <c r="K300" i="1"/>
  <c r="G301" i="1"/>
  <c r="I301" i="1"/>
  <c r="K301" i="1"/>
  <c r="G309" i="1"/>
  <c r="I309" i="1"/>
  <c r="K309" i="1"/>
  <c r="G310" i="1"/>
  <c r="I310" i="1"/>
  <c r="K310" i="1"/>
  <c r="G311" i="1"/>
  <c r="I311" i="1"/>
  <c r="K311" i="1"/>
  <c r="G312" i="1"/>
  <c r="I312" i="1"/>
  <c r="K312" i="1"/>
  <c r="G313" i="1"/>
  <c r="I313" i="1"/>
  <c r="K313" i="1"/>
  <c r="G314" i="1"/>
  <c r="I314" i="1"/>
  <c r="K314" i="1"/>
  <c r="G315" i="1"/>
  <c r="I315" i="1"/>
  <c r="K315" i="1"/>
  <c r="G317" i="1"/>
  <c r="I317" i="1"/>
  <c r="K317" i="1"/>
  <c r="G318" i="1"/>
  <c r="I318" i="1"/>
  <c r="K318" i="1"/>
  <c r="G326" i="1"/>
  <c r="I326" i="1"/>
  <c r="K326" i="1"/>
  <c r="G327" i="1"/>
  <c r="I327" i="1"/>
  <c r="K327" i="1"/>
  <c r="G328" i="1"/>
  <c r="I328" i="1"/>
  <c r="K328" i="1"/>
  <c r="G329" i="1"/>
  <c r="I329" i="1"/>
  <c r="K329" i="1"/>
  <c r="G330" i="1"/>
  <c r="I330" i="1"/>
  <c r="K330" i="1"/>
  <c r="G334" i="1"/>
  <c r="I334" i="1"/>
  <c r="K334" i="1"/>
  <c r="G335" i="1"/>
  <c r="I335" i="1"/>
  <c r="K335" i="1"/>
  <c r="G337" i="1"/>
  <c r="I337" i="1"/>
  <c r="K337" i="1"/>
  <c r="G338" i="1"/>
  <c r="I338" i="1"/>
  <c r="K338" i="1"/>
  <c r="G339" i="1"/>
  <c r="I339" i="1"/>
  <c r="K339" i="1"/>
  <c r="G340" i="1"/>
  <c r="I340" i="1"/>
  <c r="K340" i="1"/>
  <c r="G341" i="1"/>
  <c r="I341" i="1"/>
  <c r="K341" i="1"/>
  <c r="G342" i="1"/>
  <c r="I342" i="1"/>
  <c r="K342" i="1"/>
  <c r="G345" i="1"/>
  <c r="I345" i="1"/>
  <c r="K345" i="1"/>
  <c r="G349" i="1"/>
  <c r="I349" i="1"/>
  <c r="K349" i="1"/>
  <c r="D248" i="1"/>
  <c r="D247" i="1"/>
  <c r="D244" i="1"/>
  <c r="E229" i="1"/>
  <c r="G229" i="1" s="1"/>
  <c r="E228" i="1"/>
  <c r="G228" i="1" s="1"/>
  <c r="D236" i="1"/>
  <c r="D235" i="1"/>
  <c r="D234" i="1"/>
  <c r="D231" i="1"/>
  <c r="D230" i="1"/>
  <c r="D227" i="1"/>
  <c r="G225" i="1"/>
  <c r="E217" i="1"/>
  <c r="G217" i="1" s="1"/>
  <c r="E216" i="1"/>
  <c r="G216" i="1" s="1"/>
  <c r="D222" i="1"/>
  <c r="D223" i="1"/>
  <c r="D219" i="1"/>
  <c r="D224" i="1"/>
  <c r="D218" i="1"/>
  <c r="D215" i="1"/>
  <c r="I213" i="1"/>
  <c r="E205" i="1"/>
  <c r="I205" i="1" s="1"/>
  <c r="E204" i="1"/>
  <c r="I204" i="1" s="1"/>
  <c r="E202" i="1"/>
  <c r="I202" i="1" s="1"/>
  <c r="D212" i="1"/>
  <c r="I212" i="1" s="1"/>
  <c r="D210" i="1"/>
  <c r="D211" i="1"/>
  <c r="D207" i="1"/>
  <c r="D206" i="1"/>
  <c r="D203" i="1"/>
  <c r="G201" i="1"/>
  <c r="E193" i="1"/>
  <c r="G193" i="1" s="1"/>
  <c r="E192" i="1"/>
  <c r="I192" i="1" s="1"/>
  <c r="E190" i="1"/>
  <c r="G190" i="1" s="1"/>
  <c r="D200" i="1"/>
  <c r="E200" i="1" s="1"/>
  <c r="D191" i="1"/>
  <c r="E191" i="1" s="1"/>
  <c r="E163" i="1"/>
  <c r="D173" i="1"/>
  <c r="E173" i="1" s="1"/>
  <c r="G173" i="1" s="1"/>
  <c r="D172" i="1"/>
  <c r="D171" i="1"/>
  <c r="D168" i="1"/>
  <c r="D167" i="1"/>
  <c r="E164" i="1"/>
  <c r="G189" i="1"/>
  <c r="I189" i="1"/>
  <c r="K189" i="1"/>
  <c r="I201" i="1"/>
  <c r="K201" i="1"/>
  <c r="G237" i="1"/>
  <c r="I237" i="1"/>
  <c r="K237" i="1"/>
  <c r="G250" i="1"/>
  <c r="I250" i="1"/>
  <c r="K250" i="1"/>
  <c r="G254" i="1"/>
  <c r="I254" i="1"/>
  <c r="K254" i="1"/>
  <c r="D141" i="1"/>
  <c r="E112" i="1"/>
  <c r="E111" i="1"/>
  <c r="E109" i="1"/>
  <c r="D119" i="1"/>
  <c r="E119" i="1" s="1"/>
  <c r="D118" i="1"/>
  <c r="D117" i="1"/>
  <c r="D114" i="1"/>
  <c r="D113" i="1"/>
  <c r="D110" i="1"/>
  <c r="E110" i="1" s="1"/>
  <c r="E116" i="1" s="1"/>
  <c r="L365" i="1" l="1"/>
  <c r="I331" i="1"/>
  <c r="G332" i="1"/>
  <c r="I332" i="1"/>
  <c r="E304" i="1"/>
  <c r="K304" i="1" s="1"/>
  <c r="E307" i="1"/>
  <c r="G307" i="1" s="1"/>
  <c r="G331" i="1"/>
  <c r="E302" i="1"/>
  <c r="I302" i="1" s="1"/>
  <c r="I159" i="1"/>
  <c r="K159" i="1"/>
  <c r="G159" i="1"/>
  <c r="K299" i="1"/>
  <c r="I299" i="1"/>
  <c r="K320" i="1"/>
  <c r="G333" i="1"/>
  <c r="K336" i="1"/>
  <c r="E161" i="1"/>
  <c r="E155" i="1"/>
  <c r="K346" i="1"/>
  <c r="I346" i="1"/>
  <c r="G336" i="1"/>
  <c r="K333" i="1"/>
  <c r="I322" i="1"/>
  <c r="G322" i="1"/>
  <c r="I324" i="1"/>
  <c r="K242" i="1"/>
  <c r="G242" i="1"/>
  <c r="I242" i="1"/>
  <c r="K321" i="1"/>
  <c r="G321" i="1"/>
  <c r="E303" i="1"/>
  <c r="G303" i="1" s="1"/>
  <c r="G348" i="1"/>
  <c r="K325" i="1"/>
  <c r="K324" i="1"/>
  <c r="K308" i="1"/>
  <c r="L357" i="1"/>
  <c r="I325" i="1"/>
  <c r="K276" i="1"/>
  <c r="K347" i="1"/>
  <c r="G347" i="1"/>
  <c r="L316" i="1"/>
  <c r="G298" i="1"/>
  <c r="K323" i="1"/>
  <c r="I323" i="1"/>
  <c r="I308" i="1"/>
  <c r="K292" i="1"/>
  <c r="I292" i="1"/>
  <c r="G292" i="1"/>
  <c r="E291" i="1"/>
  <c r="I291" i="1" s="1"/>
  <c r="E296" i="1"/>
  <c r="K296" i="1" s="1"/>
  <c r="I320" i="1"/>
  <c r="E293" i="1"/>
  <c r="E294" i="1"/>
  <c r="I294" i="1" s="1"/>
  <c r="K288" i="1"/>
  <c r="K344" i="1"/>
  <c r="K319" i="1"/>
  <c r="I288" i="1"/>
  <c r="G276" i="1"/>
  <c r="E295" i="1"/>
  <c r="K348" i="1"/>
  <c r="I344" i="1"/>
  <c r="G319" i="1"/>
  <c r="G288" i="1"/>
  <c r="E306" i="1"/>
  <c r="G306" i="1" s="1"/>
  <c r="K343" i="1"/>
  <c r="G343" i="1"/>
  <c r="K285" i="1"/>
  <c r="G285" i="1"/>
  <c r="E279" i="1"/>
  <c r="K279" i="1" s="1"/>
  <c r="E280" i="1"/>
  <c r="I280" i="1" s="1"/>
  <c r="E283" i="1"/>
  <c r="K283" i="1" s="1"/>
  <c r="K252" i="1"/>
  <c r="I252" i="1"/>
  <c r="E221" i="1"/>
  <c r="G221" i="1" s="1"/>
  <c r="K287" i="1"/>
  <c r="E284" i="1"/>
  <c r="G284" i="1" s="1"/>
  <c r="G252" i="1"/>
  <c r="I287" i="1"/>
  <c r="L355" i="1"/>
  <c r="E305" i="1"/>
  <c r="I276" i="1"/>
  <c r="E281" i="1"/>
  <c r="K281" i="1" s="1"/>
  <c r="L351" i="1"/>
  <c r="E255" i="1"/>
  <c r="I255" i="1" s="1"/>
  <c r="E256" i="1"/>
  <c r="K256" i="1" s="1"/>
  <c r="E259" i="1"/>
  <c r="K259" i="1" s="1"/>
  <c r="K241" i="1"/>
  <c r="G240" i="1"/>
  <c r="E260" i="1"/>
  <c r="G260" i="1" s="1"/>
  <c r="G358" i="1"/>
  <c r="K358" i="1"/>
  <c r="E258" i="1"/>
  <c r="G258" i="1" s="1"/>
  <c r="G90" i="1"/>
  <c r="I90" i="1"/>
  <c r="K90" i="1"/>
  <c r="L189" i="1"/>
  <c r="G275" i="1"/>
  <c r="G91" i="1"/>
  <c r="I91" i="1"/>
  <c r="K91" i="1"/>
  <c r="L352" i="1"/>
  <c r="I89" i="1"/>
  <c r="G89" i="1"/>
  <c r="K89" i="1"/>
  <c r="I92" i="1"/>
  <c r="G92" i="1"/>
  <c r="K92" i="1"/>
  <c r="K144" i="1"/>
  <c r="I93" i="1"/>
  <c r="G93" i="1"/>
  <c r="K93" i="1"/>
  <c r="G94" i="1"/>
  <c r="K94" i="1"/>
  <c r="I94" i="1"/>
  <c r="G88" i="1"/>
  <c r="I88" i="1"/>
  <c r="K88" i="1"/>
  <c r="K298" i="1"/>
  <c r="I83" i="1"/>
  <c r="G83" i="1"/>
  <c r="K83" i="1"/>
  <c r="G82" i="1"/>
  <c r="I82" i="1"/>
  <c r="K82" i="1"/>
  <c r="I240" i="1"/>
  <c r="I84" i="1"/>
  <c r="G84" i="1"/>
  <c r="K84" i="1"/>
  <c r="I95" i="1"/>
  <c r="G95" i="1"/>
  <c r="K95" i="1"/>
  <c r="G85" i="1"/>
  <c r="K85" i="1"/>
  <c r="I85" i="1"/>
  <c r="I86" i="1"/>
  <c r="G86" i="1"/>
  <c r="K86" i="1"/>
  <c r="I87" i="1"/>
  <c r="G87" i="1"/>
  <c r="K87" i="1"/>
  <c r="G360" i="1"/>
  <c r="K360" i="1"/>
  <c r="I360" i="1"/>
  <c r="I362" i="1"/>
  <c r="G362" i="1"/>
  <c r="K362" i="1"/>
  <c r="G363" i="1"/>
  <c r="K363" i="1"/>
  <c r="I363" i="1"/>
  <c r="G359" i="1"/>
  <c r="K359" i="1"/>
  <c r="I359" i="1"/>
  <c r="G361" i="1"/>
  <c r="K361" i="1"/>
  <c r="I361" i="1"/>
  <c r="L356" i="1"/>
  <c r="I364" i="1"/>
  <c r="K364" i="1"/>
  <c r="G364" i="1"/>
  <c r="G282" i="1"/>
  <c r="K282" i="1"/>
  <c r="I282" i="1"/>
  <c r="I241" i="1"/>
  <c r="G261" i="1"/>
  <c r="G253" i="1"/>
  <c r="I253" i="1"/>
  <c r="K275" i="1"/>
  <c r="G257" i="1"/>
  <c r="I257" i="1"/>
  <c r="K257" i="1"/>
  <c r="L311" i="1"/>
  <c r="E243" i="1"/>
  <c r="K243" i="1" s="1"/>
  <c r="E273" i="1"/>
  <c r="K251" i="1"/>
  <c r="K225" i="1"/>
  <c r="L330" i="1"/>
  <c r="I251" i="1"/>
  <c r="K261" i="1"/>
  <c r="L290" i="1"/>
  <c r="E263" i="1"/>
  <c r="G263" i="1" s="1"/>
  <c r="E264" i="1"/>
  <c r="E271" i="1" s="1"/>
  <c r="K262" i="1"/>
  <c r="I262" i="1"/>
  <c r="E226" i="1"/>
  <c r="I226" i="1" s="1"/>
  <c r="G236" i="1"/>
  <c r="K217" i="1"/>
  <c r="L342" i="1"/>
  <c r="I217" i="1"/>
  <c r="G213" i="1"/>
  <c r="G204" i="1"/>
  <c r="K202" i="1"/>
  <c r="L349" i="1"/>
  <c r="G191" i="1"/>
  <c r="E195" i="1"/>
  <c r="K195" i="1" s="1"/>
  <c r="E197" i="1"/>
  <c r="G197" i="1" s="1"/>
  <c r="G249" i="1"/>
  <c r="I249" i="1"/>
  <c r="K249" i="1"/>
  <c r="E194" i="1"/>
  <c r="I194" i="1" s="1"/>
  <c r="L327" i="1"/>
  <c r="L314" i="1"/>
  <c r="E168" i="1"/>
  <c r="E198" i="1"/>
  <c r="K198" i="1" s="1"/>
  <c r="E234" i="1"/>
  <c r="L339" i="1"/>
  <c r="L265" i="1"/>
  <c r="K205" i="1"/>
  <c r="L326" i="1"/>
  <c r="L300" i="1"/>
  <c r="E167" i="1"/>
  <c r="G205" i="1"/>
  <c r="E172" i="1"/>
  <c r="I172" i="1" s="1"/>
  <c r="L345" i="1"/>
  <c r="L318" i="1"/>
  <c r="E247" i="1"/>
  <c r="K247" i="1" s="1"/>
  <c r="K204" i="1"/>
  <c r="K173" i="1"/>
  <c r="K224" i="1"/>
  <c r="I193" i="1"/>
  <c r="G192" i="1"/>
  <c r="L337" i="1"/>
  <c r="K200" i="1"/>
  <c r="G200" i="1"/>
  <c r="I200" i="1"/>
  <c r="I203" i="1"/>
  <c r="E209" i="1"/>
  <c r="E207" i="1"/>
  <c r="E208" i="1"/>
  <c r="E211" i="1"/>
  <c r="E210" i="1"/>
  <c r="E206" i="1"/>
  <c r="G206" i="1" s="1"/>
  <c r="G239" i="1"/>
  <c r="I239" i="1"/>
  <c r="K239" i="1"/>
  <c r="E248" i="1"/>
  <c r="E246" i="1"/>
  <c r="E245" i="1"/>
  <c r="E244" i="1"/>
  <c r="E171" i="1"/>
  <c r="E170" i="1"/>
  <c r="E169" i="1"/>
  <c r="K193" i="1"/>
  <c r="I173" i="1"/>
  <c r="E196" i="1"/>
  <c r="L313" i="1"/>
  <c r="L289" i="1"/>
  <c r="L278" i="1"/>
  <c r="L335" i="1"/>
  <c r="L328" i="1"/>
  <c r="L317" i="1"/>
  <c r="L309" i="1"/>
  <c r="L274" i="1"/>
  <c r="K192" i="1"/>
  <c r="E199" i="1"/>
  <c r="L254" i="1"/>
  <c r="L250" i="1"/>
  <c r="E214" i="1"/>
  <c r="G214" i="1" s="1"/>
  <c r="L338" i="1"/>
  <c r="L312" i="1"/>
  <c r="L301" i="1"/>
  <c r="L277" i="1"/>
  <c r="K190" i="1"/>
  <c r="L341" i="1"/>
  <c r="L334" i="1"/>
  <c r="L315" i="1"/>
  <c r="L297" i="1"/>
  <c r="L266" i="1"/>
  <c r="I190" i="1"/>
  <c r="L340" i="1"/>
  <c r="L329" i="1"/>
  <c r="L310" i="1"/>
  <c r="L286" i="1"/>
  <c r="I238" i="1"/>
  <c r="K238" i="1"/>
  <c r="K229" i="1"/>
  <c r="I229" i="1"/>
  <c r="I228" i="1"/>
  <c r="K228" i="1"/>
  <c r="I225" i="1"/>
  <c r="K216" i="1"/>
  <c r="I216" i="1"/>
  <c r="K213" i="1"/>
  <c r="K212" i="1"/>
  <c r="G212" i="1"/>
  <c r="G202" i="1"/>
  <c r="K203" i="1"/>
  <c r="G203" i="1"/>
  <c r="L201" i="1"/>
  <c r="I191" i="1"/>
  <c r="K191" i="1"/>
  <c r="E160" i="1"/>
  <c r="I144" i="1"/>
  <c r="E145" i="1"/>
  <c r="K145" i="1" s="1"/>
  <c r="E154" i="1"/>
  <c r="G144" i="1"/>
  <c r="E146" i="1"/>
  <c r="I146" i="1" s="1"/>
  <c r="L237" i="1"/>
  <c r="E118" i="1"/>
  <c r="E117" i="1"/>
  <c r="E113" i="1"/>
  <c r="E114" i="1"/>
  <c r="E115" i="1"/>
  <c r="E100" i="1"/>
  <c r="E99" i="1"/>
  <c r="D106" i="1"/>
  <c r="D105" i="1"/>
  <c r="D102" i="1"/>
  <c r="D101" i="1"/>
  <c r="D107" i="1"/>
  <c r="D98" i="1"/>
  <c r="E96" i="1"/>
  <c r="G304" i="1" l="1"/>
  <c r="I304" i="1"/>
  <c r="L304" i="1" s="1"/>
  <c r="I307" i="1"/>
  <c r="K307" i="1"/>
  <c r="L332" i="1"/>
  <c r="L331" i="1"/>
  <c r="G302" i="1"/>
  <c r="K302" i="1"/>
  <c r="L299" i="1"/>
  <c r="L159" i="1"/>
  <c r="I155" i="1"/>
  <c r="K155" i="1"/>
  <c r="G155" i="1"/>
  <c r="K160" i="1"/>
  <c r="I160" i="1"/>
  <c r="G160" i="1"/>
  <c r="L322" i="1"/>
  <c r="L348" i="1"/>
  <c r="L333" i="1"/>
  <c r="L320" i="1"/>
  <c r="L346" i="1"/>
  <c r="K291" i="1"/>
  <c r="L336" i="1"/>
  <c r="I303" i="1"/>
  <c r="I283" i="1"/>
  <c r="I296" i="1"/>
  <c r="L347" i="1"/>
  <c r="E156" i="1"/>
  <c r="E158" i="1"/>
  <c r="E157" i="1"/>
  <c r="I221" i="1"/>
  <c r="L307" i="1"/>
  <c r="L308" i="1"/>
  <c r="L325" i="1"/>
  <c r="K260" i="1"/>
  <c r="L324" i="1"/>
  <c r="K303" i="1"/>
  <c r="G296" i="1"/>
  <c r="L321" i="1"/>
  <c r="L292" i="1"/>
  <c r="L323" i="1"/>
  <c r="L225" i="1"/>
  <c r="L242" i="1"/>
  <c r="L298" i="1"/>
  <c r="G291" i="1"/>
  <c r="L241" i="1"/>
  <c r="I279" i="1"/>
  <c r="I256" i="1"/>
  <c r="G259" i="1"/>
  <c r="L288" i="1"/>
  <c r="G256" i="1"/>
  <c r="G279" i="1"/>
  <c r="L287" i="1"/>
  <c r="L343" i="1"/>
  <c r="L275" i="1"/>
  <c r="L252" i="1"/>
  <c r="L344" i="1"/>
  <c r="L319" i="1"/>
  <c r="L276" i="1"/>
  <c r="K293" i="1"/>
  <c r="I293" i="1"/>
  <c r="E222" i="1"/>
  <c r="G222" i="1" s="1"/>
  <c r="K294" i="1"/>
  <c r="G294" i="1"/>
  <c r="G293" i="1"/>
  <c r="G215" i="1"/>
  <c r="I260" i="1"/>
  <c r="I295" i="1"/>
  <c r="K295" i="1"/>
  <c r="G295" i="1"/>
  <c r="E220" i="1"/>
  <c r="K220" i="1" s="1"/>
  <c r="K221" i="1"/>
  <c r="E219" i="1"/>
  <c r="I219" i="1" s="1"/>
  <c r="K306" i="1"/>
  <c r="E218" i="1"/>
  <c r="G218" i="1" s="1"/>
  <c r="G280" i="1"/>
  <c r="I306" i="1"/>
  <c r="K280" i="1"/>
  <c r="L285" i="1"/>
  <c r="K284" i="1"/>
  <c r="L253" i="1"/>
  <c r="L358" i="1"/>
  <c r="L193" i="1"/>
  <c r="L249" i="1"/>
  <c r="L257" i="1"/>
  <c r="I281" i="1"/>
  <c r="G281" i="1"/>
  <c r="K215" i="1"/>
  <c r="E223" i="1"/>
  <c r="K223" i="1" s="1"/>
  <c r="L261" i="1"/>
  <c r="L240" i="1"/>
  <c r="G305" i="1"/>
  <c r="I305" i="1"/>
  <c r="I284" i="1"/>
  <c r="G283" i="1"/>
  <c r="I215" i="1"/>
  <c r="L204" i="1"/>
  <c r="I259" i="1"/>
  <c r="K305" i="1"/>
  <c r="K197" i="1"/>
  <c r="I243" i="1"/>
  <c r="G255" i="1"/>
  <c r="L90" i="1"/>
  <c r="I258" i="1"/>
  <c r="G243" i="1"/>
  <c r="L89" i="1"/>
  <c r="K255" i="1"/>
  <c r="I197" i="1"/>
  <c r="K258" i="1"/>
  <c r="L85" i="1"/>
  <c r="L94" i="1"/>
  <c r="L239" i="1"/>
  <c r="L282" i="1"/>
  <c r="L87" i="1"/>
  <c r="L84" i="1"/>
  <c r="L91" i="1"/>
  <c r="L86" i="1"/>
  <c r="L88" i="1"/>
  <c r="L92" i="1"/>
  <c r="L251" i="1"/>
  <c r="L217" i="1"/>
  <c r="I264" i="1"/>
  <c r="L82" i="1"/>
  <c r="K264" i="1"/>
  <c r="L362" i="1"/>
  <c r="L83" i="1"/>
  <c r="L95" i="1"/>
  <c r="L93" i="1"/>
  <c r="L363" i="1"/>
  <c r="L359" i="1"/>
  <c r="L364" i="1"/>
  <c r="L361" i="1"/>
  <c r="L360" i="1"/>
  <c r="G271" i="1"/>
  <c r="K271" i="1"/>
  <c r="I271" i="1"/>
  <c r="E272" i="1"/>
  <c r="I272" i="1" s="1"/>
  <c r="G226" i="1"/>
  <c r="K226" i="1"/>
  <c r="I224" i="1"/>
  <c r="L173" i="1"/>
  <c r="I263" i="1"/>
  <c r="K263" i="1"/>
  <c r="K172" i="1"/>
  <c r="G172" i="1"/>
  <c r="G273" i="1"/>
  <c r="I273" i="1"/>
  <c r="K273" i="1"/>
  <c r="L238" i="1"/>
  <c r="G264" i="1"/>
  <c r="E269" i="1"/>
  <c r="E268" i="1"/>
  <c r="E267" i="1"/>
  <c r="E270" i="1"/>
  <c r="G146" i="1"/>
  <c r="G194" i="1"/>
  <c r="K194" i="1"/>
  <c r="L262" i="1"/>
  <c r="I206" i="1"/>
  <c r="L213" i="1"/>
  <c r="I236" i="1"/>
  <c r="K236" i="1"/>
  <c r="G224" i="1"/>
  <c r="L202" i="1"/>
  <c r="K206" i="1"/>
  <c r="E232" i="1"/>
  <c r="K232" i="1" s="1"/>
  <c r="K146" i="1"/>
  <c r="L228" i="1"/>
  <c r="E230" i="1"/>
  <c r="G230" i="1" s="1"/>
  <c r="G227" i="1"/>
  <c r="E233" i="1"/>
  <c r="K233" i="1" s="1"/>
  <c r="E235" i="1"/>
  <c r="G235" i="1" s="1"/>
  <c r="I198" i="1"/>
  <c r="K214" i="1"/>
  <c r="I247" i="1"/>
  <c r="L205" i="1"/>
  <c r="G198" i="1"/>
  <c r="G247" i="1"/>
  <c r="I227" i="1"/>
  <c r="K227" i="1"/>
  <c r="E231" i="1"/>
  <c r="G231" i="1" s="1"/>
  <c r="I195" i="1"/>
  <c r="G195" i="1"/>
  <c r="L144" i="1"/>
  <c r="L192" i="1"/>
  <c r="L200" i="1"/>
  <c r="G170" i="1"/>
  <c r="I170" i="1"/>
  <c r="K170" i="1"/>
  <c r="G245" i="1"/>
  <c r="I245" i="1"/>
  <c r="K245" i="1"/>
  <c r="L190" i="1"/>
  <c r="I246" i="1"/>
  <c r="G246" i="1"/>
  <c r="K246" i="1"/>
  <c r="K244" i="1"/>
  <c r="G244" i="1"/>
  <c r="I244" i="1"/>
  <c r="I210" i="1"/>
  <c r="G210" i="1"/>
  <c r="K210" i="1"/>
  <c r="I145" i="1"/>
  <c r="L191" i="1"/>
  <c r="I211" i="1"/>
  <c r="K211" i="1"/>
  <c r="G211" i="1"/>
  <c r="L229" i="1"/>
  <c r="G145" i="1"/>
  <c r="G196" i="1"/>
  <c r="I196" i="1"/>
  <c r="K196" i="1"/>
  <c r="G209" i="1"/>
  <c r="I209" i="1"/>
  <c r="K209" i="1"/>
  <c r="G171" i="1"/>
  <c r="I171" i="1"/>
  <c r="K171" i="1"/>
  <c r="K248" i="1"/>
  <c r="I248" i="1"/>
  <c r="G248" i="1"/>
  <c r="G208" i="1"/>
  <c r="I208" i="1"/>
  <c r="K208" i="1"/>
  <c r="I207" i="1"/>
  <c r="K207" i="1"/>
  <c r="G207" i="1"/>
  <c r="I214" i="1"/>
  <c r="K199" i="1"/>
  <c r="G199" i="1"/>
  <c r="I199" i="1"/>
  <c r="G234" i="1"/>
  <c r="I234" i="1"/>
  <c r="K234" i="1"/>
  <c r="L216" i="1"/>
  <c r="L212" i="1"/>
  <c r="L203" i="1"/>
  <c r="E153" i="1"/>
  <c r="E152" i="1"/>
  <c r="E106" i="1"/>
  <c r="E132" i="1"/>
  <c r="E135" i="1" s="1"/>
  <c r="E97" i="1"/>
  <c r="L302" i="1" l="1"/>
  <c r="L283" i="1"/>
  <c r="L296" i="1"/>
  <c r="L160" i="1"/>
  <c r="I158" i="1"/>
  <c r="G158" i="1"/>
  <c r="K158" i="1"/>
  <c r="K156" i="1"/>
  <c r="I156" i="1"/>
  <c r="G156" i="1"/>
  <c r="K157" i="1"/>
  <c r="I157" i="1"/>
  <c r="G157" i="1"/>
  <c r="L155" i="1"/>
  <c r="L303" i="1"/>
  <c r="L291" i="1"/>
  <c r="L221" i="1"/>
  <c r="L260" i="1"/>
  <c r="L256" i="1"/>
  <c r="K135" i="1"/>
  <c r="E136" i="1"/>
  <c r="I135" i="1"/>
  <c r="E138" i="1"/>
  <c r="E137" i="1"/>
  <c r="G135" i="1"/>
  <c r="L263" i="1"/>
  <c r="L259" i="1"/>
  <c r="L279" i="1"/>
  <c r="G220" i="1"/>
  <c r="L284" i="1"/>
  <c r="G219" i="1"/>
  <c r="I220" i="1"/>
  <c r="K219" i="1"/>
  <c r="L280" i="1"/>
  <c r="I222" i="1"/>
  <c r="K222" i="1"/>
  <c r="L258" i="1"/>
  <c r="L305" i="1"/>
  <c r="L295" i="1"/>
  <c r="L281" i="1"/>
  <c r="L294" i="1"/>
  <c r="K218" i="1"/>
  <c r="I218" i="1"/>
  <c r="L306" i="1"/>
  <c r="L273" i="1"/>
  <c r="L293" i="1"/>
  <c r="L234" i="1"/>
  <c r="L215" i="1"/>
  <c r="L255" i="1"/>
  <c r="L171" i="1"/>
  <c r="L243" i="1"/>
  <c r="L197" i="1"/>
  <c r="G223" i="1"/>
  <c r="I223" i="1"/>
  <c r="L224" i="1"/>
  <c r="L226" i="1"/>
  <c r="L264" i="1"/>
  <c r="K272" i="1"/>
  <c r="K230" i="1"/>
  <c r="I230" i="1"/>
  <c r="L206" i="1"/>
  <c r="K231" i="1"/>
  <c r="L214" i="1"/>
  <c r="G272" i="1"/>
  <c r="L271" i="1"/>
  <c r="L236" i="1"/>
  <c r="L172" i="1"/>
  <c r="G270" i="1"/>
  <c r="I270" i="1"/>
  <c r="K270" i="1"/>
  <c r="G268" i="1"/>
  <c r="I268" i="1"/>
  <c r="K268" i="1"/>
  <c r="G267" i="1"/>
  <c r="I267" i="1"/>
  <c r="K267" i="1"/>
  <c r="I269" i="1"/>
  <c r="G269" i="1"/>
  <c r="K269" i="1"/>
  <c r="L146" i="1"/>
  <c r="L194" i="1"/>
  <c r="I232" i="1"/>
  <c r="G232" i="1"/>
  <c r="L247" i="1"/>
  <c r="L195" i="1"/>
  <c r="L198" i="1"/>
  <c r="L245" i="1"/>
  <c r="G233" i="1"/>
  <c r="L246" i="1"/>
  <c r="L227" i="1"/>
  <c r="I231" i="1"/>
  <c r="L170" i="1"/>
  <c r="L209" i="1"/>
  <c r="I235" i="1"/>
  <c r="I233" i="1"/>
  <c r="K235" i="1"/>
  <c r="L244" i="1"/>
  <c r="L248" i="1"/>
  <c r="L199" i="1"/>
  <c r="L196" i="1"/>
  <c r="E101" i="1"/>
  <c r="L211" i="1"/>
  <c r="E102" i="1"/>
  <c r="E103" i="1"/>
  <c r="L207" i="1"/>
  <c r="E104" i="1"/>
  <c r="L145" i="1"/>
  <c r="E105" i="1"/>
  <c r="L210" i="1"/>
  <c r="L208" i="1"/>
  <c r="E134" i="1"/>
  <c r="E133" i="1"/>
  <c r="L158" i="1" l="1"/>
  <c r="L157" i="1"/>
  <c r="L156" i="1"/>
  <c r="L223" i="1"/>
  <c r="L222" i="1"/>
  <c r="L219" i="1"/>
  <c r="K136" i="1"/>
  <c r="I136" i="1"/>
  <c r="G136" i="1"/>
  <c r="K137" i="1"/>
  <c r="I137" i="1"/>
  <c r="G137" i="1"/>
  <c r="G138" i="1"/>
  <c r="K138" i="1"/>
  <c r="I138" i="1"/>
  <c r="L220" i="1"/>
  <c r="L135" i="1"/>
  <c r="L218" i="1"/>
  <c r="L230" i="1"/>
  <c r="L267" i="1"/>
  <c r="L272" i="1"/>
  <c r="L235" i="1"/>
  <c r="L268" i="1"/>
  <c r="L231" i="1"/>
  <c r="L269" i="1"/>
  <c r="L270" i="1"/>
  <c r="L232" i="1"/>
  <c r="L233" i="1"/>
  <c r="L136" i="1" l="1"/>
  <c r="L138" i="1"/>
  <c r="L137" i="1"/>
  <c r="E68" i="1" l="1"/>
  <c r="K68" i="1" s="1"/>
  <c r="E67" i="1"/>
  <c r="I67" i="1" s="1"/>
  <c r="D79" i="1"/>
  <c r="D78" i="1"/>
  <c r="D75" i="1"/>
  <c r="D74" i="1"/>
  <c r="D71" i="1"/>
  <c r="D80" i="1" s="1"/>
  <c r="E80" i="1" s="1"/>
  <c r="E70" i="1"/>
  <c r="G67" i="1" l="1"/>
  <c r="E66" i="1"/>
  <c r="K66" i="1" s="1"/>
  <c r="E71" i="1"/>
  <c r="E77" i="1" s="1"/>
  <c r="K67" i="1"/>
  <c r="G68" i="1"/>
  <c r="I68" i="1"/>
  <c r="L67" i="1" l="1"/>
  <c r="L68" i="1"/>
  <c r="G66" i="1"/>
  <c r="I66" i="1"/>
  <c r="E75" i="1"/>
  <c r="G75" i="1" s="1"/>
  <c r="E79" i="1"/>
  <c r="G79" i="1" s="1"/>
  <c r="E74" i="1"/>
  <c r="G74" i="1" s="1"/>
  <c r="E76" i="1"/>
  <c r="K76" i="1" s="1"/>
  <c r="E78" i="1"/>
  <c r="K78" i="1" s="1"/>
  <c r="E55" i="1"/>
  <c r="I55" i="1" s="1"/>
  <c r="E54" i="1"/>
  <c r="K54" i="1" s="1"/>
  <c r="E43" i="1"/>
  <c r="K43" i="1" s="1"/>
  <c r="E42" i="1"/>
  <c r="I42" i="1" s="1"/>
  <c r="K63" i="1"/>
  <c r="E52" i="1"/>
  <c r="G52" i="1" s="1"/>
  <c r="D62" i="1"/>
  <c r="E62" i="1" s="1"/>
  <c r="G62" i="1" s="1"/>
  <c r="D61" i="1"/>
  <c r="D60" i="1"/>
  <c r="D57" i="1"/>
  <c r="D56" i="1"/>
  <c r="D53" i="1"/>
  <c r="E53" i="1" s="1"/>
  <c r="D46" i="1"/>
  <c r="D50" i="1"/>
  <c r="D49" i="1"/>
  <c r="D48" i="1"/>
  <c r="D45" i="1"/>
  <c r="D44" i="1"/>
  <c r="D41" i="1"/>
  <c r="E39" i="1"/>
  <c r="E40" i="1" s="1"/>
  <c r="E38" i="1"/>
  <c r="I38" i="1" s="1"/>
  <c r="E36" i="1"/>
  <c r="G36" i="1" s="1"/>
  <c r="D37" i="1"/>
  <c r="E37" i="1" s="1"/>
  <c r="G51" i="1"/>
  <c r="I51" i="1"/>
  <c r="K51" i="1"/>
  <c r="G69" i="1"/>
  <c r="I69" i="1"/>
  <c r="K69" i="1"/>
  <c r="G70" i="1"/>
  <c r="I70" i="1"/>
  <c r="K70" i="1"/>
  <c r="G71" i="1"/>
  <c r="I71" i="1"/>
  <c r="K71" i="1"/>
  <c r="G72" i="1"/>
  <c r="I72" i="1"/>
  <c r="K72" i="1"/>
  <c r="G73" i="1"/>
  <c r="I73" i="1"/>
  <c r="K73" i="1"/>
  <c r="G77" i="1"/>
  <c r="I77" i="1"/>
  <c r="K77" i="1"/>
  <c r="G80" i="1"/>
  <c r="I80" i="1"/>
  <c r="K80" i="1"/>
  <c r="G96" i="1"/>
  <c r="I96" i="1"/>
  <c r="K96" i="1"/>
  <c r="G97" i="1"/>
  <c r="I97" i="1"/>
  <c r="K97" i="1"/>
  <c r="G98" i="1"/>
  <c r="I98" i="1"/>
  <c r="K98" i="1"/>
  <c r="G99" i="1"/>
  <c r="I99" i="1"/>
  <c r="K99" i="1"/>
  <c r="G100" i="1"/>
  <c r="I100" i="1"/>
  <c r="K100" i="1"/>
  <c r="G101" i="1"/>
  <c r="I101" i="1"/>
  <c r="K101" i="1"/>
  <c r="G102" i="1"/>
  <c r="I102" i="1"/>
  <c r="K102" i="1"/>
  <c r="G103" i="1"/>
  <c r="I103" i="1"/>
  <c r="K103" i="1"/>
  <c r="G104" i="1"/>
  <c r="I104" i="1"/>
  <c r="K104" i="1"/>
  <c r="G105" i="1"/>
  <c r="I105" i="1"/>
  <c r="K105" i="1"/>
  <c r="G106" i="1"/>
  <c r="I106" i="1"/>
  <c r="K106" i="1"/>
  <c r="G107" i="1"/>
  <c r="I107" i="1"/>
  <c r="K107" i="1"/>
  <c r="G108" i="1"/>
  <c r="I108" i="1"/>
  <c r="K108" i="1"/>
  <c r="G109" i="1"/>
  <c r="I109" i="1"/>
  <c r="K109" i="1"/>
  <c r="G110" i="1"/>
  <c r="I110" i="1"/>
  <c r="K110" i="1"/>
  <c r="G111" i="1"/>
  <c r="I111" i="1"/>
  <c r="K111" i="1"/>
  <c r="G112" i="1"/>
  <c r="I112" i="1"/>
  <c r="K112" i="1"/>
  <c r="G113" i="1"/>
  <c r="I113" i="1"/>
  <c r="K113" i="1"/>
  <c r="G114" i="1"/>
  <c r="I114" i="1"/>
  <c r="K114" i="1"/>
  <c r="G115" i="1"/>
  <c r="I115" i="1"/>
  <c r="K115" i="1"/>
  <c r="G116" i="1"/>
  <c r="I116" i="1"/>
  <c r="K116" i="1"/>
  <c r="G117" i="1"/>
  <c r="I117" i="1"/>
  <c r="K117" i="1"/>
  <c r="G118" i="1"/>
  <c r="I118" i="1"/>
  <c r="K118" i="1"/>
  <c r="G119" i="1"/>
  <c r="I119" i="1"/>
  <c r="K119" i="1"/>
  <c r="G132" i="1"/>
  <c r="I132" i="1"/>
  <c r="K132" i="1"/>
  <c r="G133" i="1"/>
  <c r="I133" i="1"/>
  <c r="K133" i="1"/>
  <c r="G134" i="1"/>
  <c r="I134" i="1"/>
  <c r="K134" i="1"/>
  <c r="G151" i="1"/>
  <c r="I151" i="1"/>
  <c r="K151" i="1"/>
  <c r="G152" i="1"/>
  <c r="I152" i="1"/>
  <c r="K152" i="1"/>
  <c r="G153" i="1"/>
  <c r="I153" i="1"/>
  <c r="K153" i="1"/>
  <c r="G154" i="1"/>
  <c r="I154" i="1"/>
  <c r="K154" i="1"/>
  <c r="G161" i="1"/>
  <c r="I161" i="1"/>
  <c r="K161" i="1"/>
  <c r="G162" i="1"/>
  <c r="I162" i="1"/>
  <c r="K162" i="1"/>
  <c r="G163" i="1"/>
  <c r="I163" i="1"/>
  <c r="K163" i="1"/>
  <c r="G164" i="1"/>
  <c r="I164" i="1"/>
  <c r="K164" i="1"/>
  <c r="G165" i="1"/>
  <c r="I165" i="1"/>
  <c r="K165" i="1"/>
  <c r="G166" i="1"/>
  <c r="I166" i="1"/>
  <c r="K166" i="1"/>
  <c r="G167" i="1"/>
  <c r="I167" i="1"/>
  <c r="K167" i="1"/>
  <c r="G168" i="1"/>
  <c r="I168" i="1"/>
  <c r="K168" i="1"/>
  <c r="G169" i="1"/>
  <c r="I169" i="1"/>
  <c r="K169" i="1"/>
  <c r="I31" i="1"/>
  <c r="D27" i="1"/>
  <c r="E24" i="1"/>
  <c r="K24" i="1" s="1"/>
  <c r="A17" i="1"/>
  <c r="A18" i="1" s="1"/>
  <c r="D15" i="1"/>
  <c r="E13" i="1"/>
  <c r="I13" i="1" s="1"/>
  <c r="K35" i="1"/>
  <c r="I35" i="1"/>
  <c r="G35" i="1"/>
  <c r="K30" i="1"/>
  <c r="I30" i="1"/>
  <c r="G30" i="1"/>
  <c r="K29" i="1"/>
  <c r="I29" i="1"/>
  <c r="G29" i="1"/>
  <c r="K28" i="1"/>
  <c r="I28" i="1"/>
  <c r="G28" i="1"/>
  <c r="K23" i="1"/>
  <c r="I23" i="1"/>
  <c r="G23" i="1"/>
  <c r="K22" i="1"/>
  <c r="I22" i="1"/>
  <c r="G22" i="1"/>
  <c r="K21" i="1"/>
  <c r="I21" i="1"/>
  <c r="G21" i="1"/>
  <c r="K20" i="1"/>
  <c r="I20" i="1"/>
  <c r="G20" i="1"/>
  <c r="K18" i="1"/>
  <c r="I18" i="1"/>
  <c r="G18" i="1"/>
  <c r="K17" i="1"/>
  <c r="I17" i="1"/>
  <c r="G17" i="1"/>
  <c r="G63" i="1" l="1"/>
  <c r="L66" i="1"/>
  <c r="I76" i="1"/>
  <c r="G76" i="1"/>
  <c r="K74" i="1"/>
  <c r="I74" i="1"/>
  <c r="I79" i="1"/>
  <c r="K79" i="1"/>
  <c r="A19" i="1"/>
  <c r="A20" i="1" s="1"/>
  <c r="A21" i="1" s="1"/>
  <c r="A22" i="1" s="1"/>
  <c r="A24" i="1" s="1"/>
  <c r="A25" i="1" s="1"/>
  <c r="A28" i="1" s="1"/>
  <c r="A31" i="1" s="1"/>
  <c r="A35" i="1" s="1"/>
  <c r="A39" i="1" s="1"/>
  <c r="A51" i="1" s="1"/>
  <c r="A63" i="1" s="1"/>
  <c r="A66" i="1" s="1"/>
  <c r="A69" i="1" s="1"/>
  <c r="I75" i="1"/>
  <c r="I78" i="1"/>
  <c r="G78" i="1"/>
  <c r="K75" i="1"/>
  <c r="G54" i="1"/>
  <c r="L161" i="1"/>
  <c r="E15" i="1"/>
  <c r="K15" i="1" s="1"/>
  <c r="L51" i="1"/>
  <c r="E34" i="1"/>
  <c r="K34" i="1" s="1"/>
  <c r="I139" i="1"/>
  <c r="K55" i="1"/>
  <c r="I24" i="1"/>
  <c r="I54" i="1"/>
  <c r="K39" i="1"/>
  <c r="K139" i="1"/>
  <c r="L165" i="1"/>
  <c r="L105" i="1"/>
  <c r="L164" i="1"/>
  <c r="G139" i="1"/>
  <c r="E16" i="1"/>
  <c r="K16" i="1" s="1"/>
  <c r="L167" i="1"/>
  <c r="E50" i="1"/>
  <c r="I50" i="1" s="1"/>
  <c r="L132" i="1"/>
  <c r="E142" i="1"/>
  <c r="E143" i="1"/>
  <c r="E140" i="1"/>
  <c r="E141" i="1"/>
  <c r="E12" i="1"/>
  <c r="I12" i="1" s="1"/>
  <c r="G31" i="1"/>
  <c r="E32" i="1"/>
  <c r="G25" i="1"/>
  <c r="E33" i="1"/>
  <c r="I33" i="1" s="1"/>
  <c r="L104" i="1"/>
  <c r="L154" i="1"/>
  <c r="L151" i="1"/>
  <c r="L134" i="1"/>
  <c r="L118" i="1"/>
  <c r="L117" i="1"/>
  <c r="L115" i="1"/>
  <c r="L114" i="1"/>
  <c r="L108" i="1"/>
  <c r="L97" i="1"/>
  <c r="L96" i="1"/>
  <c r="G43" i="1"/>
  <c r="I43" i="1"/>
  <c r="L152" i="1"/>
  <c r="L111" i="1"/>
  <c r="L163" i="1"/>
  <c r="L99" i="1"/>
  <c r="G24" i="1"/>
  <c r="K31" i="1"/>
  <c r="E14" i="1"/>
  <c r="K14" i="1" s="1"/>
  <c r="L100" i="1"/>
  <c r="L102" i="1"/>
  <c r="G37" i="1"/>
  <c r="K37" i="1"/>
  <c r="I37" i="1"/>
  <c r="E59" i="1"/>
  <c r="E58" i="1"/>
  <c r="K53" i="1"/>
  <c r="G53" i="1"/>
  <c r="I53" i="1"/>
  <c r="E60" i="1"/>
  <c r="E61" i="1"/>
  <c r="K61" i="1" s="1"/>
  <c r="E56" i="1"/>
  <c r="K40" i="1"/>
  <c r="I40" i="1"/>
  <c r="E41" i="1"/>
  <c r="E44" i="1" s="1"/>
  <c r="G44" i="1" s="1"/>
  <c r="E57" i="1"/>
  <c r="L103" i="1"/>
  <c r="L69" i="1"/>
  <c r="L35" i="1"/>
  <c r="L169" i="1"/>
  <c r="L110" i="1"/>
  <c r="L106" i="1"/>
  <c r="L77" i="1"/>
  <c r="L133" i="1"/>
  <c r="L113" i="1"/>
  <c r="L109" i="1"/>
  <c r="L80" i="1"/>
  <c r="K62" i="1"/>
  <c r="L70" i="1"/>
  <c r="L23" i="1"/>
  <c r="I62" i="1"/>
  <c r="L153" i="1"/>
  <c r="L116" i="1"/>
  <c r="L112" i="1"/>
  <c r="L98" i="1"/>
  <c r="E64" i="1"/>
  <c r="I64" i="1" s="1"/>
  <c r="L166" i="1"/>
  <c r="I10" i="1"/>
  <c r="K10" i="1"/>
  <c r="E11" i="1"/>
  <c r="E65" i="1"/>
  <c r="K65" i="1" s="1"/>
  <c r="L162" i="1"/>
  <c r="L107" i="1"/>
  <c r="L168" i="1"/>
  <c r="G10" i="1"/>
  <c r="L119" i="1"/>
  <c r="L101" i="1"/>
  <c r="L18" i="1"/>
  <c r="L72" i="1"/>
  <c r="L73" i="1"/>
  <c r="L71" i="1"/>
  <c r="G55" i="1"/>
  <c r="K42" i="1"/>
  <c r="G42" i="1"/>
  <c r="I63" i="1"/>
  <c r="K52" i="1"/>
  <c r="I52" i="1"/>
  <c r="G40" i="1"/>
  <c r="G39" i="1"/>
  <c r="I39" i="1"/>
  <c r="G38" i="1"/>
  <c r="K38" i="1"/>
  <c r="I36" i="1"/>
  <c r="K36" i="1"/>
  <c r="L30" i="1"/>
  <c r="L29" i="1"/>
  <c r="K25" i="1"/>
  <c r="E26" i="1"/>
  <c r="E27" i="1"/>
  <c r="L28" i="1"/>
  <c r="I25" i="1"/>
  <c r="L17" i="1"/>
  <c r="L22" i="1"/>
  <c r="L21" i="1"/>
  <c r="L20" i="1"/>
  <c r="G13" i="1"/>
  <c r="K13" i="1"/>
  <c r="L63" i="1" l="1"/>
  <c r="K27" i="1"/>
  <c r="K26" i="1"/>
  <c r="L75" i="1"/>
  <c r="L78" i="1"/>
  <c r="L76" i="1"/>
  <c r="L79" i="1"/>
  <c r="L74" i="1"/>
  <c r="L36" i="1"/>
  <c r="L54" i="1"/>
  <c r="A96" i="1"/>
  <c r="A108" i="1" s="1"/>
  <c r="A81" i="1"/>
  <c r="G34" i="1"/>
  <c r="G15" i="1"/>
  <c r="I15" i="1"/>
  <c r="I34" i="1"/>
  <c r="L55" i="1"/>
  <c r="G12" i="1"/>
  <c r="K12" i="1"/>
  <c r="L13" i="1"/>
  <c r="L43" i="1"/>
  <c r="K50" i="1"/>
  <c r="L24" i="1"/>
  <c r="L10" i="1"/>
  <c r="L37" i="1"/>
  <c r="G61" i="1"/>
  <c r="K33" i="1"/>
  <c r="G33" i="1"/>
  <c r="G50" i="1"/>
  <c r="G141" i="1"/>
  <c r="I141" i="1"/>
  <c r="K141" i="1"/>
  <c r="G140" i="1"/>
  <c r="I140" i="1"/>
  <c r="K140" i="1"/>
  <c r="I16" i="1"/>
  <c r="I61" i="1"/>
  <c r="I143" i="1"/>
  <c r="K143" i="1"/>
  <c r="G143" i="1"/>
  <c r="G32" i="1"/>
  <c r="K32" i="1"/>
  <c r="I32" i="1"/>
  <c r="G16" i="1"/>
  <c r="E148" i="1"/>
  <c r="E150" i="1"/>
  <c r="E149" i="1"/>
  <c r="G147" i="1"/>
  <c r="I147" i="1"/>
  <c r="K147" i="1"/>
  <c r="L62" i="1"/>
  <c r="L38" i="1"/>
  <c r="L31" i="1"/>
  <c r="G142" i="1"/>
  <c r="K142" i="1"/>
  <c r="I142" i="1"/>
  <c r="L139" i="1"/>
  <c r="L40" i="1"/>
  <c r="G14" i="1"/>
  <c r="I14" i="1"/>
  <c r="L52" i="1"/>
  <c r="K41" i="1"/>
  <c r="I41" i="1"/>
  <c r="E49" i="1"/>
  <c r="E48" i="1"/>
  <c r="G41" i="1"/>
  <c r="E47" i="1"/>
  <c r="E46" i="1"/>
  <c r="E45" i="1"/>
  <c r="G59" i="1"/>
  <c r="I59" i="1"/>
  <c r="K59" i="1"/>
  <c r="G57" i="1"/>
  <c r="I57" i="1"/>
  <c r="K57" i="1"/>
  <c r="L53" i="1"/>
  <c r="G58" i="1"/>
  <c r="I58" i="1"/>
  <c r="K58" i="1"/>
  <c r="K44" i="1"/>
  <c r="I44" i="1"/>
  <c r="G64" i="1"/>
  <c r="K64" i="1"/>
  <c r="I65" i="1"/>
  <c r="G65" i="1"/>
  <c r="I11" i="1"/>
  <c r="G11" i="1"/>
  <c r="K11" i="1"/>
  <c r="G56" i="1"/>
  <c r="I56" i="1"/>
  <c r="K56" i="1"/>
  <c r="L42" i="1"/>
  <c r="G60" i="1"/>
  <c r="I60" i="1"/>
  <c r="K60" i="1"/>
  <c r="L39" i="1"/>
  <c r="L25" i="1"/>
  <c r="I26" i="1"/>
  <c r="I27" i="1"/>
  <c r="G27" i="1"/>
  <c r="G26" i="1"/>
  <c r="L61" i="1" l="1"/>
  <c r="A120" i="1"/>
  <c r="A132" i="1" s="1"/>
  <c r="A135" i="1" s="1"/>
  <c r="A139" i="1" s="1"/>
  <c r="A144" i="1" s="1"/>
  <c r="A147" i="1" s="1"/>
  <c r="A151" i="1" s="1"/>
  <c r="L15" i="1"/>
  <c r="L12" i="1"/>
  <c r="L141" i="1"/>
  <c r="L50" i="1"/>
  <c r="L11" i="1"/>
  <c r="L34" i="1"/>
  <c r="L140" i="1"/>
  <c r="L64" i="1"/>
  <c r="L14" i="1"/>
  <c r="L16" i="1"/>
  <c r="L27" i="1"/>
  <c r="L143" i="1"/>
  <c r="L33" i="1"/>
  <c r="L142" i="1"/>
  <c r="G149" i="1"/>
  <c r="K149" i="1"/>
  <c r="I149" i="1"/>
  <c r="G148" i="1"/>
  <c r="I148" i="1"/>
  <c r="K148" i="1"/>
  <c r="L32" i="1"/>
  <c r="G150" i="1"/>
  <c r="K150" i="1"/>
  <c r="I150" i="1"/>
  <c r="L59" i="1"/>
  <c r="L147" i="1"/>
  <c r="L41" i="1"/>
  <c r="L56" i="1"/>
  <c r="L44" i="1"/>
  <c r="L58" i="1"/>
  <c r="K46" i="1"/>
  <c r="G46" i="1"/>
  <c r="I46" i="1"/>
  <c r="I48" i="1"/>
  <c r="K48" i="1"/>
  <c r="G48" i="1"/>
  <c r="G45" i="1"/>
  <c r="K45" i="1"/>
  <c r="I45" i="1"/>
  <c r="G47" i="1"/>
  <c r="I47" i="1"/>
  <c r="K47" i="1"/>
  <c r="I49" i="1"/>
  <c r="G49" i="1"/>
  <c r="K49" i="1"/>
  <c r="L57" i="1"/>
  <c r="L60" i="1"/>
  <c r="L65" i="1"/>
  <c r="L26" i="1"/>
  <c r="K689" i="1" l="1"/>
  <c r="I689" i="1"/>
  <c r="G689" i="1"/>
  <c r="L690" i="1" s="1"/>
  <c r="A155" i="1"/>
  <c r="A159" i="1" s="1"/>
  <c r="A162" i="1" s="1"/>
  <c r="L47" i="1"/>
  <c r="L148" i="1"/>
  <c r="L150" i="1"/>
  <c r="L149" i="1"/>
  <c r="L46" i="1"/>
  <c r="L45" i="1"/>
  <c r="L48" i="1"/>
  <c r="L49" i="1"/>
  <c r="L691" i="1" l="1"/>
  <c r="L692" i="1" s="1"/>
  <c r="L693" i="1" s="1"/>
  <c r="L694" i="1" s="1"/>
  <c r="L695" i="1" s="1"/>
  <c r="L696" i="1" s="1"/>
  <c r="L697" i="1" s="1"/>
  <c r="L698" i="1" s="1"/>
  <c r="L699" i="1" s="1"/>
  <c r="L700" i="1" s="1"/>
  <c r="L701" i="1" s="1"/>
  <c r="D8" i="14" s="1"/>
  <c r="D21" i="14" s="1"/>
  <c r="A174" i="1"/>
  <c r="A186" i="1" s="1"/>
  <c r="A189" i="1" s="1"/>
  <c r="A201" i="1" s="1"/>
  <c r="A213" i="1" s="1"/>
  <c r="A225" i="1" s="1"/>
  <c r="A237" i="1" s="1"/>
  <c r="A250" i="1" s="1"/>
  <c r="A262" i="1" s="1"/>
  <c r="A274" i="1" s="1"/>
  <c r="A286" i="1" s="1"/>
  <c r="A297" i="1" s="1"/>
  <c r="A309" i="1" s="1"/>
  <c r="A314" i="1" s="1"/>
  <c r="A326" i="1" s="1"/>
  <c r="A338" i="1" s="1"/>
  <c r="A350" i="1" s="1"/>
  <c r="A354" i="1" s="1"/>
  <c r="A367" i="1" s="1"/>
  <c r="A374" i="1" s="1"/>
  <c r="A383" i="1" s="1"/>
  <c r="A389" i="1" s="1"/>
  <c r="A395" i="1" s="1"/>
  <c r="A400" i="1" s="1"/>
  <c r="A404" i="1" s="1"/>
  <c r="A409" i="1" s="1"/>
  <c r="A417" i="1" l="1"/>
  <c r="A421" i="1" s="1"/>
  <c r="A432" i="1" s="1"/>
  <c r="A437" i="1" s="1"/>
  <c r="A440" i="1" s="1"/>
  <c r="A443" i="1" s="1"/>
  <c r="A448" i="1" s="1"/>
  <c r="A453" i="1" s="1"/>
  <c r="A457" i="1" s="1"/>
  <c r="A461" i="1" s="1"/>
  <c r="A467" i="1" s="1"/>
  <c r="A471" i="1" s="1"/>
  <c r="A479" i="1" s="1"/>
  <c r="A486" i="1" s="1"/>
  <c r="A493" i="1" s="1"/>
  <c r="A496" i="1" s="1"/>
  <c r="A500" i="1" l="1"/>
  <c r="A503" i="1"/>
  <c r="A507" i="1" s="1"/>
  <c r="A510" i="1" s="1"/>
  <c r="A515" i="1" s="1"/>
  <c r="A520" i="1" s="1"/>
  <c r="A525" i="1" s="1"/>
  <c r="A529" i="1" s="1"/>
  <c r="A535" i="1" s="1"/>
  <c r="A547" i="1" s="1"/>
  <c r="A559" i="1" s="1"/>
  <c r="A564" i="1" s="1"/>
  <c r="A569" i="1" s="1"/>
  <c r="A573" i="1" s="1"/>
  <c r="A577" i="1" s="1"/>
  <c r="A581" i="1" s="1"/>
  <c r="A586" i="1" s="1"/>
  <c r="A593" i="1" s="1"/>
  <c r="A598" i="1" s="1"/>
  <c r="A611" i="1" s="1"/>
  <c r="A624" i="1" s="1"/>
  <c r="A631" i="1" s="1"/>
  <c r="A632" i="1" s="1"/>
  <c r="A633" i="1" s="1"/>
  <c r="A638" i="1" s="1"/>
  <c r="A642" i="1" s="1"/>
  <c r="A647" i="1" s="1"/>
  <c r="A648" i="1" l="1"/>
  <c r="A673" i="1" l="1"/>
  <c r="A674" i="1" s="1"/>
  <c r="A675" i="1" s="1"/>
  <c r="A676" i="1" s="1"/>
  <c r="A677" i="1" s="1"/>
  <c r="A684" i="1" s="1"/>
  <c r="A685" i="1" s="1"/>
  <c r="A686" i="1" s="1"/>
  <c r="A687" i="1" s="1"/>
  <c r="A688" i="1" s="1"/>
  <c r="A649" i="1"/>
</calcChain>
</file>

<file path=xl/sharedStrings.xml><?xml version="1.0" encoding="utf-8"?>
<sst xmlns="http://schemas.openxmlformats.org/spreadsheetml/2006/main" count="5110" uniqueCount="1092">
  <si>
    <t>N</t>
  </si>
  <si>
    <t>სამუშაოების დასახელება</t>
  </si>
  <si>
    <t>განზ.</t>
  </si>
  <si>
    <t>რაო-ბა</t>
  </si>
  <si>
    <t>მასალა</t>
  </si>
  <si>
    <t>ხელფასი</t>
  </si>
  <si>
    <t>მანქანა-მექანიზმი</t>
  </si>
  <si>
    <t>ჯამი</t>
  </si>
  <si>
    <t>ერთ. ფასი</t>
  </si>
  <si>
    <t>ნორმ.
რაო-ბა</t>
  </si>
  <si>
    <t>მოსამზადებელი სამუშაოები</t>
  </si>
  <si>
    <t>დროებითი ღობის მოწყობა, სამშენებლო მოედნის პერიმეტრზე</t>
  </si>
  <si>
    <t>გრძ.მ</t>
  </si>
  <si>
    <t>შრომითი დანახარჯი</t>
  </si>
  <si>
    <t>მილკვადრატი 40*20*3 მმ (3 მწკრივი)</t>
  </si>
  <si>
    <t>OSB ფილა 9 მმ</t>
  </si>
  <si>
    <t>მ²</t>
  </si>
  <si>
    <t>ბეტონი ბ-15</t>
  </si>
  <si>
    <t>მ³</t>
  </si>
  <si>
    <t>დამხმარე მასალა</t>
  </si>
  <si>
    <t>დროებითი საოფისე კონტეინერის მოწყობა</t>
  </si>
  <si>
    <t>დროებითი სასაწყობე კონტეინერის მოწყობა</t>
  </si>
  <si>
    <t>დროებითი ელექტროობის მოწყობა</t>
  </si>
  <si>
    <t>დროებითი წყალმომარგების მოწყობა</t>
  </si>
  <si>
    <t>თვე</t>
  </si>
  <si>
    <t>ლ</t>
  </si>
  <si>
    <t>სამშენებლო სამუშაოები</t>
  </si>
  <si>
    <t>ჰუმუსის მოჭრა და გატანა სამშენებლო მოედნიდან</t>
  </si>
  <si>
    <t>გრუნტის მოჭრა და დასაწყობება ადგილზე, შემდგომში უკუჩასაყრელად</t>
  </si>
  <si>
    <t>ექსკავატორი 22 ტ</t>
  </si>
  <si>
    <t>მან/დღე</t>
  </si>
  <si>
    <t>თვითმცლელი 2 ერთეული</t>
  </si>
  <si>
    <t>უკუდამტვირთველი</t>
  </si>
  <si>
    <t>ვიბროსატკეპნი</t>
  </si>
  <si>
    <t>ბალასტის ფენის შეტანა და დატკეპნა საძირკვლების ქვეშ 80 სმ სისქის</t>
  </si>
  <si>
    <t>ბეტონის მომზადების მოწყობა საძირკვლების ქვეშ</t>
  </si>
  <si>
    <t>ბეტონი ბ-20 (გადატუმბვადი)</t>
  </si>
  <si>
    <t>ბეტონი ბ-25</t>
  </si>
  <si>
    <t>ტ</t>
  </si>
  <si>
    <t>არმატურა B500c</t>
  </si>
  <si>
    <t>არმატურა B240c</t>
  </si>
  <si>
    <t>საყალიბე მასალა</t>
  </si>
  <si>
    <t>ხის მასალა</t>
  </si>
  <si>
    <t>ლურსმანი</t>
  </si>
  <si>
    <t>საქსოვი მავთული</t>
  </si>
  <si>
    <t>დამხმარე მანქანა</t>
  </si>
  <si>
    <t>პომპის მომსახურება</t>
  </si>
  <si>
    <t>კგ</t>
  </si>
  <si>
    <t>რკინა-ბეტონის საძირკვლის ფილების მოწყობა -3.60 ნიშნულზე</t>
  </si>
  <si>
    <t>რკინა-ბეტონის ლენტური საძირკვლის მოწყობა -3.60 ნიშნულზე</t>
  </si>
  <si>
    <t>საძირკვლის ძირის და გვერდების იზოლაცია წასასმელი საიზოლაციო ხსნარით</t>
  </si>
  <si>
    <t>წასასმელი საიზოლაციო ხსნარი</t>
  </si>
  <si>
    <t>რკინა-ბეტონის პილონების მოწყობა -0.30 ნიშნულამდე</t>
  </si>
  <si>
    <t>არმატურის ნაშვერები</t>
  </si>
  <si>
    <t>მოჭრილი ქვაბულის მოსწორება და დატკეპნა</t>
  </si>
  <si>
    <t>რკინა-ბეტონის კედლების მოწყობა -0.30 ნიშნულამდე</t>
  </si>
  <si>
    <t>რკინა-ბეტონის კედლების და პერიმეტრის კოჭების იზოლაცია წასასმელი საიზოლაციო ხსნარით</t>
  </si>
  <si>
    <t>არსებული გრუნტის უკუჩაყრა და დატკეპნა</t>
  </si>
  <si>
    <t>ბალასტის ფენის შეტანა და დატკეპნა -0.30 ნიშნულის ფილისთვის</t>
  </si>
  <si>
    <t>ბალასტი</t>
  </si>
  <si>
    <t>ღორღის მომასწორებელი ფენის მოწყობა -0.30 ნიშნულის ფილის ქვეშ</t>
  </si>
  <si>
    <t>გეოტექსტილის ფენის მოწყობა</t>
  </si>
  <si>
    <t>ტექსტილი 300 გრ/მ²</t>
  </si>
  <si>
    <t>ღორღი 10-20</t>
  </si>
  <si>
    <t>ცელოფნის ფენის მოწყობა -0.30 ნიშნულის ფილის ქვეშ</t>
  </si>
  <si>
    <t>ცელოფანი</t>
  </si>
  <si>
    <t>რკინა-ბეტონის გადახურვის ფილის მოწყობა +6.48 ნიშნულზე</t>
  </si>
  <si>
    <t>რკინა-ბეტონის გადახურვის ფილის მოწყობა +4.43 ნიშნულზე</t>
  </si>
  <si>
    <t>რკინა-ბეტონის გადახურვის ფილის მოწყობა +9.38 ნიშნულზე</t>
  </si>
  <si>
    <t>რკინა-ბეტონის გადახურვის ფილის მოწყობა +4.43 ნიშნულზე, ლითონის კარკასზე</t>
  </si>
  <si>
    <t>კუთხოვანა 70*5 მმ</t>
  </si>
  <si>
    <t>რკინა-ბეტონის სვეტების მოწყობა</t>
  </si>
  <si>
    <t>ც</t>
  </si>
  <si>
    <t>რკინა-ბეტონის რიგელების მოწყობა</t>
  </si>
  <si>
    <t>რკინა-ბეტონის გადახურვის ფილის მოწყობა -0.30 ნიშნულზე</t>
  </si>
  <si>
    <t>ერთმაგ არმირებული ბალასტზე დადებული ბეტონის ფილის მოწყობა -0.30 ნიშნულზე 18 სმ სისქის</t>
  </si>
  <si>
    <t>ლითონის ჩასატანებელი დეტალების მოწყობა</t>
  </si>
  <si>
    <t>ხრახნიანი ღერო M56 (L=1.225 მ)</t>
  </si>
  <si>
    <t>ლითონის კუთხოვანა 50*5 მმ</t>
  </si>
  <si>
    <t>ლითონის კუთხოვანა 36*4 მმ</t>
  </si>
  <si>
    <t>ლითონის ფურცლოვანა 25 მმ</t>
  </si>
  <si>
    <t>ხრახნიანი ღერო M42 (L=0.950 მ)</t>
  </si>
  <si>
    <t>ხრახნიანი ღერო M42 (L=0.800 მ)</t>
  </si>
  <si>
    <t>ხრახნიანი ღერო M24 (L=0.800 მ)</t>
  </si>
  <si>
    <t>ლითონის ფურცლოვანა 20 მმ</t>
  </si>
  <si>
    <t>ლითონის ფურცლოვანა 10 მმ</t>
  </si>
  <si>
    <t>ლითონის ფურცლოვანა 8 მმ</t>
  </si>
  <si>
    <t>ლითონის ფურცლოვანა 6 მმ</t>
  </si>
  <si>
    <t>ქანჩი და ჭანჭიკი</t>
  </si>
  <si>
    <t>რკინა-ბეტონის შიდა კიბეების მოწყობა</t>
  </si>
  <si>
    <t>რკინა-ბეტონის საძირკვლების მოწყობა დოკ-ლეველერისთვის</t>
  </si>
  <si>
    <t>რკინა-ბეტონის კედლების მოწყობა დოკ-ლეველერისთვის</t>
  </si>
  <si>
    <t>ლთონის ჩასატანებელი დეტალებების მოწყობა დოკ-ლეველერისთვის</t>
  </si>
  <si>
    <t>კუთხოვანა 70*7 მმ</t>
  </si>
  <si>
    <t>გარე კიბეებისთვის, რკინა-ბეტონის კედლის საძირკვლის მოწყობა</t>
  </si>
  <si>
    <t>გარე კიბეებისთვის რკინა-ბეტონის კედლების მოწყობა</t>
  </si>
  <si>
    <t>რკინა-ბეტონის კედლის მოწყობა პანდუსისთვის</t>
  </si>
  <si>
    <t>ბალასტის შეტანა და ჩაყრა, კიბეების და პანდუსებისთვის</t>
  </si>
  <si>
    <t>რკინა-ბეტონის პანდუსების და კიბეების მოწყობა</t>
  </si>
  <si>
    <t>ლითონ-კონსტრუქცია</t>
  </si>
  <si>
    <t>ლითონ-კონსტრქუციების დაჭრა-შედუღება მონტაჟი</t>
  </si>
  <si>
    <t xml:space="preserve">ლითონ-კონსტრუქციები </t>
  </si>
  <si>
    <t>ელექტროდი</t>
  </si>
  <si>
    <t>საჭრელი ქვა</t>
  </si>
  <si>
    <t>ამწე კრანის მომსახურება</t>
  </si>
  <si>
    <t>ამწე კალათის მომსახურება</t>
  </si>
  <si>
    <t>ლითონ-კონსტრუქციების დამუშავება და შეღებვა ანტიკოროზიული საღებავით</t>
  </si>
  <si>
    <t>საღებავი</t>
  </si>
  <si>
    <t>გრუნტი</t>
  </si>
  <si>
    <t>დილიტაციური ჭრილების მოწყობა ბალასტზე მოწყობილ ფილაზე</t>
  </si>
  <si>
    <t>სილიკონი</t>
  </si>
  <si>
    <t>ფასადის კედლების მოწყობა 10 სმ სენდვიჩ-პანელით</t>
  </si>
  <si>
    <t>გადახურვის მოწყობა 10 სმ სენდვიჩ-პანელებით</t>
  </si>
  <si>
    <t xml:space="preserve">სენდვიჩ-პანელი კედლის 10 სმ სისქის (პოლიურეთანი 0.45 მმ თუნუქით) </t>
  </si>
  <si>
    <t xml:space="preserve">სენდვიჩ-პანელი სახურავის 10 სმ სისქის (პოლიურეთანი 0.45 მმ თუნუქით) </t>
  </si>
  <si>
    <t>თუნუქის აქსესუარები</t>
  </si>
  <si>
    <t>ფასადი</t>
  </si>
  <si>
    <t>პემზის ბლოკი 30 სმ</t>
  </si>
  <si>
    <t>ქვიშა-ცემენტის ხსნარი</t>
  </si>
  <si>
    <t>პარაპეტის ბლოკის წყობა 30 სმ პემზის ბლოკით</t>
  </si>
  <si>
    <t>სამაგრი</t>
  </si>
  <si>
    <t>წებო-ცემენტი</t>
  </si>
  <si>
    <t>ქარდამცავი მემბრანის მოწყობა</t>
  </si>
  <si>
    <t>ორთქლსაიზოლაიო მემბრანის მოწყობა</t>
  </si>
  <si>
    <t>ორთქლსაიზოლაციო მემბრანა</t>
  </si>
  <si>
    <t>ქარდამცავი მემბრანა</t>
  </si>
  <si>
    <t>HPL პანელების მოწყობა</t>
  </si>
  <si>
    <t>HPL პანელი 6 მმ (ხის ფაქტურით)</t>
  </si>
  <si>
    <t>ალუმინის ქვეკოსნტრუქცია</t>
  </si>
  <si>
    <t>რკინა-ბეტონის სარტყელის მოწყობა პარაპეტზე</t>
  </si>
  <si>
    <t>გადახურვა</t>
  </si>
  <si>
    <t>დათბუნების მოწყობა, რკინა-ბეტონის გადახურვაზე +6.48  და +9.38 ნიშნულებზე</t>
  </si>
  <si>
    <t>HPL პანელის ჩახურვები შენობის ძირში</t>
  </si>
  <si>
    <t>XPS-ის ფილა 15 სმ</t>
  </si>
  <si>
    <t>გადახურვის ფილების იზოლაცია ლინოკრომით</t>
  </si>
  <si>
    <t>ლინოკრომი I ფენა</t>
  </si>
  <si>
    <t>ლინოკრომი II ფენა</t>
  </si>
  <si>
    <t>პრაიმერი</t>
  </si>
  <si>
    <t>გაზი</t>
  </si>
  <si>
    <t>პარაპეტის მოპირკეთება თუნუქის ფურცლით</t>
  </si>
  <si>
    <t>თუნუქის ფურცელი</t>
  </si>
  <si>
    <t>თუნუქის წყალსაწრეტი მილების მოწყობა</t>
  </si>
  <si>
    <t>თუნუქის წყალმიმღები ღარი</t>
  </si>
  <si>
    <t>თუნუქის დამშვები მილი</t>
  </si>
  <si>
    <t>თუნუქის ძაბრი</t>
  </si>
  <si>
    <t>თუნუქის მუხლი</t>
  </si>
  <si>
    <t>თუნუქი</t>
  </si>
  <si>
    <t>თუნუქი 0.45 მმ სისქის</t>
  </si>
  <si>
    <t>მილკვადრატი 80*60*3</t>
  </si>
  <si>
    <t>არქიტექტურული ნაწილი (გარე მხარე)</t>
  </si>
  <si>
    <t>არქიტექტურული ნაწილი (შიდა კეთილმოწყობა)</t>
  </si>
  <si>
    <t>იატაკები</t>
  </si>
  <si>
    <t>იატაკის დათბუნება 15 სმ XPS-ის ფილით -0.30 ნიშნულზე</t>
  </si>
  <si>
    <t>იატაკებზე ქვიშა-ცემენტის მჭიმის მოწყობა 15 სმ სისქის (0.00, -3.60, +4.48 ნიშნულებზე)</t>
  </si>
  <si>
    <t>იატაკებზე კერამოგრანიტის ფილების მოწყობა</t>
  </si>
  <si>
    <t>კერამოგრანიტის ფილა</t>
  </si>
  <si>
    <t>პლინტუსების მოწყობა კერამიკული ფილით</t>
  </si>
  <si>
    <t>იატაკებზე ლამინირებული პარკეტის მოწყობა (საოფისე ნაწილში)</t>
  </si>
  <si>
    <t>ლამინირებული პარკეტი</t>
  </si>
  <si>
    <t>ლამინატის ქვეშსაგები</t>
  </si>
  <si>
    <t>MDF-ის პლინტუსების მოწყობა</t>
  </si>
  <si>
    <t>MDF-ის პლინტუსი 8 სმ სიმაღლის</t>
  </si>
  <si>
    <t>სან. კვანძებში და საშხაპეებში, იატაკებზე იაზოლაციის მოწყობა</t>
  </si>
  <si>
    <t>კედლები</t>
  </si>
  <si>
    <t>ტიხრების მოწყობა თეთრი თაბაშირ-მუყაოს ორმაგი ფილებით</t>
  </si>
  <si>
    <t>თაბაშირ-მუყაოს ფილა თეთრი</t>
  </si>
  <si>
    <t>UW პროფილი</t>
  </si>
  <si>
    <t>CW პროფილი</t>
  </si>
  <si>
    <t xml:space="preserve">შურუპი </t>
  </si>
  <si>
    <t>ფითხი (fugenfuller)</t>
  </si>
  <si>
    <t>არმირების ლენტი</t>
  </si>
  <si>
    <t>გამჭედი დუბელი K6/35</t>
  </si>
  <si>
    <t>საიზოლაციო ლენტი</t>
  </si>
  <si>
    <t>გრუნტი (tiefengrund)</t>
  </si>
  <si>
    <t>ქვაბამბა 75 მმ</t>
  </si>
  <si>
    <t>თაბაშირ-მუყაოს ფილა მწვანე</t>
  </si>
  <si>
    <t>შშმ პირების ლიფტის შახტის მოწყობა ბლოკით</t>
  </si>
  <si>
    <t>ბეტონის ბლოკი 10 სმ სისქის</t>
  </si>
  <si>
    <t>კიბის უჯრედთან ბლოკის ტიხრის მოწყობა</t>
  </si>
  <si>
    <t>ბეტონის ბლოკი 20 სმ სისქის</t>
  </si>
  <si>
    <t>სენდვიჩ-პანელის ტიხრების მოწყობა შენობის შუა ნაწილში</t>
  </si>
  <si>
    <t>სენდვიჩ-პანელი კედლის 5 სმ სისქის პოლიურეთანი</t>
  </si>
  <si>
    <t>თუნუქის აქსესუარების მოწყობა</t>
  </si>
  <si>
    <t>ბლოკის კედლების შელესვა ქვიშა-ცემენტის ხსნარით</t>
  </si>
  <si>
    <t>კერამიკული ფილა</t>
  </si>
  <si>
    <t>კედლების დამუშავება და შეღებვა</t>
  </si>
  <si>
    <t>ფითხი</t>
  </si>
  <si>
    <t>ზუმფარა</t>
  </si>
  <si>
    <t>კიბის საფეხურების მოპირკეთება კერამიკული ფილებით</t>
  </si>
  <si>
    <t>ჭერები</t>
  </si>
  <si>
    <t>სენდვიჩ-პანელი გადახურვის 5 სმ სისქის პოლიურეთანი</t>
  </si>
  <si>
    <t>საოფისე ნაწილში ჭერების მოწყობა თაბაშირ-მუყაოს ფილებით</t>
  </si>
  <si>
    <t>CD პროფილი</t>
  </si>
  <si>
    <t>CD პროფილის გადასაბმელი</t>
  </si>
  <si>
    <t>CD პროფილის ჯვარედინი გადასაბმელი</t>
  </si>
  <si>
    <t>CD პროფილის ანკერ-სწრაფსაკიდი</t>
  </si>
  <si>
    <t>მავთული ყულფით</t>
  </si>
  <si>
    <t>რკინის დუბელი</t>
  </si>
  <si>
    <t>სან. კვანძებში, გასახდელებში და დამლაგებლის ოთახებში, ჭერების მოწყობა ნესტგამძლე თაბაშირ-მუყაოს ფილებით</t>
  </si>
  <si>
    <t>ჭერების დამუშავება და შეღებვა</t>
  </si>
  <si>
    <t>ლთონის კარებების მოწყობა</t>
  </si>
  <si>
    <t>სექციური კარი მექანიკური 2800*2500 მმ</t>
  </si>
  <si>
    <t>სექციური კარი მექანიკური 2800*2500 მმ (მინით)</t>
  </si>
  <si>
    <t>ალუმინის ვიტრაჟების მოწყობა</t>
  </si>
  <si>
    <t>სექციური კარებების მონტაჟი შენობის შიგნით (ელექტრო)</t>
  </si>
  <si>
    <t>MDF-ის კარებების მონტაჟი</t>
  </si>
  <si>
    <t>MDF-ის კარი ორფრთიანი (1500*2200 მმ)</t>
  </si>
  <si>
    <t>MDF-ის კარი ორფრთიანი (900*2200 მმ)</t>
  </si>
  <si>
    <t>დოკ-ლეველერის მონტაჟი</t>
  </si>
  <si>
    <t>დოკ-ლეველერის მონტაჟი (HLS 2)</t>
  </si>
  <si>
    <t>ლითონის კიბე შენობის შიგნით, +4.48 ნიშნულზე ასასვლელად</t>
  </si>
  <si>
    <t>შენობის პერიმეტრზე შემონაკირწყლის მოწყობა (1.5 მეტრიანი)</t>
  </si>
  <si>
    <t>არმატურის ბადე 8მმ 20*20 უჯრით</t>
  </si>
  <si>
    <t>დამამთავრებელი სამუშაოები</t>
  </si>
  <si>
    <t>სხვა და სხვა ხარჯი</t>
  </si>
  <si>
    <t>დღიური მუშახელის მომსახურება</t>
  </si>
  <si>
    <t>კაც/დღე</t>
  </si>
  <si>
    <t>ამწე კრანის მომსახურება მასალების მისაღებად</t>
  </si>
  <si>
    <t>უკუდამტვირთველის მომსახურება</t>
  </si>
  <si>
    <t>სამშენებლო ნაგვის დატვირთვა და გატანა</t>
  </si>
  <si>
    <t>რეისი</t>
  </si>
  <si>
    <t>დროებითი ბიოტუალეტების მოწყობა 2 ერთეული</t>
  </si>
  <si>
    <t>დროებითი ღია ფარდულის და არმატურის საამქროს მოწყობა</t>
  </si>
  <si>
    <t>ლითონის მოაჯირების მოწყობა</t>
  </si>
  <si>
    <t>ლითონის მოაჯირების მოწყობა გადახურვაზე და ფასადზე</t>
  </si>
  <si>
    <t>ლითონის მოაჯირების მოწყობა შიდა კიბის უჯრედში</t>
  </si>
  <si>
    <t>სატრანსპორტო ხარჯი</t>
  </si>
  <si>
    <t>ზედანდები ხარჯი</t>
  </si>
  <si>
    <t>უსაფრთხოების ხარჯი</t>
  </si>
  <si>
    <t>გეგმიური დაგროვება</t>
  </si>
  <si>
    <t>გაუთვალისწინებელი ხარჯი</t>
  </si>
  <si>
    <t>დღგ</t>
  </si>
  <si>
    <t>სულ ჯამი</t>
  </si>
  <si>
    <t>მინის მოაჯირის მოწყობა</t>
  </si>
  <si>
    <t>სენდვიჩის ჩახურვის მოწყობა შეწეულ ადგილებში +8.60 ნიშნულზე</t>
  </si>
  <si>
    <t>თუნუქის აქსეუსარების მონტაჟი</t>
  </si>
  <si>
    <t>თუნუქის ინდაოს მოწყობა (ლითონ-კონსტრუქციის გათვალისწინებით)</t>
  </si>
  <si>
    <t>საიზოლაციო ფენის მოწყობა დათბუნების ქვეშ</t>
  </si>
  <si>
    <t>ორთქლსაიზოლაიო მემბრანის მოწყობა მჭიმის ქვეშ</t>
  </si>
  <si>
    <t>ჰუმუსის ფენის მოხსნა და გატანა სამშენებლო მოედნიდან</t>
  </si>
  <si>
    <t>გრუნტის მოჭრა და დასაწყობება ადგილზე, შემდგომში უკუჩაყრისთვის</t>
  </si>
  <si>
    <t>ექსკავატორი 22ტ</t>
  </si>
  <si>
    <t>მოჭრილი ტერიტორიის მოსწორება და დატკეპნა</t>
  </si>
  <si>
    <t>ბალასტის ფენის შეტანა და დატკეპნა საძირკვლების ქვეშ 80 სმ სისქეზე</t>
  </si>
  <si>
    <t xml:space="preserve">ბეტონის მომზადების მოწყობა </t>
  </si>
  <si>
    <t>რკინა-ბეტონის ლენტური საძირკვლის და შემკრავი კოჭის მოწყობა</t>
  </si>
  <si>
    <t>ლენტური საძირკვლის ძირის და გვერდების იზოლაცია წასასმელი საიზოლაციო ხსნარით</t>
  </si>
  <si>
    <t>რკინა-ბეტონის კედლების მოწყობა შენობის პერიმეტრზე 0.00 ნიშნულამდე</t>
  </si>
  <si>
    <t>არსებული გრუტნის უკუჩაყრა და დატკეპნა 0.00 ნიშნულის ფილისთვის</t>
  </si>
  <si>
    <t>გეოტექსტილის ფენის მოწყობა ბალასტის ფენის ქვეშ</t>
  </si>
  <si>
    <t>ბალასტის შეტანა და დატკეპნა 0.00 ნიშნულის ფილის ქვეშ</t>
  </si>
  <si>
    <t>ღორღის მომასწორებელი ფენის მოწყობა 0.00 ნიშნულის ფილის ქვეშ</t>
  </si>
  <si>
    <t>ღორღი</t>
  </si>
  <si>
    <t>ცელოფნის ფენის მოწყობა</t>
  </si>
  <si>
    <t>რკინა-ბეტონის შემკრავი კოჭის მოწყობა -0.22 ნიშნულზე</t>
  </si>
  <si>
    <t>არმირებული ბეტონის ფილის მოწყობა 0.00 ნიშნულზე</t>
  </si>
  <si>
    <t>რკინა-ბეტონის გადახურვის ფილის მოწყობა +5.60 ნიშნულზე</t>
  </si>
  <si>
    <t>რკინა-ბეტონის რიგელების მოწყობა +5.60 ნიშნულზე</t>
  </si>
  <si>
    <t>ბეტონის მომზადების მოწყობა 0.00 ნიშნულის ფილის ქვეშ</t>
  </si>
  <si>
    <t>რკინა-ბეტონის კედლის ძირის მოწყობა პანდუსებისთვის და კიბეებისთვის</t>
  </si>
  <si>
    <t>რკინა-ბეტონის კედლების მოწყობა პანდუსებისთვის და კიბეებისთვის</t>
  </si>
  <si>
    <t>ბალასტის ფენის შეტანა და დატკეპნა პანდუსების ქვეშ</t>
  </si>
  <si>
    <t>რკინა-ბეტონის პანდუსის და კიბეების მოწყობა</t>
  </si>
  <si>
    <t>რკინა-ბეტონის კედლების იზოლაცია წასასმელი საიზოლაციო ხსნარით</t>
  </si>
  <si>
    <t>სადრენაჟე მემბრანის მოწყობა იზოლაციაზე</t>
  </si>
  <si>
    <t>არქიტექტურული ნაწილი (გარე ნაწილი)</t>
  </si>
  <si>
    <t>პერიმეტრის კედლების მოწყობა 30 სმ პემზის ბლოკით</t>
  </si>
  <si>
    <t>პარაპეტის კედლის მოწყობა 30 სმ პემზის ბლოკით</t>
  </si>
  <si>
    <t>საფსადე ხარაჩოს მონტაჟი-დემონტაჟი</t>
  </si>
  <si>
    <t>ფასადის კედლების დათბუნება ქვაბამბით 50 მმ</t>
  </si>
  <si>
    <t>ფასადის კედლების შელესვა ქვიშა-ცემენტის ხსნარით, პარაპეტის შელესვა ორივე მხრიდან</t>
  </si>
  <si>
    <t>ქვაბამბა 50 მმ 70კგ/მ³</t>
  </si>
  <si>
    <t>ფასადის კედლებზე ორთქლსაიზოლაციო მემბრანის მოწყობა</t>
  </si>
  <si>
    <t>ფასადის კედლებზე ქარდამცავი მემბრანის მოწყობა</t>
  </si>
  <si>
    <t>ქარდამაცავი მემბრანა</t>
  </si>
  <si>
    <t>ფასადის კედლების მოპირკეთება HPL პანელებით</t>
  </si>
  <si>
    <t>ფასადის კედლების მოპირკეთება ალუკაბონდის ფილებით</t>
  </si>
  <si>
    <t xml:space="preserve">ალუკაბონდი 4 მმ </t>
  </si>
  <si>
    <t>გადახურვაზე მჭიმის მოწყობა ქვიშა-ცემენტის ხსნარით (ქანობების გათვალისწინებით)</t>
  </si>
  <si>
    <t>გადახურვის ფილებზე მჭიმის მოწყობა ქვიშა-ცემენტის ხსნარით (ქანობების გათვალისწინებით)</t>
  </si>
  <si>
    <t>გადახურვის იზოლაცია ლინოკრომით</t>
  </si>
  <si>
    <t>პარაპეტის ქუდის მოწყობა თუნუქით</t>
  </si>
  <si>
    <t>წყალსაწრეტი მილების და ღარების მოწყობა თუნუქით</t>
  </si>
  <si>
    <t xml:space="preserve">XPS-ის ფილა 5 სმ </t>
  </si>
  <si>
    <t>გადახურვის დათბუნება XPS-ის ფილებით 5 სმ სისქის</t>
  </si>
  <si>
    <t>იატაკებზე იზოლაციის მოწყობა დათბუნების ქვეშ</t>
  </si>
  <si>
    <t>იატაკებზე დათბუნების მოწყობა XPS-ის ფილებით</t>
  </si>
  <si>
    <t>იატაკებზე ორთქლსაიზოლაციო მემბრანის მოწყობა მჭიმის ქვეშ</t>
  </si>
  <si>
    <t>იატაკებზე ქვიშა-ცემენტის მჭიმის მოწყობა 15 სმ სისქით</t>
  </si>
  <si>
    <t>ლითონის კარებების მონტაჟი</t>
  </si>
  <si>
    <t>შელტერის მოწყობა ზომით 2500*2800 მმ კარისთვის</t>
  </si>
  <si>
    <t>შენობის გარშემო შემონაკირწყლის მოწყობა</t>
  </si>
  <si>
    <t>საფასადე ხარაჩოს აწყობა და დემონტაჟი</t>
  </si>
  <si>
    <t>ნაგვის გატანა ობიექტიდან</t>
  </si>
  <si>
    <t>ბლოკის კედლების შელესვა შიდა მხრიდან ქვიშა-ცემენტის ხსნარით</t>
  </si>
  <si>
    <t>არსებული ბეტონის ჭერების დამუშავება და გალაქვა</t>
  </si>
  <si>
    <t>ქვის ლაქი</t>
  </si>
  <si>
    <t>გრუნტის მოჭრა და გატანა სამშენებლო მოედნიდან</t>
  </si>
  <si>
    <t>ღორღის მომასორებელი ფენის მოწყობა 10 სმ</t>
  </si>
  <si>
    <t>საიზოლაციო ფენის მოწყობა</t>
  </si>
  <si>
    <t>არმირებული ბეტონის ფილის მოწყობა 18 სმ სისქის</t>
  </si>
  <si>
    <t>არმატურის ბადე 6მმ 20*20 უჯრით</t>
  </si>
  <si>
    <t>დილიტაციური ჭრილების მოწყობა</t>
  </si>
  <si>
    <t>ბეტონის ბორდიურების მოწყობა</t>
  </si>
  <si>
    <t>ბეტონის ბორდიური 15*30*100 სმ</t>
  </si>
  <si>
    <t>ქვიშ-ცემენტის ხსნარი</t>
  </si>
  <si>
    <t>პერიმეტრის ღობისთვის რკინა-ბეტონის ლენტური საძირკვლის მოწყობა</t>
  </si>
  <si>
    <t>პერიმეტრის შემოღობვა პანელური ღობით 2 მეტრის სიმაღლის</t>
  </si>
  <si>
    <t>მწვანე პანელური ღობე 2 მეტრიანი (ერთმაგი ბადით)</t>
  </si>
  <si>
    <t>გეოტექსტილის მოწყობა</t>
  </si>
  <si>
    <t>გეოტექსტილი 300 გრ/მ²</t>
  </si>
  <si>
    <t>საშხაპის მონტაჟი</t>
  </si>
  <si>
    <t>შხაპის წყალშემრევი</t>
  </si>
  <si>
    <t>საშხაპის ძირის (პადონი)-ს მონტაჟი</t>
  </si>
  <si>
    <t>საშხაპის სიფონი</t>
  </si>
  <si>
    <t>სტანდარტული უნიტაზის მონტაჟი</t>
  </si>
  <si>
    <t>სტანდარტული უნიტაზი</t>
  </si>
  <si>
    <t>უნიტაზის დრეკადი ყელი (გარმოჟკა)</t>
  </si>
  <si>
    <t>ავზის მილი</t>
  </si>
  <si>
    <t>ვენტილი ARCO</t>
  </si>
  <si>
    <t>ხელსაბანის მონტაჟი</t>
  </si>
  <si>
    <t>ხელსაბანი</t>
  </si>
  <si>
    <t>ხელსაბანის წყალშემრევი</t>
  </si>
  <si>
    <t>ხელსაბანის სიფონი</t>
  </si>
  <si>
    <t>წყლის დრეკადი მილი</t>
  </si>
  <si>
    <t>ტრაპის მონტაჟი</t>
  </si>
  <si>
    <t>Ø 50 მმ  საკანალიზაციო ტრაპი</t>
  </si>
  <si>
    <t>Ø 100 მმ  საკანალიზაციო ტრაპი</t>
  </si>
  <si>
    <t xml:space="preserve">Ø 50 მმ  საკანალიზაციო მილი  0,25 მ </t>
  </si>
  <si>
    <t xml:space="preserve">Ø 50 მმ  საკანალიზაციო მილი 0,5 მ </t>
  </si>
  <si>
    <t xml:space="preserve">Ø 50 მმ  საკანალიზაციო მილი  1 მ </t>
  </si>
  <si>
    <t xml:space="preserve">Ø 50 მმ  საკანალიზაციო მილი  2 მ </t>
  </si>
  <si>
    <t xml:space="preserve">Ø 100 მმ  საკანალიზაციო მილი  0,25 მ </t>
  </si>
  <si>
    <t xml:space="preserve">Ø 100 მმ  საკანალიზაციო მილი  0,5 მ </t>
  </si>
  <si>
    <t xml:space="preserve">Ø 100 მმ საკანალიზაციო  მილი  1 მ </t>
  </si>
  <si>
    <t xml:space="preserve">Ø 100 მმ  საკანალიზაციო მილი  2 მ </t>
  </si>
  <si>
    <t>Ø 50 მმ  ხუფი (ზაგლუშკა)</t>
  </si>
  <si>
    <t>Ø 100 მმ  ხუფი (ზაგლუშკა)</t>
  </si>
  <si>
    <t>Ø 100 მმ რევიზია</t>
  </si>
  <si>
    <t>ფასონური ნაწილები მილების ღირებულების 50%</t>
  </si>
  <si>
    <t xml:space="preserve">Ø 160 მმ  საკანალიზაციო მილი  1 მ </t>
  </si>
  <si>
    <t>Ø 100 მმ  კანალიზაციის დგარის გარსაცმი</t>
  </si>
  <si>
    <t>სახანძრო საყელო (სარქველი) ცეცხლის შემაჩერებელი მოწყობილობა, რომელიც მონტაჟდება მილგაყვანილობაზე. ტიხრების და გადახურვის ფილის გადაკვეთის ადგილას. Ø 110/160 მმ მაკოპლექტებელი მასალებით.</t>
  </si>
  <si>
    <t>მილგაყვანილობის სამაგრი ჭერზე</t>
  </si>
  <si>
    <t>არსებულ 30 სმ რკინაბეტონის ფილაში ხვრელის ამოჭრა ბეტონის მრგვალი მჭრელით. D-150 mm და ჰიდროიზოლაციის მოწყობა ფილაში ამოჭრილი ხვრელის გარშემო</t>
  </si>
  <si>
    <t xml:space="preserve">მანომეტრი </t>
  </si>
  <si>
    <t>ცივი წყლის დამარბილებელი მექანიკური Ø შ-15მმ G=1,0 მ3/წმ</t>
  </si>
  <si>
    <t>ტემპერატურის შემზღუდავი სარქველი (40°-50°) ცივი და ცხელი წყლისთვის. სრული კომპლექტი Øშ-25 მმ სამ წნევა 14 ატმ.  მაქს ტემპერატურა 85°</t>
  </si>
  <si>
    <t>Ø 20 მმ პოლიპროპილენის ალუმინიანი მილი DIN-8078</t>
  </si>
  <si>
    <t>Ø 25 მმ პოლიპროპილენის ალუმინიანი მილი DIN-8078</t>
  </si>
  <si>
    <t>Ø 32 მმ პოლიპროპილენის ალუმინიანი მილი DIN-8078</t>
  </si>
  <si>
    <t>Ø 40 მმ პოლიპროპილენის ალუმინიანი მილი DIN-8078</t>
  </si>
  <si>
    <t>Ø 20 მმ პოლიპროპილენის  მილი DIN-8078</t>
  </si>
  <si>
    <t>Ø 25 მმ პოლიპროპილენის  მილი DIN-8078</t>
  </si>
  <si>
    <t>Ø 32 მმ პოლიპროპილენის  მილი DIN-8078</t>
  </si>
  <si>
    <t>Ø 40 მმ პოლიპროპილენის  მილი DIN-8078</t>
  </si>
  <si>
    <t xml:space="preserve">20 მმ კაუჩუკის მილი Ø 20 მმ მილისთვის ISO 9001-2000 </t>
  </si>
  <si>
    <t xml:space="preserve">21 მმ კაუჩუკის მილი Ø 25 მმ მილისთვის ISO 9001-2000 </t>
  </si>
  <si>
    <t xml:space="preserve">22 მმ კაუჩუკის მილი Ø 32 მმ მილისთვის ISO 9001-2000 </t>
  </si>
  <si>
    <t>23 მმ კაუჩუკის მილი Ø 40 მმ მილისთვის ISO 9001-2000 პოლიპროპილენის  მილი DIN-8078</t>
  </si>
  <si>
    <t>მაკოპლექტებელი მასალები მილების ღირებულების 50%</t>
  </si>
  <si>
    <t>ვენტილი ამერიკანკა Ø 1/2" შიდა 15 მმ</t>
  </si>
  <si>
    <t>ვენტილი ამერიკანკა Ø 3/4" შიდა 20 მმ</t>
  </si>
  <si>
    <t>ვენტილი ამერიკანკა Ø 1" შიდა 25 მმ</t>
  </si>
  <si>
    <t>ვენტილი ამერიკანკა Ø 1,1/4" შიდა 32 მმ</t>
  </si>
  <si>
    <t>პირდაპირი გარე ხრახნით Ø 20მმ  1/2"</t>
  </si>
  <si>
    <t>პირდაპირი გარე ხრახნით Ø 25მმ  3/4"</t>
  </si>
  <si>
    <t>პირდაპირი გარე ხრახნით Ø 32მმ  1"</t>
  </si>
  <si>
    <t>პირდაპირი გარე ხრახნით Ø 40 მმ  1,1/4"</t>
  </si>
  <si>
    <t>სანტექ მუხლი შიდა ხრახნით Ø 20 მმ  DIN 8078</t>
  </si>
  <si>
    <t>სანტექ მუხლი შიდა ხრახნით Ø 25 მმ  DIN 8078</t>
  </si>
  <si>
    <t>სანტექ კუთხური ვენტილი Ø20 მმ</t>
  </si>
  <si>
    <t>სანტექ კუთხური ვენტილი Ø25 მმ</t>
  </si>
  <si>
    <t>საკომუნიკაციო შახტების შევსება ცეცხლმედეგი ქაფით</t>
  </si>
  <si>
    <t>საკომუნიკაციო შახტების შევსება პოლიუმეთანის თბოიზოლაციით სისქით 30 სმ</t>
  </si>
  <si>
    <t>სანტექნიკური ნაწილი</t>
  </si>
  <si>
    <t>კომპლ</t>
  </si>
  <si>
    <t>სარევიზიო ლუქი</t>
  </si>
  <si>
    <t>კანალიზაციის მილების მოწყობა</t>
  </si>
  <si>
    <t>წყლის მილების მოწყობა</t>
  </si>
  <si>
    <t>ვენტილები და ფასონური ნაწილები</t>
  </si>
  <si>
    <t>Ø 160 მმ გოფრირებული მილის ჩადება შესაბამისი დაქანებით</t>
  </si>
  <si>
    <t>შრომის დანახარჯი</t>
  </si>
  <si>
    <t>Ø 160 მმ გოფრირებული მილი</t>
  </si>
  <si>
    <t>ქვიშა</t>
  </si>
  <si>
    <t>რკინაბეტონის D-1მ  H-1  მ საკანალიზაციო ჭის მოწყობა თუჯის ლუკით ბეტონის ფუნდამენტზე</t>
  </si>
  <si>
    <t xml:space="preserve">Ø 10 მმ არმატურა </t>
  </si>
  <si>
    <t>საბეტონე ხრეში</t>
  </si>
  <si>
    <t>ცემენტი</t>
  </si>
  <si>
    <t>რკინაბეტონის D-1მ  H-1  მ საკანალიზაციო ჭა</t>
  </si>
  <si>
    <t>კონუსური ყელი</t>
  </si>
  <si>
    <t>თუჯის თავსახური</t>
  </si>
  <si>
    <t>რკინაბეტონის D-1მ  H-1,5  მ საკანალიზაციო ჭის მოწყობა თუჯის ლუკით ბეტონის ფუნდამენტზე</t>
  </si>
  <si>
    <t>რკინაბეტონის D-1მ  H-1,5  მ საკანალიზაციო ჭა</t>
  </si>
  <si>
    <t>რკინაბეტონის D-1მ  H-2  მ საკანალიზაციო ჭის მოწყობა თუჯის ლუკით ბეტონის ფუნდამენტზე</t>
  </si>
  <si>
    <t>საბეტონე ხრერში</t>
  </si>
  <si>
    <t>რკინაბეტონის D-1მ  H-2  მ საკანალიზაციო ჭა</t>
  </si>
  <si>
    <t>რკინაბეტონის D-1მ  H-2,5  მ საკანალიზაციო ჭის მოწყობა თუჯის ლუკით ბეტონის ფუნდამენტზე</t>
  </si>
  <si>
    <t>რკინაბეტონის D-1მ  H-2,5  მ საკანალიზაციო ჭა</t>
  </si>
  <si>
    <t>რკინაბეტონის D-1მ  H-3  მ საკანალიზაციო ჭის მოწყობა თუჯის ლუკით ბეტონის ფუნდამენტზე</t>
  </si>
  <si>
    <t>რკინაბეტონის D-1მ  H-3  მ საკანალიზაციო ჭა</t>
  </si>
  <si>
    <t>რკინაბეტონის D-1მ  H-3,5  მ საკანალიზაციო ჭის მოწყობა თუჯის ლუკით ბეტონის ფუნდამენტზე</t>
  </si>
  <si>
    <t>რკინაბეტონის D-1მ  H-3,5  მ საკანალიზაციო ჭა</t>
  </si>
  <si>
    <t>რკინაბეტონის D-1მ  H-4  მ საკანალიზაციო ჭის მოწყობა თუჯის ლუკით ბეტონის ფუნდამენტზე</t>
  </si>
  <si>
    <t>რკინაბეტონის D-1მ  H-4  მ საკანალიზაციო ჭა</t>
  </si>
  <si>
    <t>რკინაბეტონის D-1მ  H-4,5  მ საკანალიზაციო ჭის მოწყობა თუჯის ლუკით ბეტონის ფუნდამენტზე</t>
  </si>
  <si>
    <t>რკინაბეტონის D-1მ  H-4,5  მ საკანალიზაციო ჭა</t>
  </si>
  <si>
    <t>გრუნტის სამუშაოები</t>
  </si>
  <si>
    <t>გრუნტის დამუშავება ბულდოზერით და დასაწყობება</t>
  </si>
  <si>
    <t>გრუნტის დამუშავება ბულდოზერით ტრანშეაში</t>
  </si>
  <si>
    <t>გრუნტის დამუშავება ხელით ტრანშეაში</t>
  </si>
  <si>
    <t>გრუნტის მოსწორება ტრანშეაში ხელით</t>
  </si>
  <si>
    <t>გრუნტის დატვირთვა ბულდოზერით თვითმცლელზე</t>
  </si>
  <si>
    <t>ზედმენტი გრუნტის ტრანსპორტირება  საყრელზე</t>
  </si>
  <si>
    <t>ქვიშის საფუძლების მოწყობა</t>
  </si>
  <si>
    <t>ქვიშის ჩაყრა ტრანშეაში ხელით</t>
  </si>
  <si>
    <t>ქვიშის ჩაყრა ტრანშეაში ბულდოზერით</t>
  </si>
  <si>
    <t>გრუნტის უკუჩაყრა ტრანშეაში</t>
  </si>
  <si>
    <t>გრუნტის უკუჩაყრა ტრანშეაში ხელით</t>
  </si>
  <si>
    <t>გრუნტის უკუჩაურა ტრანშეაში ბულდოზერით</t>
  </si>
  <si>
    <t>ღორღის ჩაყრა ტრანშეაში ბულდოზერით</t>
  </si>
  <si>
    <t>შეკვრა</t>
  </si>
  <si>
    <t xml:space="preserve">გამწმენდი დანადგარი(ზეთის, ბენზინის განმაცალკავებელი, სეპარატორი ფილტრით) ავშეკვრაობილის სამრეცხაოსთვის, წარმადობით 6 ლიტ/წმ (მასალა პოლიეთილენი) მიწისქვეშა შერულებით. მილის შეწსვლა გამოსვლა დ-200 მმ . ზეთის დაგროვების საკონტროლო ავშეკვრაატით (გამაფრთხილებლით) ყველა აქსესუარით ლექის 2500 ლიტრიანი მოცულობით, ზეთის/ბენზინის 265 ლიტრიანი მოცულობით. ავშეკვრაატური ნაკადის ჩამკეტი  (ტივტივა) სარქველით. 2 ცალი ლუკით.  </t>
  </si>
  <si>
    <t>ორმაგ არმირებული ბალასტზე დადებული ფილის მოწყობა -0.30 ნიშნულზე, სისქით 20სმ</t>
  </si>
  <si>
    <t>ბეტონის მომზადების მოწყობა -0.30 ნიშნულის ფილის ქვეშ</t>
  </si>
  <si>
    <t>სენდვიჩ-პანელის ჭერების მოწყობა შენობის შიგნით</t>
  </si>
  <si>
    <t>ტიხრების მოწყობა მწვანე თაბაშირ-მუყაოს ორმაგი ფილებით, სან. კვანძებში, გამოსაცვლელებში, დამლაგებლის ოთახებში.</t>
  </si>
  <si>
    <t>გარე ტერიტორია</t>
  </si>
  <si>
    <t>კანალიზაციის ქსელი</t>
  </si>
  <si>
    <t>გარე წყალმომარაგება</t>
  </si>
  <si>
    <t>მაღალი სიმკვრივის პოლიეთილენის მილი Ø-25x2 მმ, PN-10 მილგაყვანილობის მაკომოლექტებელი მასალებით. სასმელი წყლის სისტემისთვის მიწისქვესა ტიპის. AWWA C 901/C 906; ASTM D2239; ASTM D2737: ASTM D3035; F 714; ISO 9001:2000 სტანდარტის შესაბამისი</t>
  </si>
  <si>
    <t>მაღალი სიმკვრივის პოლიეთილენის მილი Ø-25x2 მმ</t>
  </si>
  <si>
    <t>შესაფუთი მასალა</t>
  </si>
  <si>
    <t>მაღალი სიმკვრივის პოლიეთილენის მილი Ø-40x2,4მმ, PN-10 მილგაყვანილობის მაკომოლექტებელი მასალებით. სასმელი წყლის სისტემისთვის მიწისქვესა ტიპის. AWWA C 901/C 906; ASTM D2239; ASTM D2737: ASTM D3035; F 714; ISO 9001:2000 სტანდარტის შესაბამისი</t>
  </si>
  <si>
    <t>მაღალი სიმკვრივის პოლიეთილენის მილი Ø-40 X  2,4 მმ</t>
  </si>
  <si>
    <t>პოლიეთილენის  მილი PE-Xa Ø-15/შ-Ø78/გ  მაკოპლექტებელი მასალებით</t>
  </si>
  <si>
    <t>მაღალი სიმკვრივის პოლიეთილენის მილი Ø-78 მმ</t>
  </si>
  <si>
    <t xml:space="preserve">წყალსადენის ჭის ბეტონის ძირის მოწყობა </t>
  </si>
  <si>
    <t>Ø  10 მმ  A-500 კლასის არმატურა</t>
  </si>
  <si>
    <t>ლითონის საჭრელი დისკო</t>
  </si>
  <si>
    <t>ქარგილის ლამინირებული ფილა</t>
  </si>
  <si>
    <t>B-25 მარკის ბეტონი</t>
  </si>
  <si>
    <t xml:space="preserve">წყალსადენის ჭის ბეტონის კედლების  მოწყობა </t>
  </si>
  <si>
    <t>წინასწარ დაძაბული არმირებით, ქარხნულად  ჩამოსხმული ჭის ასახდელი ფილის დაფარება წყალსადენის ჭაზე</t>
  </si>
  <si>
    <t>წინასწარ დაძაბული არმირებით ჩამოსხმული ფილა</t>
  </si>
  <si>
    <t>თუჯის ლუკის მოწყობა</t>
  </si>
  <si>
    <t>თუჯის ლუკი</t>
  </si>
  <si>
    <t>მანომეტრის მონტაჟი</t>
  </si>
  <si>
    <t>მანომეტრი</t>
  </si>
  <si>
    <t>წყლის დონის მაჩვენებელი ელექტრო ურდულ;ის მონტაჟი  გადამწოდით, 1,1/4"Øშ-32  mm  0,1 kW (230v) ISO 9001-2008 სტანდარტის შსაბამისი</t>
  </si>
  <si>
    <t>წყლის დონის მაჩვენებელი ელექტრო ურდული</t>
  </si>
  <si>
    <t>Ø 1,1/4" წყლის ურდულის მონტაჟი</t>
  </si>
  <si>
    <t>Ø 1,1/4" წყლის ურდული</t>
  </si>
  <si>
    <t>Ø 1,1/4" წყლის უკუსარქველის  მონტაჟი</t>
  </si>
  <si>
    <t>Ø 1,1/4" წყლის უკუსარქველი</t>
  </si>
  <si>
    <t>საპროექტო ხაზის ჩართვა არსებულ ქსელში</t>
  </si>
  <si>
    <t>32 მმ ურდულის მონტაჟი</t>
  </si>
  <si>
    <t>Ø 32 მმ წყლის ურდული</t>
  </si>
  <si>
    <t>32 მმ მრიცხველიოს კვანძის მონტაჟი</t>
  </si>
  <si>
    <t>Ø 32 მმ მრიცხველი</t>
  </si>
  <si>
    <t>ცივი წყლის საფილტრაციო დანადგარის მონტაჟი მექანიკური თვითრეცხვადი დამცლელით, ØS-32 mm 3". G=5,5m3/სთ) N=1.0 kvt(230v) გაფილტვრის კლასი 25 მიკრონი. PN-16 ISO 9001-2008. AISI 316 L სტანდარტის მიხედვით</t>
  </si>
  <si>
    <t>20 მმ ვენტილის მონტაჟი</t>
  </si>
  <si>
    <t>32 მმ ადაპტორის მონტაჟი</t>
  </si>
  <si>
    <t>20 მმ ადაპტორის მონტაჟი</t>
  </si>
  <si>
    <t>ტნ</t>
  </si>
  <si>
    <t>ქსელი</t>
  </si>
  <si>
    <t>სანიაღვრე ქსელი</t>
  </si>
  <si>
    <t>სახურავის წვიმამიმღები ცხაურა სენდვიჩპანელის სახურავისთვის</t>
  </si>
  <si>
    <t>სახურავის წვიმმიმღები ცხაურა ფოთლების დამჭერით Ø 75/110 მმ გადამყვანით</t>
  </si>
  <si>
    <t>ცხაურა ფოთლების დამჭერით Ø 75/110 მმ გადამყვანით</t>
  </si>
  <si>
    <t>სანიაღვრე მილი Ø 110 მმ  1 მ</t>
  </si>
  <si>
    <t xml:space="preserve">რევიზია  Ø 110 მმ  </t>
  </si>
  <si>
    <t>Ø 160 მმ გოფრირებული სანიაღვრე მილის ჩადება შესაბამისი დახრით, სიგრძით 6 მ</t>
  </si>
  <si>
    <t>Ø 160 მმ გოფრირებული სანიაღვრე მილი</t>
  </si>
  <si>
    <t>Ø 200 მმ გოფრირებული სანიაღვრე მილის ჩადება შესაბამისი დახრით, სიგრძით 6 მ</t>
  </si>
  <si>
    <t>Ø 200 მმ გოფრირებული სანიაღვრე მილი</t>
  </si>
  <si>
    <t>Ø 250 მმ გოფრირებული სანიაღვრე მილის ჩადება შესაბამისი დახრით, სიგრძით 6 მ</t>
  </si>
  <si>
    <t>Ø 250 მმ გოფრირებული სანიაღვრე მილი</t>
  </si>
  <si>
    <t>Ø 315 მმ გოფრირებული სანიაღვრე მილის ჩადება შესაბამისი დახრით, სიგრძით 6 მ</t>
  </si>
  <si>
    <t>Ø 315 მმ გოფრირებული სანიაღვრე მილი</t>
  </si>
  <si>
    <t>სანიაღვრე ცხაურა თუჯის წყალმიმღებით 1000 მმ X D 202 მმ  H  100 mm მარკა C-250 დატვირთვის სიდიდე 250 კგ ცხაურას ძირი მოდიფიცირებული პოლიპროპილენი PP  შემაერთებელი Ø 110/160 მმ მაკომპლექტებელი მასალებით.</t>
  </si>
  <si>
    <t>სანიაღვრე ცხაურა თუჯის წყალმიმღებით. L-1000 mm X D 202 mm  მარკა  C 250 დატვირთვის სიდიდე 250 kn.</t>
  </si>
  <si>
    <t xml:space="preserve">ბეტონის სანიაღვრე არხი  შიდა ზომა H-400 mm X D 200 mm წყალგამტარი ზევიდან მომსახურების შესაძლებლობით. </t>
  </si>
  <si>
    <t>სანიაღვრე არხი სიგრძით 2 მ</t>
  </si>
  <si>
    <t>თუჯის ცხაურა</t>
  </si>
  <si>
    <t>მილის სამაგრი</t>
  </si>
  <si>
    <t>რკინაბეტონის D-1მ  H-1  მ საკანალიზაციო ჭის მოწყობა თუჯის ლუკით ბეტონის ფუნდამენტზე კონუსური ყელით</t>
  </si>
  <si>
    <t>რკინაბეტონის D-1მ  H-1,5  მ საკანალიზაციო ჭის მოწყობა თუჯის ლუკით ბეტონის ფუნდამენტზე კონუსური ყელით</t>
  </si>
  <si>
    <t>რკინაბეტონის D-1მ  H-2  მ საკანალიზაციო ჭის მოწყობა თუჯის ლუკით ბეტონის ფუნდამენტზე კონუსური ყელით</t>
  </si>
  <si>
    <t>რკინაბეტონის D-1მ  H-5,5  მ საკანალიზაციო ჭის მოწყობა თუჯის ლუკით ბეტონის ფუნდამენტზე კონუსური ლუკით</t>
  </si>
  <si>
    <t>რკინაბეტონის D-1მ  H-5,5  მ საკანალიზაციო ჭა</t>
  </si>
  <si>
    <t>გრ</t>
  </si>
  <si>
    <t>ტომარა</t>
  </si>
  <si>
    <t>იატაკზე დასადგმელი 19'' კარადის მონტაჟი, 18 U 1600X600X450 მმ გაბარიტრებით</t>
  </si>
  <si>
    <t>კედელზე დასაკიდი 14,3'' კარადის მონტაჟი,        Hx22,4"  Wx17,7" გაბარიტრებით</t>
  </si>
  <si>
    <t>IP POE გარე მონტაჟის, ფერადი ვიდეოკამერის მონტაჟი. დღე-ღამის რეჟიმით, ფიქსირებული ლინზით 4,0 მგპ. IP65 დაცვით</t>
  </si>
  <si>
    <t>IP POE შიდა მონტაჟის, ფერადი 360° გრადუსიანი გუმბათისებური ვიდეოკამერის მონტაჟი. დღე-ღამის რეჟიმით,  4,0 მგპ.</t>
  </si>
  <si>
    <t>4 პორტიანი IP ქსელური რეგისტრატორის მონტაჟი NVR</t>
  </si>
  <si>
    <t>24 პორტიანი ქსელური ვიდეო კომუტატორის მონტაჟი</t>
  </si>
  <si>
    <t>16 პორტიანი ქსელური ვიდეო კომუტატორის მონტაჟი</t>
  </si>
  <si>
    <t>4 პორტიანი ქსელური ვიდეო კომუტატორის მონტაჟი</t>
  </si>
  <si>
    <t>HDD  მყარი დისკი  6TB</t>
  </si>
  <si>
    <t>UTP კაბელი CAT 5e</t>
  </si>
  <si>
    <t>უწყვეტი დენის წყარო 220 v  1000 Wt</t>
  </si>
  <si>
    <t>ვიდეო-კონტროლი</t>
  </si>
  <si>
    <t>ინტერნეტი</t>
  </si>
  <si>
    <t>კომპიუტერული როზეტი RJ 45  5 კატეგორია</t>
  </si>
  <si>
    <t>WI-FI როუტერი 2,4 მგც 2 ანტენიანი</t>
  </si>
  <si>
    <t>8 პორტიანი ქსელური ვიდეო კომუტატორის მონტაჟი</t>
  </si>
  <si>
    <t>UTP კაბელი CAT 5e გოფრ მილში გატარებით</t>
  </si>
  <si>
    <t>სახანძრო</t>
  </si>
  <si>
    <t>სახანძრო სიგნალიზაციის სამისამართო 6 ზონიანი მართვის პანელი</t>
  </si>
  <si>
    <t>კვამლის სამისამართო დეტექტორი</t>
  </si>
  <si>
    <t>განგაშის სამისამართო ხელის ღილაკი</t>
  </si>
  <si>
    <t>კომბინირებული სნობ სირენა</t>
  </si>
  <si>
    <t>2 რელეიანი მოდული 220 v  2 A</t>
  </si>
  <si>
    <t>სამისამართო უნივერსალური ბაზა</t>
  </si>
  <si>
    <t>ხანძარმედეგი კაბელი JE-H(ST) HFE-180   2X2X1.0+0,8 მმ</t>
  </si>
  <si>
    <t>აკუმულატორი 12v   7ამპ/სთ</t>
  </si>
  <si>
    <t>გოფრირებული მილი Ø 20 მმ</t>
  </si>
  <si>
    <t>არამწვადი კაბელ არხი 40X20 მმ</t>
  </si>
  <si>
    <t>ხანძარქრობა</t>
  </si>
  <si>
    <t>ქარხნული აწყობის სატუმბო სადგური, მზიდ ჩარჩოზე(კომპრესორით ), თვითმწოვი ტუმბოებით, კონფიგურაცია 1EL+1D +1ჟოკეი-ტუმბო, დაკომპლექტებული კოლექტორებით, ჩამკეტი არმატურით, წნევის მანომეტრებით, მართვის პულტით, უკუსარქველებით, მანომეტრებით. ავტომატური მართვა წნევის რეგულირებით. მემბრანული 100 ლიტრიანი გამაფართოებლით.</t>
  </si>
  <si>
    <t>,,2014/68/EU წნევის ქვეს მომუშავე მოწყობილობის შესაბამისად შეუცვლელი მემბრანა DIN EN13831-ის შესაბამისად, მაქსიმალური სამუშაო ტემპერატურა +70°C, გაყინვის დანამატისთვის მინიმუმ 25-50%, მაქსიმალური დასაშვები სისტემის ტემპერატურა 120°C“</t>
  </si>
  <si>
    <t>Fire Hose Cabinet
სახანძრო კარადა მოუმზადებელი პირებისთვის: 30 მეტრიანი გასაშლელი მილით Ø 32mm,   ვენტილით და თავაკით. შიდა გამოყენებისთვის EN 671-1 სტანდარტების მიხედვით. UL/FM Certified. (შეირჩეს დამკვეთის მიერ)</t>
  </si>
  <si>
    <t>Fire Hose Cabinet
სახანძრო კარადა: ხელის ცეცხლმაქრით 6kg, 30 მეტრიანი გასაშლელი მილით Ø 32mm,   ვენტილით და თავაკით. შიდა გამოყენებისთვის EN 671-1 სტანდარტების მიხედვით. UL/FM Certified. (შეირჩეს დამკვეთის მიერ)</t>
  </si>
  <si>
    <t>Landing Valve. 
პროფესიონალური მისაერთებლი, ვენტილით და თავაკით Ø77mm. შიდა გამოყენებისთვის. UL/FM Certified.</t>
  </si>
  <si>
    <t>Fire Department Connection (Siamese Connection). 
სახანძრო მანქანის მისაერთებლი თავაკით 2xØ77mm. გარე გამოყენებისთვის. UL/FM Certified.</t>
  </si>
  <si>
    <t>სპრინკლერი, СОБР17Н</t>
  </si>
  <si>
    <t>სპრინკლერი, K-80 68°C . UL/FM Certifed</t>
  </si>
  <si>
    <t>სოლისებური ჩამკეტი სარქველი 50 მმ  2"</t>
  </si>
  <si>
    <t>სოლისებური ჩამკეტი სარქველი 65 მმ  2"1/2</t>
  </si>
  <si>
    <t>სოლისებური ჩამკეტი სარქველი 80 მმ  3"</t>
  </si>
  <si>
    <t>სოლისებური ჩამკეტი სარქველი 100 მმ  4"</t>
  </si>
  <si>
    <t>სოლისებური ჩამკეტი სარქველი 150 მმ  6"</t>
  </si>
  <si>
    <t>ვენტილი   15 მმ  1/2"</t>
  </si>
  <si>
    <t>ვენტილი   25 მმ  1"</t>
  </si>
  <si>
    <t>ვენტილი   32 მმ  1"1/4</t>
  </si>
  <si>
    <t>ტივტივა სარქველი  65 მმ   2"1/2</t>
  </si>
  <si>
    <t>უკუსარქველი მილტუჩიანი მისაერთებელით, დამცლელი ონკანით  80 მმ   3"</t>
  </si>
  <si>
    <t>ბადის ფილტრი მილტუჩიანი მისაერთებლით 65 მმ   2"1/2</t>
  </si>
  <si>
    <t>ვიზუალური სითხის ნაკადის ინდიკატორი 25 მმ  1"</t>
  </si>
  <si>
    <t>დროსელური საყელური 32 მმ   1"1/4</t>
  </si>
  <si>
    <t xml:space="preserve">
სველი სპრინკლერული სისტემის მართვის კვანძი 100 მმ  4"</t>
  </si>
  <si>
    <t xml:space="preserve">
სველი სპრინკლერული სისტემის მართვის კვანძი 150 მმ  6"</t>
  </si>
  <si>
    <t>მიმჭერი ზედაპირის მილტუჩა  50 მმ   1"</t>
  </si>
  <si>
    <t>მიმჭერი ზედაპირის მილტუჩა  65 მმ   2"1/2</t>
  </si>
  <si>
    <t>მიმჭერი ზედაპირის მილტუჩა  80 მმ   3"</t>
  </si>
  <si>
    <t>მიმჭერი ზედაპირის მილტუჩა  100 მმ   4"</t>
  </si>
  <si>
    <t>მიმჭერი ზედაპირის მილტუჩა  150 მმ   6"</t>
  </si>
  <si>
    <t xml:space="preserve">ნაკადის რელე </t>
  </si>
  <si>
    <t>წყლის დონის სენსორი</t>
  </si>
  <si>
    <t>წნევის სენსორი 4-20mA</t>
  </si>
  <si>
    <t>NFPA 13 UL/FM Certified. ხანძარსაწინააღმდეგო უნაკერო მილი 25 მმ</t>
  </si>
  <si>
    <t>NFPA 13 UL/FM Certified. ხანძარსაწინააღმდეგო უნაკერო მილი 32 მმ</t>
  </si>
  <si>
    <t>NFPA 13 UL/FM Certified. ხანძარსაწინააღმდეგო უნაკერო მილი 50 მმ</t>
  </si>
  <si>
    <t>NFPA 13 UL/FM Certified. ხანძარსაწინააღმდეგო უნაკერო მილი 70 მმ</t>
  </si>
  <si>
    <t>NFPA 13 UL/FM Certified. ხანძარსაწინააღმდეგო უნაკერო მილი 80 მმ</t>
  </si>
  <si>
    <t>NFPA 13 UL/FM Certified. ხანძარსაწინააღმდეგო უნაკერო მილი 100 მმ</t>
  </si>
  <si>
    <t>NFPA 13 UL/FM Certified. ხანძარსაწინააღმდეგო უნაკერო მილი 150 მმ</t>
  </si>
  <si>
    <t>პასიური სახანძრო დაცვის მასტიკა</t>
  </si>
  <si>
    <t>პოლიეთილენის მილი PND100 SDF 21</t>
  </si>
  <si>
    <t>პოლიეთილენის მუხლი 100 მმ 90°</t>
  </si>
  <si>
    <t>რეზერვის ავტომატური ჩართვის ფარის მონტაჟი</t>
  </si>
  <si>
    <t>იატაკზე დასადგმელი მეტალის კარადა 1600X1200X800 მმ დაცვის კლასით IP34</t>
  </si>
  <si>
    <t>რეზერვის ავტომატური ჩართვის ბლოკი 2 in/1 Out 380v 1200 A</t>
  </si>
  <si>
    <t>ავტომატური ამომრთველი 3P 1250 A, C 35 ka</t>
  </si>
  <si>
    <t>ავტომატური ამომრთველი 3P 1000 A, C 35 ka</t>
  </si>
  <si>
    <t>ავტომატური ამომრთველი 3P 320 A, C 6 ka</t>
  </si>
  <si>
    <t>ავტომატური ამომრთველი 3P100 A, C 6 ka</t>
  </si>
  <si>
    <t>იმპულსური გადაძაბვისგან დამცავი მოწყობილობა (узип)16 ka</t>
  </si>
  <si>
    <t>დნობადი მცველი 250 A ბუდით</t>
  </si>
  <si>
    <t>დენის ტრანსფორმატორი 1200/10 A</t>
  </si>
  <si>
    <t>3 ფაზა მრიცხველი 10/100 A</t>
  </si>
  <si>
    <t>სპილენზის შინა 80X10X1600 მმ</t>
  </si>
  <si>
    <t>მთავარი გამანაწილებელი ფარის მონტაჟი</t>
  </si>
  <si>
    <t>ავტომატური ამომრთველი 3P 800 A, C 35 ka</t>
  </si>
  <si>
    <t>ავტომატური ამომრთველი 3P 400 A, C 6 ka</t>
  </si>
  <si>
    <t>ავტომატური ამომრთველი 3P 100 A, C 6 ka</t>
  </si>
  <si>
    <t>ავტომატური ამომრთველი 3P 50 A, C 6 ka</t>
  </si>
  <si>
    <t>ავტომატური ამომრთველი 3P 40 A, C 6 ka</t>
  </si>
  <si>
    <t>ავტომატური ამომრთველი 3P 32 A, C 6 ka</t>
  </si>
  <si>
    <t>ავტომატური ამომრთველი 3P 25 A, C 6 ka</t>
  </si>
  <si>
    <t>ავტომატური ამომრთველი 1P 20 A, C 6 ka</t>
  </si>
  <si>
    <t>ავტომატური ამომრთველი 1P 6 A, C 6 ka</t>
  </si>
  <si>
    <t>ავტომატური ამომრთველი 1P 16 A, C 6 ka</t>
  </si>
  <si>
    <t>ელექტრო მაგნიტური გამშვები 220 v  10A</t>
  </si>
  <si>
    <t>ფოტო რელე 220 v  6 A</t>
  </si>
  <si>
    <t>კარადის კედელზე დასაყენებელი ორ პოზიციანი გადმრთველი 220 v  6 A  1 NO  კონტაქტით</t>
  </si>
  <si>
    <t xml:space="preserve">100 A,  3 ფაზა ფაზების გამამრავლებელი </t>
  </si>
  <si>
    <t>გამანაწილებელი ფარის მონტაჟი</t>
  </si>
  <si>
    <t>კედელზე ჩამოსაკიდებელი მეტალის კარადა 600X400X300 მმ დაცვის კლასით IP34</t>
  </si>
  <si>
    <t>დიფერენციალური დაცვის 30 ma  ავტომატური ამომრთველი 2P 16 A C 6 ka</t>
  </si>
  <si>
    <t>დანულების 15 კონტაქტიანი ტერმინალი (დინ-ზოლზე)-</t>
  </si>
  <si>
    <t>დამიწების 15 კონტაქტიანი ტერმინალი (დინ-ზოლზე)-</t>
  </si>
  <si>
    <t>DIN ზოლი 35X7 მმ</t>
  </si>
  <si>
    <t>ავტომატური ამომრთველი 3P 160 A, C 6 ka</t>
  </si>
  <si>
    <t>ავტომატური ამომრთველი 3P 16A, C 6 ka</t>
  </si>
  <si>
    <t>ავტომატური ამომრთველი 3P 10 A, C 6 ka</t>
  </si>
  <si>
    <t>ავტომატური ამომრთველი 1P 10 A, C 6 ka</t>
  </si>
  <si>
    <t>ავტომატური ამომრთველი 1P 2 A, C 6 ka</t>
  </si>
  <si>
    <t>დიფერენციალური დაცვის 30 ma  ავტომატური ამომრთველი 2P 10 A C 6 ka</t>
  </si>
  <si>
    <t>დიფერენციალური დაცვის 30 ma  ავტომატური ამომრთველი 2P 2 A C 6 ka</t>
  </si>
  <si>
    <t>პერფორირებული პლასტმასის კაბელ-არხი 40X40 მმ -</t>
  </si>
  <si>
    <t>ავტომატური ამომრთველი 3P 80 A, C 6 ka</t>
  </si>
  <si>
    <t>კედელზე ჩამოსაკიდებელი მეტალის კარადა 400X300X200 მმ დაცვის კლასით IP34</t>
  </si>
  <si>
    <t>ავტომატური ამომრთველი 3P 20 A, C 6 ka</t>
  </si>
  <si>
    <t>დანულების 7 კონტაქტიანი ტერმინალი (დინ-ზოლზე)-</t>
  </si>
  <si>
    <t>დამიწების 7 კონტაქტიანი ტერმინალი (დინ-ზოლზე)-</t>
  </si>
  <si>
    <t>ავტომატური ამომრთველი 1P 2A, C 6 ka</t>
  </si>
  <si>
    <t>ფაზების კონტროლის რელე 380v 6A</t>
  </si>
  <si>
    <t>ძრავის დაცვის ავტომატი 3P 1,6-2,5A</t>
  </si>
  <si>
    <t>ელ.მაგნიტური გამშვები 220v 6A</t>
  </si>
  <si>
    <t>ავტომატური ამომრთველი 1P 10A, C 6 ka</t>
  </si>
  <si>
    <t>ძრავის დაცვის ავტომატი 3P 2,5-4A</t>
  </si>
  <si>
    <t>ფაზის დაცვის რელე 380v 6A</t>
  </si>
  <si>
    <t>კარადის კედელზე დასაყენებელი ორ პოზიციანი გადმრთველი 220 v  10 A  1 NO  კონტაქტით</t>
  </si>
  <si>
    <t>ძრავის დაცვის ავტომატი 3P 11-17A</t>
  </si>
  <si>
    <t>ელ.მაგნიტური გამშვები 220v 20A</t>
  </si>
  <si>
    <t>კედელზე ჩამოსაკიდებელი 8 მოდულიანი გარე გაყვანილობის პლასტმასის კარადა დაცვის კლასით IP65</t>
  </si>
  <si>
    <t>იატაკზე დასადგმელი მეტალის კარადა 1200X800X400 მმ დაცვის კლასით IP65</t>
  </si>
  <si>
    <t>ძრავის დაცვის ავტომატი 3P 4-6A</t>
  </si>
  <si>
    <t>ძრავის დაცვის ავტომატი 3P 5-8A</t>
  </si>
  <si>
    <t>ძრავის დაცვის ავტომატი 3P 18-26A</t>
  </si>
  <si>
    <t>4 კონტაქტიანი შუალედური რელე 220v 10A</t>
  </si>
  <si>
    <t>2 პოზიციანი გადამრთველი 220v 10A 1 NO კონტაქტით</t>
  </si>
  <si>
    <t>სახანძრო სიგნალიზაციის  IOM მოდული</t>
  </si>
  <si>
    <t>კედელზე ჩამოსაკიდი მეტალის კარადა 600X400X300 მმ დაცვის კლასით IP65</t>
  </si>
  <si>
    <t>კედელზე ჩამოსაკიდი მეტალის კარადა 400X300X200 მმ დაცვის კლასით IP65</t>
  </si>
  <si>
    <t>მართვის კარადის მონტაჟი</t>
  </si>
  <si>
    <t>კედელზე ჩამოსაკიდი მეტალის კარადა 300X250X200 მმ დაცვის კლასით IP34</t>
  </si>
  <si>
    <t>ავტომატური ამომრთველი 2P 6 A, C 6 ka</t>
  </si>
  <si>
    <t>მუდმივი კვების დენის ბლოკი 220/24v 5A</t>
  </si>
  <si>
    <t xml:space="preserve">4 კონტაქტიანი მუდმივი დენის 24v შუალედური რელე </t>
  </si>
  <si>
    <t xml:space="preserve">სადენების საკონტაქტო კლემა 2,5 მმ(დინ ზოლზე) </t>
  </si>
  <si>
    <t>პერფორირებული პლასტმასის კაბელ-არხი 25X25 მმ -</t>
  </si>
  <si>
    <t>შიდა გაყვანილობის კაბელები</t>
  </si>
  <si>
    <t>ძალოვანი კაბელი სპილენძის ძარღვით, სამმაგი იზოლაციით, PVC/PVC,  N2XH,  3X1 მმ/2,   0,23kv</t>
  </si>
  <si>
    <t>ძალოვანი კაბელი სპილენძის ძარღვით, სამმაგი იზოლაციით, PVC/PVC,  N2XH,  3X1,5 მმ/2,   0,23kv</t>
  </si>
  <si>
    <t>ძალოვანი კაბელი სპილენძის ძარღვით, სამმაგი იზოლაციით, PVC/PVC,  N2XH,  3X2,5 მმ/2,   0,23kv</t>
  </si>
  <si>
    <t>ძალოვანი კაბელი სპილენძის ძარღვით, სამმაგი იზოლაციით, PVC/PVC,  NYCWY,  3X6 მმ/2,   0,23kv</t>
  </si>
  <si>
    <t>ძალოვანი კაბელი სპილენძის ძარღვით, სამმაგი იზოლაციით, PVC/PVC,  N2XH,  5X1,5 მმ/2,   0,4kv</t>
  </si>
  <si>
    <t>ძალოვანი კაბელი სპილენძის ძარღვით, სამმაგი იზოლაციით, PVC/PVC,  N2XH,  5X2,5 მმ/2,   0,4kv</t>
  </si>
  <si>
    <t>ძალოვანი კაბელი სპილენძის ძარღვით, სამმაგი იზოლაციით, PVC/PVC,  N2XH,  5X4  მმ/2,   0,4kv</t>
  </si>
  <si>
    <t>ძალოვანი კაბელი სპილენძის ძარღვით, სამმაგი იზოლაციით, PVC/PVC,  N2XH,  5X10 მმ/2,   0,4kv</t>
  </si>
  <si>
    <t>ძალოვანი კაბელი სპილენძის ძარღვით, სამმაგი იზოლაციით, PVC/PVC,  N2XH,  5X16 მმ/2,   0,4kv</t>
  </si>
  <si>
    <t>ძალოვანი კაბელი სპილენძის ძარღვით, სამმაგი იზოლაციით, PVC/PVC,  N2XH,  5X50 მმ/2,   0,4kv</t>
  </si>
  <si>
    <t>ძალოვანი კაბელი სპილენძის ძარღვით, სამმაგი იზოლაციით, PVC/PVC,  N2XH,  5X70 მმ/2,   0,4kv</t>
  </si>
  <si>
    <t>ძალოვანი კაბელი სპილენძის ძარღვით, სამმაგი იზოლაციით, PVC/PVC,  N2XH,  5X150 მმ/2,   0,4kv</t>
  </si>
  <si>
    <t>ძალოვანი კაბელი სპილენძის ძარღვით, სამმაგი იზოლაციით, PVC/PVC,  N2XH,  4X2,5 მმ/2,   0,4kv</t>
  </si>
  <si>
    <t>მიწაში გაყვანილობის კაბელები</t>
  </si>
  <si>
    <t>ძალოვანი კაბელი სპილენძის ძარღვით, სამმაგი იზოლაციით, PVC/PVC,  NYCWY,  4X185+1X95 მმ/2,   0,4kv</t>
  </si>
  <si>
    <t>მიწაში გაყვანილობის გოფრირებული მილები</t>
  </si>
  <si>
    <t>გოფრირებული მილი ორმაგი იზოლაციით (წითელი) PVC/PVC Ø-100 მმ</t>
  </si>
  <si>
    <t>გოფრირებული მილი ორმაგი იზოლაციით (წითელი) PVC/PVC Ø-40 მმ</t>
  </si>
  <si>
    <t>გოფრირებული მილი ორმაგი იზოლაციით (წითელი) PVC/PVC Ø-32 მმ</t>
  </si>
  <si>
    <t>შიდა გაყვანილობის გოფრირებული მილი  PVC/PVC Ø-20 მმ</t>
  </si>
  <si>
    <t>შიდა გაყვანილობის კაბელ არხები</t>
  </si>
  <si>
    <t>ლითონის კაბელ არხი,სამაგრების კომპლექტით 150X50 მმ</t>
  </si>
  <si>
    <t>ლითონის კაბელ არხი ვერტიკალური, სამაგრების კომპლექტით PVC 150X50 მმ</t>
  </si>
  <si>
    <t>პლასტმასის კაბელ არხი  PVC 40X40 მმ</t>
  </si>
  <si>
    <t>როზეტები ჩამრთველები</t>
  </si>
  <si>
    <t>ერთმაგი შტეფსელის როზეტი, 2 კონტაქტიანი, მე-3 დამამიწებელი კონტაქტით, ღია გაყვანილობის 16A, 230V</t>
  </si>
  <si>
    <t>ორმაგი შტეფსელის როზეტი, 2 კონტაქტიანი, მე-3 დამამიწებელი კონტაქტით, ღია გაყვანილობის 16A, 230V</t>
  </si>
  <si>
    <t>ერთკლავიშიანი ჩამრთველი, ღია გაყვანილობის 10A, 230V</t>
  </si>
  <si>
    <t>ორკლავიშიანი ჩამრთველი, ღია გაყვანილობის 10A, 230V</t>
  </si>
  <si>
    <t>განათება</t>
  </si>
  <si>
    <t>გარე განათების LED სანათი, დაცვის კლასი IP67 530x240მმ, 4000K, 80W, 230V</t>
  </si>
  <si>
    <t>მეტალის საყრდენი ბოძი, კონსოლის ტიპის h=12000</t>
  </si>
  <si>
    <t>ელექტრო გამანაწილებელი კოლოფი, დაცვის კლასი IP67 100x100მმ</t>
  </si>
  <si>
    <t>ავტომატური ამომრთველი 1P2A 230V</t>
  </si>
  <si>
    <t>პროჟექტორული ტიპის LED სანათი, დაცვის კლასი IP67 250x200მმ, 60 W 230V</t>
  </si>
  <si>
    <t>სამრეწველო ხაზოვანი LED სანათი, დაცვის კლასი IP34 1500x100მმ, 4000K, 40W, 230V</t>
  </si>
  <si>
    <t>სამრეწველო ხაზოვანი აკუმულატორიანი LED სანათი, დაცვის კლასი IP34 1500x100მმ, 4000K, 40W, 230V</t>
  </si>
  <si>
    <t>სამრეწველო ხაზოვანი ლედ სანათი ,დაცვის კლასი IP34 1500x100მმ, 4000K, 50W, 230V</t>
  </si>
  <si>
    <t>ჭერზე ჩამოსაკიდი LED სანათი, დაცვის კლასი IP34 3000K, 18W, 230V</t>
  </si>
  <si>
    <t>ჭერზე ჩამოსაკიდი LED სანათი, დაცვის კლასი IP65 3000K, 18W, 230V</t>
  </si>
  <si>
    <t>ჭერზე ჩამოსაკიდი აკუმულატორიანი LED სანათი, დაცვის კლასი IP34 3000K, 18W, 230V</t>
  </si>
  <si>
    <t>ჭერზე ჩამოსაკიდი LED სანათი, დაცვის კლასი IP65 3000K, 12W, 230V</t>
  </si>
  <si>
    <t>საევაკუაციო აკუმულატორიანი LED ნიშანი 9W, 230V</t>
  </si>
  <si>
    <t>დიზელგენერატორი</t>
  </si>
  <si>
    <t>სამფაზა დიზელგენერატორი, ხმაურჩამხშობი გარსით</t>
  </si>
  <si>
    <t>მართვის ფარი</t>
  </si>
  <si>
    <t>მაცივარი 40°</t>
  </si>
  <si>
    <t>კომპრესორების ბლოკი 3 x 6GE-40Y, სამაცივრე სიმძლავრე Pმაც= 235 კვტ, მოხმარებული სიმძლავრე N=105კვტ, აორთქლების ტემპერატურა tაორ =0°C, კონდენსაციის ტემპერატურა tკონ =53°C, ფრეონი R404A</t>
  </si>
  <si>
    <t>მანქანები</t>
  </si>
  <si>
    <t>სახვა მასალები</t>
  </si>
  <si>
    <t>კონდენსატორი GVV 080.3A/2x3 (Güntner), გაგრილების სიმძლავრე Pკონ= 375 კვტ, Dt=15°, მოხმარებული სიმძლავრე N=5კვტ,  ფრეონი R404A</t>
  </si>
  <si>
    <t>ამაორთქლებელი GACC RX 050.1/4-70.E-1846018 (Güntner), გაგრილების სიმძლავრე 50 კვტ, მოხმარებული სიმძლავრე, N=2.1 კვტ+დეფროსტი 24.6 კვტ,  ფრეონი R404A</t>
  </si>
  <si>
    <t>ამაორთქლებლის საკიდი კონსტრუქცია</t>
  </si>
  <si>
    <t>დატვირთვის ზონა 120° + საწყობი 250° + საწყობი 130°</t>
  </si>
  <si>
    <t>ჩილერი NX2-G02 /0062, Pმაც= 43 კვტ, tგარე=38°, tin=8°,tout=3°, N=24კვტ, პროპილენგლიკოლი 25%, დაბინძ.კოეფ 0.044</t>
  </si>
  <si>
    <t>დრეკადი შეერთება DN40</t>
  </si>
  <si>
    <t>საცირკულაციო ტუმბოების მონტაჟი</t>
  </si>
  <si>
    <t>საცირკულაციო ტუმბო 7.8მ3/სთ, H=12მ</t>
  </si>
  <si>
    <t>მოდინებით-გამწოვი დანადგარი, სრული რეცირკულაცია, 15000მ3/სთ, 200პა, შეწოვილი და მიწოდებული ჰაერის პარამეტრები tშეწ=12°,RH=62% tმიწ=5°,RH=100%, წყლის 25%პროპილენგლიკოლის ნაზავის შემავალი და გამომავალი ტემპერატურები tin=3°,tout=8°, გაგარილების სიმძლავრე Pგაგ=35კვტ</t>
  </si>
  <si>
    <t>არხული ფანკოილი გაგრილების ნომინალური სიმძლავრით 3 კვტ</t>
  </si>
  <si>
    <t>კედლის თერმოსტატი (ფანკოილისთვის)</t>
  </si>
  <si>
    <t>სახანძრო ვენტილაცია</t>
  </si>
  <si>
    <t>SEF -1/2
(დერეფანი) ჰაერის კვამლგამწოვი ვენტილატორი  
მოხმარება -45000 მ3/სთ 
თავისუფალი წნევა - 300 პა
ელ. მოხმარება 11kw
ღერძული</t>
  </si>
  <si>
    <t>ოფისის გათობა-გაგრილება-ვენტილაცია</t>
  </si>
  <si>
    <t>გამწოვი ვენტილატორი 540მ³/სთ/150პა/0.07კვტ./230v-1-50hz  Ø200</t>
  </si>
  <si>
    <t>გამწოვი ვენტილატორი 540მ³/სთ/150პა/0.07კვტ./230v-1-50hz Ø200</t>
  </si>
  <si>
    <t>გამწოვი ვენტილატორი 510მ³/სთ/150პა/0.06კვტ./230v-1-50hz Ø200</t>
  </si>
  <si>
    <t>მოდინებითი ვენტილატორი 540მ³/სთ/150პა/0.07კვტ./230v-1-50hz  Ø200</t>
  </si>
  <si>
    <t>მოდინებითი ვენტილატორი 510მ³/სთ/150პა/0.06კვტ./230v-1-50hz Ø200</t>
  </si>
  <si>
    <t>VRF სისტემის გარე ბლოკი</t>
  </si>
  <si>
    <t>VRF სისტემის გარე ბლოკი 21.42KW გაგრილება 15.5KW გათბიბა</t>
  </si>
  <si>
    <t>სპილენძის მილების მონტაჟი</t>
  </si>
  <si>
    <t>სპილენძის მილი Ø67</t>
  </si>
  <si>
    <t>სპილენძის მილი Ø54</t>
  </si>
  <si>
    <t>სპილენძის მილი Ø42</t>
  </si>
  <si>
    <t>სპილენძის მილი Ø35</t>
  </si>
  <si>
    <t>სპილენძის მილი Ø28</t>
  </si>
  <si>
    <t>მილის საკიდები</t>
  </si>
  <si>
    <t>სხვა მასალები</t>
  </si>
  <si>
    <t>ფიტინგები მილების ღირებულების 10%</t>
  </si>
  <si>
    <t>მაცივარაგენტის დამატება სისტემაში</t>
  </si>
  <si>
    <t>მაცივარაგენტი R410A</t>
  </si>
  <si>
    <t xml:space="preserve">კაუჩუკის იზოლაცია </t>
  </si>
  <si>
    <t>კაუჩუკის შესაფუთი იზოლაცია 19მმ Ø67</t>
  </si>
  <si>
    <t>კაუჩუკის შესაფუთი იზოლაცია 19მმ Ø54</t>
  </si>
  <si>
    <t>კაუჩუკის შესაფუთი იზოლაცია 19მმ Ø42</t>
  </si>
  <si>
    <t>კაუჩუკის შესაფუთი იზოლაცია 19მმ Ø35</t>
  </si>
  <si>
    <t>კაუჩუკის შესაფუთი იზოლაცია 19მმ Ø28</t>
  </si>
  <si>
    <t>ვენტილების და სარქველების  მონტაჟი</t>
  </si>
  <si>
    <t>ბურთულა ონკანი DN40</t>
  </si>
  <si>
    <t>ბურთულა ონკანი DN65</t>
  </si>
  <si>
    <t>ბურთულა ონკანი DN20</t>
  </si>
  <si>
    <t>ორსვლიანი სარქველი</t>
  </si>
  <si>
    <t>პოლიპროპილენის მილების მონტაჟი</t>
  </si>
  <si>
    <t>მილი პოლიპროპილენის Ø75</t>
  </si>
  <si>
    <t>მილი პოლიპროპილენის Ø40</t>
  </si>
  <si>
    <t>მილი პოლიპროპილენის Ø25</t>
  </si>
  <si>
    <t>სავა მასალები</t>
  </si>
  <si>
    <t>სადრენაჟო მილების მონტაჟი</t>
  </si>
  <si>
    <t>პლასმასის საკანალიზაციო მილი Ø32</t>
  </si>
  <si>
    <t>ფიტინგები მილების ღირებულების 35%</t>
  </si>
  <si>
    <t>კაუჩუკის შესაფუთი იზოლაცია 13მმ Ø75</t>
  </si>
  <si>
    <t>კაუჩუკის შესაფუთი იზოლაცია 13მმ Ø40</t>
  </si>
  <si>
    <t>კაუჩუკის შესაფუთი იზოლაცია 13მმ Ø25</t>
  </si>
  <si>
    <t>ჰაერსატარი მოთუთიებული ფოლადის სისქით 0,5მმ მონტაჟი</t>
  </si>
  <si>
    <t>ჰაერსატარი მოთუთიებული სისქით 0.5მმ</t>
  </si>
  <si>
    <t>სამაგრები</t>
  </si>
  <si>
    <t>ჰაერსატარის იზოლაცია კაუჩუკით 9მმ სისქით</t>
  </si>
  <si>
    <t>კაუჩუკის იზოლაცია 9მმ სისქის</t>
  </si>
  <si>
    <t>ჰაერსატარის იზოლაცია ქვაბამბით 50მმ სისქით</t>
  </si>
  <si>
    <t>ფოლგიანი ქვაბამბის იზოლაცია 50მმ სისქის</t>
  </si>
  <si>
    <t>ქვაბამბის იზოლაციის შემოკვრა მოთუთიებული ფოლადის ფურცლით d=0.5მმ</t>
  </si>
  <si>
    <t>შრომის დანახარჯები</t>
  </si>
  <si>
    <t>თუნუქის მოთუთიებული ფურცელი 0.5მმ</t>
  </si>
  <si>
    <t>მრგვალი დიფუზორი Ø315</t>
  </si>
  <si>
    <t>მართკუთხა დიფუზორი 600x400</t>
  </si>
  <si>
    <t>ფიტინგები და სამაგრი დეტალები მთლიანი ღირებულების 35%</t>
  </si>
  <si>
    <t>ჰაერსატარი მოთუთიებული ფოლადის სისქით 0,5მმ მონტაჟი 1000x700მმ</t>
  </si>
  <si>
    <t>ჰაერსატარი მოთუთიებული სისქით 0.5მმ 1000x700მმ</t>
  </si>
  <si>
    <t>მილტუჩი (ფლიანეცი)</t>
  </si>
  <si>
    <t>მოტორიზებული კვამლის ფარსაკეტი AC/DC24V 400C რკინის ცხაურით 900x800მმ</t>
  </si>
  <si>
    <t>ოფისის ვენტილაცია</t>
  </si>
  <si>
    <t>ჰაერსატარი მოთუთიებული ფოლადის სისქით 0,5მმ მონტაჟი (Ø100,Ø125,Ø160,Ø200)</t>
  </si>
  <si>
    <t xml:space="preserve">ჰაერსატარი მოთუთიებული სისქით 0.5მმ </t>
  </si>
  <si>
    <t>ცხაურა Ø100</t>
  </si>
  <si>
    <t>ხმისდამხშობი Ø125</t>
  </si>
  <si>
    <t>ხმისდამხშობი Ø160</t>
  </si>
  <si>
    <t>ხმისდამხშობი Ø200</t>
  </si>
  <si>
    <t>მარეგულირებელი სარქველი  Ø100</t>
  </si>
  <si>
    <t>სპილენძის მილი Ø6.3</t>
  </si>
  <si>
    <t>სპილენძის მილი Ø9.52</t>
  </si>
  <si>
    <t>სპილენძის მილი Ø12.7</t>
  </si>
  <si>
    <t>სპილენძის მილი Ø15.88</t>
  </si>
  <si>
    <t>სპილენძის მილი Ø19.05</t>
  </si>
  <si>
    <t>დღიური მუშები</t>
  </si>
  <si>
    <t>სამშენებლო ნარჩენების დატვირთვა და გატანა</t>
  </si>
  <si>
    <t>კომპლ.</t>
  </si>
  <si>
    <t>დიფუზორების მონტაჟი</t>
  </si>
  <si>
    <t>ცხაურების მარეგულირებელი სარქველების და ხმაურდამხშობების  მონტაჟი</t>
  </si>
  <si>
    <t>კოაქსიალური საკვამლე მილი  Ø-110/160 მმ,სიგრძით L=1მ</t>
  </si>
  <si>
    <t>კოაქსიალური საკვამლე მილის მუხლი საკვამლე მილისთვის 90 º Ø-110/160 მმ. კონდენსატის გამყვანით. სიფონით.</t>
  </si>
  <si>
    <t>კოაქსიალური საკვამლე მილი  Ø-250/315 მმ,სიგრძით L=1მ</t>
  </si>
  <si>
    <t>კოაქსიალური საკვამლე მილის მუხლი საკვამლე მილისთვის 90 º Ø-250/315 მმ</t>
  </si>
  <si>
    <t>კოაქსიალური მილის ზესადები (ნაკლადკა) კედლის შიგნითა მხარისთვის Ø-250/315 მმ</t>
  </si>
  <si>
    <t>კოაქსიალური მილის დეკორატიული პანელი კედლის გარეთა მხარისთვის Ø-250/315 მმ</t>
  </si>
  <si>
    <t>ქვაბის ჩამოსაკიდი ბრჯენი (კრონშტეინი)</t>
  </si>
  <si>
    <t>ბუნებრივი ვენტილაციის დეფლექტორი, გამწოვი. ქარის, მზის (UV) გამოსხივებისგან და ატმოსფერული ნალექებისგან დამცავით. Ø-300. AIშI 316. DIN EN 1856-1:2003; AIშI 31L; DIN 1.4404 სტანდარტის შესაბამისი</t>
  </si>
  <si>
    <t>თერმომანომეტრი</t>
  </si>
  <si>
    <t>საქვაბის მაკომპლექტებელი მასალები</t>
  </si>
  <si>
    <t xml:space="preserve">ჰელიოსისტემა </t>
  </si>
  <si>
    <t>ჰელიოსისტემის მილგაყვანილობა თბოიზოლაციით. კომპლექტი</t>
  </si>
  <si>
    <t>მაკომპლექტებელი მასალები</t>
  </si>
  <si>
    <t xml:space="preserve">სამაცივრო დანადგარი </t>
  </si>
  <si>
    <t>სამაცივრო დანადგარის მაკომპლექტებელი მასალები</t>
  </si>
  <si>
    <t>ფენ-კოილები</t>
  </si>
  <si>
    <t>ჭერის კასეტური ფენ-კოილის ცხაურა, ჰაერის ნაკადის განაწილების 3 სახეობის სქემით: სტანდარტული; დიაგონალური; წრიული</t>
  </si>
  <si>
    <t xml:space="preserve">ჭერის კასეტური ფენ-კოილის სამაგრები (ბეტონის ფილაზე), კომპლექტით </t>
  </si>
  <si>
    <t>ფენ-კოილის სასიგნალო კაბელი</t>
  </si>
  <si>
    <t xml:space="preserve">სამსვლიანი სარქველი </t>
  </si>
  <si>
    <t>პოლიპროპილენის (პლასტმასის) კონდენსატის მილი Øგ-32 მმ. DIN 8078 სტანდარტის შესაბამისი</t>
  </si>
  <si>
    <t>პოლიპროპილენის (პლასტმასის) კონდენსატის მილი Øგ-40 მმ. DIN 8078 სტანდარტის შესაბამისი</t>
  </si>
  <si>
    <t>პოლიპროპილენის (პლასტმასის) კონდენსატის მილი Øგ-50 მმ. DIN 8078 სტანდარტის შესაბამისი</t>
  </si>
  <si>
    <t>პოლიპროპილენის (პლასტმასის) კონდენსატის მილი Øგ-63 მმ. DIN 8078 სტანდარტის შესაბამისი</t>
  </si>
  <si>
    <t>პოლიპროპილენის (პლასტმასის) კონდენსატის მილი Øგ-75 მმ. DIN 8078 სტანდარტის შესაბამისი</t>
  </si>
  <si>
    <t>მილგაყვანილობის სამაგრი (ჭერზე, კედელზე დასამაგრებელი ლითონის კრონშტეინი,თავისი დუბელებით)</t>
  </si>
  <si>
    <t>მილგაყვანილობის მაკომპლექტებელი მასალები.მილების ღირებულების 50 %</t>
  </si>
  <si>
    <t>საინსტალაციო მასალები</t>
  </si>
  <si>
    <t>კონდიციონერები. პერსონალის ოთახი. სერვერი, UPშ.</t>
  </si>
  <si>
    <t>კონდიციონერის თერმოსტატი (სტაციონარული სამართავი პულტი), სტანდარტული. კედელზე დასამაგრებელი</t>
  </si>
  <si>
    <t>სპლიტ სისტემის კონდიციონერის სასიგნალო კაბელი</t>
  </si>
  <si>
    <t>5.3 კვტ-იანი სპლიტ სისტემის კონდიციონერის მილგაყვანილობა. კომლექტი</t>
  </si>
  <si>
    <t xml:space="preserve">საინსტალაციო მასალები </t>
  </si>
  <si>
    <t>მ.ს#1;გ.ს#1</t>
  </si>
  <si>
    <t>სავენტილაციო დანადგარის თერმოსტატი (სტაციონარული სამართავი პულტი), სტანდარტული. კედელზე დასამაგრებელი</t>
  </si>
  <si>
    <t>1) ჰაერმიმღები კამერა</t>
  </si>
  <si>
    <t>2) ფილტრები G4 და F7 კლასის</t>
  </si>
  <si>
    <t>5) მიმწოდებელი ვენტილატორი L = 938 მ³/სთ; N = 1.8 კვტ. (400ვ)</t>
  </si>
  <si>
    <t>6) გამწოვი ვენტილატორი L = 938 მ³/სთ; N = 1.8 კვტ. (400ვ)</t>
  </si>
  <si>
    <t>7) ჰაერგამწოვი კამერა</t>
  </si>
  <si>
    <t>8) დროსელ სარქველი, ავტომატური</t>
  </si>
  <si>
    <t xml:space="preserve">9) რეცირკულაციის ვენტილატორი N = 1.8 კვტ. </t>
  </si>
  <si>
    <t>ვენტილატორის ძრავის გადახურებისგან დამცველი</t>
  </si>
  <si>
    <t>ვენტილატორის ძრავის სიხშირის მარეგულირებელი</t>
  </si>
  <si>
    <t>მ.ს#2;გ.ს#2</t>
  </si>
  <si>
    <t>მ.ს#3;გ.ს#3</t>
  </si>
  <si>
    <t>5) მიმწოდებელი ვენტილატორი L = 2 125 მ³/სთ; N = 1.8 კვტ. (400ვ)</t>
  </si>
  <si>
    <t>6) გამწოვი ვენტილატორი L =2 125 მ³/სთ; N = 1.8 კვტ. (400ვ)</t>
  </si>
  <si>
    <t>მ.ს#4;გ.ს#4</t>
  </si>
  <si>
    <t>მ.ს#4.1;გ.ს#4.1</t>
  </si>
  <si>
    <t>მ.ს#5;გ.ს#5</t>
  </si>
  <si>
    <t>5) მიმწოდებელი ვენტილატორი L = 1 649 მ³/სთ; N = 1.8 კვტ. (400ვ)</t>
  </si>
  <si>
    <t>6) გამწოვი ვენტილატორი L =1 649 მ³/სთ; N = 1.8 კვტ. (400ვ)</t>
  </si>
  <si>
    <t>მ.ს#6;გ.ს#6</t>
  </si>
  <si>
    <t>მ.ს#6.1;გ.ს#6.1</t>
  </si>
  <si>
    <t>მ.ს#7.გ.ს#7</t>
  </si>
  <si>
    <t>5) შემრევი სექცია</t>
  </si>
  <si>
    <t>6) მიმწოდებელი ვენტილატორი L = 1685 მ³/სთ; N = 0.9 კვტ. დანადგარიდან გამომავალი სტატიკური წნევა P = 400 პა (230ვ)</t>
  </si>
  <si>
    <t>7) გამწოვი ვენტილატორი L = 1685 მ³/სთ; N = 0.9 კვტ. დანადგარიდან გამომავალი სტატიკური წნევა P = 400 პა (230ვ)</t>
  </si>
  <si>
    <t>8) ჰაერგამწოვი კამერა</t>
  </si>
  <si>
    <t>9) დროსელ სარქველი, ავტომატური</t>
  </si>
  <si>
    <t>ხმის ჩამხშობი ლ =0.5მ. L=1685 მ ³/სთ. სველი წმენდით.</t>
  </si>
  <si>
    <t>მ.ს#8.გ.ს#8</t>
  </si>
  <si>
    <t>6) მიმწოდებელი ვენტილატორი L = 2685 მ³/სთ; N = 0.9 კვტ. დანადგარიდან გამომავალი სტატიკური წნევა P = 400 პა (230ვ)</t>
  </si>
  <si>
    <t>7) გამწოვი ვენტილატორი L = 1580 მ³/სთ; N = 0.9 კვტ. დანადგარიდან გამომავალი სტატიკური წნევა P = 400 პა (230ვ)</t>
  </si>
  <si>
    <t>ხმის ჩამხშობი ლ =0.5მ. L=2685 მ ³/სთ. სველი წმენდით.</t>
  </si>
  <si>
    <t>მ.ს#9.გ.ს#9</t>
  </si>
  <si>
    <t>6) მიმწოდებელი ვენტილატორი L = 1260 მ³/სთ; N = 0.9 კვტ. დანადგარიდან გამომავალი სტატიკური წნევა P = 400 პა (230ვ)</t>
  </si>
  <si>
    <t>7) გამწოვი ვენტილატორი L = 770 მ³/სთ; N = 0.9 კვტ. დანადგარიდან გამომავალი სტატიკური წნევა P = 400 პა (230ვ)</t>
  </si>
  <si>
    <t>ხმის ჩამხშობი ლ =0.5მ. L=1260 მ ³/სთ. სველი წმენდით.</t>
  </si>
  <si>
    <t>სავენტილაციო ცხაურები, ჰაერსატარები, დროსელ-სარქველები</t>
  </si>
  <si>
    <t>არსებულ 20 სმ-იან რკინაბეტონის ფილაში ხვრელის ამოჭრა ბეტონის მრგვალი მჭრელით. დიამეტრით 300 მმ. ჰიდროიზოლაციის მოწყობა ფილაში ამოჭრილი ხვრელის გარშემო.</t>
  </si>
  <si>
    <t>ვენტილაციის სისტემის მომსახურების ლუქი 450 მმ ხ 450 მმ</t>
  </si>
  <si>
    <t>გაზქურის ამწოვი ქოლგა L-500 მ³/სთ. უჟანგავი ფოლადის. ტექნოლოგიის მიხედვით. 0.6 მ ხ 0.7მ. N=0.3 კვტ.(230ვ)</t>
  </si>
  <si>
    <t xml:space="preserve">ჰაერსატარი მოთუთიებული ფურცლოვანი ფოლადის δ=0,7 მმ </t>
  </si>
  <si>
    <t xml:space="preserve">ჰაერსატარი მოთუთიებული ფურცლოვანი ფოლადის δ=0,55 მმ </t>
  </si>
  <si>
    <t>ჰაერსატარების სამაგრი (ჭერზე დასამაგრებელი ლითონის კრონშტეინი,თავისი დუბელებით)</t>
  </si>
  <si>
    <t>ჰაერსატარების მაკომპლექტებელი მასალები</t>
  </si>
  <si>
    <t>საკომუნიკაციო შახტების შევსება ცეცხლმედეგი ქაფით (სხვა ტიპის ცეცხლის შემაჩერებელი მასალებით) მოქმედი სტანდარტების შესაბამისად. EI 120.</t>
  </si>
  <si>
    <t>საკომუნიკაციო შახტების შევსება პოლიურეთანის თბოიზოლაციით. მოქმედი სტანდარტების შესაბამისად. სისქე 30 სმ.</t>
  </si>
  <si>
    <t>გ.ს.სან-კვანძები</t>
  </si>
  <si>
    <t>ვენტილატორის სტაციონარული სამართავი პულტი, სტანდარტული. კედელზე დასამაგრებელი.</t>
  </si>
  <si>
    <t>გ.ს. კვამლის გამწოვი სისტემა</t>
  </si>
  <si>
    <t>ჩO-ს დეტექტორი, სტანდარტული. კედელზე დასამაგრებელი</t>
  </si>
  <si>
    <t>ბუნებრივი ვენტილაცია</t>
  </si>
  <si>
    <t>ხისტი სამაგრები, ქარის, მზის (UV) გამოსხივებისგან და ატმოსფერული ნალექებისგან დამცავი. ბუნებრივი ვენტილაციის მილების ვერტიკალურად დამაგრება ფილის ზევით. მილის სიმაღლე 2 მეტრი.</t>
  </si>
  <si>
    <t>სამაგრი (კედელზე დასამაგრებელი ლითონის კრონშტეინი,თავისი დუბელებით)</t>
  </si>
  <si>
    <t xml:space="preserve">უჟანგავი ფოლადის მილის მაკომპლექტებელი მასალები. შესადუღებელი მასალები. სამაგრი მასალები. </t>
  </si>
  <si>
    <t>უჟანგავი ფოლადის მილის დეფლექტორზე გადამყვანი დეტალი. Ø - 200 მმ.</t>
  </si>
  <si>
    <t>უჟანგავი ფოლადის მილის დეფლექტორზე გადამყვანი დეტალი. Ø - 300 მმ.</t>
  </si>
  <si>
    <t>ბუნებრივი ვენტილაციის დეფლექტორი, გამწოვი. ქარის, მზის (UV) გამოსხივებისგან და ატმოსფერული ნალექებისგან დამცავით. Ø-200. AIშI 316. DIN EN 1856-1:2003; DIN 1.4404 სტანდარტის შესაბამისი</t>
  </si>
  <si>
    <t>ბუნებრივი ვენტილაციის დეფლექტორი, გამწოვი. ქარის, მზის (UV) გამოსხივებისგან და ატმოსფერული ნალექებისგან დამცავით. Ø-300. AIშI 316. DIN EN 1856-1:2003; DIN 1.4404 სტანდარტის შესაბამისი</t>
  </si>
  <si>
    <t>გ.ს. საწყობებს შორის არსებული გარე (ღია/დახურული) სივრცე</t>
  </si>
  <si>
    <t>ჩO-ს დეტექტორი, , არასტანდარტული. სრულად ავტომატიზირებული. კედელზე დასამაგრებელი.</t>
  </si>
  <si>
    <t xml:space="preserve">მილგაყვანილობა </t>
  </si>
  <si>
    <t>ფოლადის მილი  Øშ-80 მმ. გაძლიერებული სისქის, ГОСТ 3262-75 სტანდარტის შესაბამისი</t>
  </si>
  <si>
    <t>ფოლადის მილი  Øშ-100 მმ. გაძლიერებული სისქის, ГОСТ 3262-75 სტანდარტის შესაბამისი</t>
  </si>
  <si>
    <t>ფოლადის მილი Øშ-80/Øგ-160 მმ,  ქარხნული იზოლაციით. მილგაყვანილობის მაკომპლექტებელი მასალებით. ტიპი-მიწისქვეშა. AIშI 31 L; EN 253; EN 448; EN 488; EN 489; EN 14419; EN 10216; EN 10217  სტანდარტის შესაბამისი</t>
  </si>
  <si>
    <t>ფოლადის მილი Øშ-100/Øგ-200 მმ, ქარხნული იზოლაციით. მილგაყვანილობის მაკომპლექტებელი მასალებით. ტიპი-მიწისზედა. AIშI 31 L; EN 253; EN 448; EN 488; EN 489; EN 14419; EN 10216; EN 10217  სტანდარტის შესაბამისი</t>
  </si>
  <si>
    <t>ფოლადის მილი Øშ-150/Øგ-200 მმ, ქარხნული იზოლაციით. მილგაყვანილობის მაკომპლექტებელი მასალებით. ტიპი-მიწისზედა. AIშI 31 L; EN 253; EN 448; EN 488; EN 489; EN 14419; EN 10216; EN 10217  სტანდარტის შესაბამისი</t>
  </si>
  <si>
    <t xml:space="preserve">მილის თბური დაგრძელების კომპენსატორი </t>
  </si>
  <si>
    <t>ფოლადის კოლექტორი  Øშ-150 მმ L=1.5 მეტრი</t>
  </si>
  <si>
    <t>ფოლადის კოლექტორი  Øშ-200 მმ L=1.5 მეტრი</t>
  </si>
  <si>
    <t>პოლიპროპილენის (პლასტმასის) ალუმინიანი მილი Øგ-20 მმ. DIN 8078 სტანდარტის შესაბამისი</t>
  </si>
  <si>
    <t>პოლიპროპილენის (პლასტმასის) ალუმინიანი მილი Øგ-25 მმ. DIN 8078 სტანდარტის შესაბამისი</t>
  </si>
  <si>
    <t>პოლიპროპილენის (პლასტმასის) ალუმინიანი მილი Øგ-32 მმ. DIN 8078 სტანდარტის შესაბამისი</t>
  </si>
  <si>
    <t>პოლიპროპილენის (პლასტმასის) ალუმინიანი მილი Øგ-40 მმ. DIN 8078 სტანდარტის შესაბამისი</t>
  </si>
  <si>
    <t>პოლიპროპილენის (პლასტმასის) ალუმინიანი მილი Øგ-50 მმ. DIN 8078 სტანდარტის შესაბამისი</t>
  </si>
  <si>
    <t>პოლიპროპილენის (პლასტმასის) ალუმინიანი მილი Øგ-63 მმ. DIN 8078 სტანდარტის შესაბამისი</t>
  </si>
  <si>
    <t>პოლიპროპილენის (პლასტმასის) ალუმინიანი მილი Øგ-75 მმ. DIN 8078 სტანდარტის შესაბამისი</t>
  </si>
  <si>
    <t>არსებულ 20 სმ-იან რკინაბეტონის ფილაში ღიობის ამოჭრა ბეტონის მრგვალი მჭრელით. დიამეტრით 100 მმ. ჰიდროიზოლაციის მოწყობა ფილაში ამოჭრილი ხვრელის გარშემო.</t>
  </si>
  <si>
    <t>მილგაყვანილობის სამაგრი (სახურავზე დასამაგრებელი ლითონის ასაწყობი კრონშტეინი, თავისი დუბელებით, მაკომპლექტებელი მასალებით). იხ.პროექტის დეტალები.</t>
  </si>
  <si>
    <t>ბეტონის მიწისქვეშა არხი. შიგა ზომა - 1000 მმ X 500 მმ. წყალგაუმტარი, ზევიდან მომსახურების შესაძლებლობით. იხ. კონსტრუქციულ ნაწილში.</t>
  </si>
  <si>
    <t>საინსტალაციო მასალები(შესაფუთი, რკინის მასალები, შესადუღებელი მასალები).მასალების ტრანსპორტირება</t>
  </si>
  <si>
    <t>ჰაერის (თბური) ფარდა</t>
  </si>
  <si>
    <t xml:space="preserve">18 კვტ-იანი ჰაერის ფარდის მარეგულირებელი სარქველი </t>
  </si>
  <si>
    <t>18 კვტ-იანი ჰაერის ფარდის ავტომატიკა, სტანდარტული</t>
  </si>
  <si>
    <t xml:space="preserve">18 კვტ-იანი ჰაერის ფარდის თერმოსტატი </t>
  </si>
  <si>
    <t xml:space="preserve">22 კვტ-იანი ჰაერის ფარდის მარეგულირებელი სარქველი </t>
  </si>
  <si>
    <t>22 კვტ-იანი ჰაერის ფარდის ავტომატიკა, სტანდარტული</t>
  </si>
  <si>
    <t xml:space="preserve">22 კვტ-იანი ჰაერის ფარდის თერმოსტატი </t>
  </si>
  <si>
    <t>ჰაერის ფარდის დეკორატიული სამაგრი-გვარლი (ჭერზე დასამაგრებელი  კრონშტეინი, კომპლექტი)</t>
  </si>
  <si>
    <t>გაზის ვენტილი Ø-1-1/4</t>
  </si>
  <si>
    <t>კედლის, კონდენსაციური ტიპის წყალგამაცხელებელი ქვაბი - 100 კვტ-იანი, დახურული წვის კამერით. ნამწვი აირის და გარე ჰაერის მიმღები მილების მიერთებით. ქვაბების კასკადური შეერთებით. მართვის ბლოკით (ჰელიოსისტემის, ცხელი წყლის ბოილერის, გათბობის საცირკულაციო ტუმბოების რეგულირებით, გარე ტემპერატურის გადამწოდით, ჰიდრავლიკური ისარის რეგულირებით,შემრევის მოდულით, დისტანციური მართვით, ოთახის ტემპერატურის მიხედვით მართვა). 90/396/EWG; DIN 3368; EN 297; EN 483; EN 437; EN 677 სტანდარტის შესაბამისი. დეტალური სპეციფიკაცია იხილეთ ტექნიკურ დოკუმენტაციაში.</t>
  </si>
  <si>
    <t xml:space="preserve">ჰიდრავლიკური ისარი, 400 კვტ-ზე. ISO 9001; სტანდარტის შესაბამისი. წყლის ხარჯი 35 მ³/სთ </t>
  </si>
  <si>
    <t xml:space="preserve">კონდესატის ნეიტრალიზატორი, 300-500 კვტ-ზე. ISO 9001; სტანდარტის შესაბამისი. 70 ლ/სთ </t>
  </si>
  <si>
    <t>ჰელიოსისტემის სამსვლიანი სარქველი 1.1/4</t>
  </si>
  <si>
    <t>სამსვლიანი სარქველი 2"</t>
  </si>
  <si>
    <t>სამსვლიანი სარქველი 3"</t>
  </si>
  <si>
    <t>სამსვლიანი სარქველი 4"</t>
  </si>
  <si>
    <t>საცირკულაციო ტუმბო, სამ სიჩქარიანი, მართვის ბლოკით, სამონტაჟო კომპლექტით. H=10.0 მ. G=0.1 მ³/სთ. ISO 9001; ISO 14001; VDA 6.1. სტანდარტის შესაბამისი</t>
  </si>
  <si>
    <t>საცირკულაციო ტუმბო, სიხშირული მართვით, მართვის ბლოკით, სამონტაჟო კომპლექტით. H=4.5 მ. G=35.0 მ³/სთ. ISO 9001; ISO 14001; VDA 6.1. სტანდარტის შესაბამისი</t>
  </si>
  <si>
    <t>საცირკულაციო ტუმბო, სიხშირული მართვით, მართვის ბლოკით, სამონტაჟო კომპლექტით. H=8.0 მ. G=2.0 მ³/სთ. ISO 9001; ISO 14001; VDA 6.1. სტანდარტის შესაბამისი</t>
  </si>
  <si>
    <t>საცირკულაციო ტუმბო, სიხშირული მართვით, მართვის ბლოკით, სამონტაჟო კომპლექტით. H=8.5 მ. G=5.0 მ³/სთ. ISO 9001; ISO 14001; VDA 6.1. სტანდარტის შესაბამისი</t>
  </si>
  <si>
    <t>საცირკულაციო ტუმბო, სიხშირული მართვით, მართვის ბლოკით, სამონტაჟო კომპლექტით. H=9.5 მ. G=6.0 მ³/სთ. ISO 9001; ISO 14001; VDA 6.1. სტანდარტის შესაბამისი</t>
  </si>
  <si>
    <t>საცირკულაციო ტუმბო, სიხშირული მართვით, მართვის ბლოკით, სამონტაჟო კომპლექტით. H=5.0 მ. G=7.0 მ³/სთ. ISO 9001; ISO 14001; VDA 6.1. სტანდარტის შესაბამისი</t>
  </si>
  <si>
    <t>საცირკულაციო ტუმბო, სიხშირული მართვით, მართვის ბლოკით, სამონტაჟო კომპლექტით. H=11.5 მ. G=9.0 მ³/სთ. ISO 9001; ISO 14001; VDA 6.1. სტანდარტის შესაბამისი</t>
  </si>
  <si>
    <t>საცირკულაციო ტუმბო, სიხშირული მართვით, მართვის ბლოკით, სამონტაჟო კომპლექტით. H=9.5 მ. G=8.0 მ³/სთ. ISO 9001; ISO 14001; VDA 6.1. სტანდარტის შესაბამისი</t>
  </si>
  <si>
    <t>საცირკულაციო ტუმბო, სიხშირული მართვით, მართვის ბლოკით, სამონტაჟო კომპლექტით. H=13.5 მ. G=16.0 მ³/სთ. ISO 9001; ISO 14001; VDA 6.1. სტანდარტის შესაბამისი</t>
  </si>
  <si>
    <t>საცირკულაციო ტუმბო, სიხშირული მართვით, მართვის ბლოკით, სამონტაჟო კომპლექტით. H=10.0 მ. G=17.0 მ³/სთ. ISO 9001; ISO 14001; VDA 6.1. სტანდარტის შესაბამისი</t>
  </si>
  <si>
    <t>საცირკულაციო ტუმბო, სიხშირული მართვით, მართვის ბლოკით, სამონტაჟო კომპლექტით. H=11.0 მ. G=28.0 მ³/სთ. ISO 9001; ISO 14001; VDA 6.1. სტანდარტის შესაბამისი</t>
  </si>
  <si>
    <t xml:space="preserve">ჰელიოსისტემა (მზის კოლექტორი, პანელი), L 2000 ხ D 1000 ხ H 70 (მმ). სამონტაჟო კომპლექტით. მართვის ბლოკით. თერმომეტრით. მანომეტრით. საცირკულაციო ტუმბოთი. მარეგულირებელი თერმოსტატით. ბრტყელ გადახურვაზე დასამაგრებელი სამაგრებით (კრონშტეინებით). გადახურებისგან დამცავი მექანიზმით. ISO 9001; DIN EN 676; DIN EN 267  სტანდარტის შესაბამისი. დეტალური სპეციფიკაცია იხილეთ ტექნიკურ დოკუმენტაციაში. </t>
  </si>
  <si>
    <t>საცირკულაციო ტუმბო, სამ სიჩქარიანი, სამონტაჟო კომპლექტით. H=8.0 მ. G=0.1 მ³/სთ. ISO 9001; ISO 14001; VDA 6.1. სტანდარტის შესაბამისი</t>
  </si>
  <si>
    <t>მოქნილი სავენტილაციო არხები, 25 მმ - იანი იზოლაციით Ø-100 მმ. ISO 9001:2000 სტანდარტის შესაბამისი</t>
  </si>
  <si>
    <t>მოქნილი სავენტილაციო არხები, 25 მმ - იანი იზოლაციით Ø-125 მმ. ISO 9001:2000 სტანდარტის შესაბამისი</t>
  </si>
  <si>
    <t>მოქნილი სავენტილაციო არხები, 25 მმ - იანი იზოლაციით Ø-160 მმ. ISO 9001:2000 სტანდარტის შესაბამისი</t>
  </si>
  <si>
    <t>მოქნილი სავენტილაციო არხები, 25 მმ - იანი იზოლაციით Ø-200 მმ. ISO 9001:2000 სტანდარტის შესაბამისი</t>
  </si>
  <si>
    <t>მოქნილი სავენტილაციო არხები, 25 მმ - იანი იზოლაციით Ø-250 მმ. ISO 9001:2000 სტანდარტის შესაბამისი</t>
  </si>
  <si>
    <t>ავტომატური ჰაერგამშვები - ჰაერშემკრები ურდულით. ISO 9001:2000 სტანდარტის შესაბამისი</t>
  </si>
  <si>
    <t>30 მმ - იანი კაუჩუკის თბოიზოლაცია, Øგ-20 მმ-იანი  მილისთვის.  ISO 9001:2000 სტანდარტის შესაბამისი</t>
  </si>
  <si>
    <t>30 მმ - იანი კაუჩუკის თბოიზოლაცია, Øგ-25 მმ-იანი  მილისთვის.  ISO 9001:2000 სტანდარტის შესაბამისი</t>
  </si>
  <si>
    <t>30 მმ - იანი კაუჩუკის თბოიზოლაცია, Øგ-32 მმ-იანი  მილისთვის.  ISO 9001:2000 სტანდარტის შესაბამისი</t>
  </si>
  <si>
    <t>30 მმ - იანი კაუჩუკის თბოიზოლაცია, Øგ-40 მმ-იანი  მილისთვის.  ISO 9001:2000 სტანდარტის შესაბამისი</t>
  </si>
  <si>
    <t>30 მმ - იანი კაუჩუკის თბოიზოლაცია, Øგ-50 მმ-იანი  მილისთვის.  ISO 9001:2000 სტანდარტის შესაბამისი</t>
  </si>
  <si>
    <t>30 მმ - იანი კაუჩუკის თბოიზოლაცია, Øგ-75 მმ-იანი  მილისთვის.  ISO 9001:2000 სტანდარტის შესაბამისი</t>
  </si>
  <si>
    <t>საფართოებელი ჭურჭელი 50 ლიტრიანი. მინ.-10C°,მაქ. +99C°</t>
  </si>
  <si>
    <t>საფართოებელი ჭურჭელი 200 ლიტრიანი. მინ.-10C°,მაქ. +99C°</t>
  </si>
  <si>
    <t>საფართოებელი ჭურჭელი 500 ლიტრიანი. მინ.-10C°,მაქ. +99C°</t>
  </si>
  <si>
    <t xml:space="preserve">ჰაერის (თბური) ფარდა, 18 კვტ-იანი. ჭერის ტიპის. წყლის კალორიფერით,  გათბობა, წ.ტ. (+70 C°) - ( + 60 C°), N=1 ხ 0.7 კვტ (230ვ). დაყენების სიმაღლე 3.0 მეტრი. გათბობის კალორიფერით. წყლის წნევის კარგვა არის 1.5 მეტრი, წ.სვეტი. სამონტაჟო კომპლექტით. L=2.04 მ. D=0.53 მ. H=0.31 მ. ISO 9001; ISO 14001 სტანდარტის შესაბამისი </t>
  </si>
  <si>
    <t xml:space="preserve">ჰაერის (თბური) ფარდა, 22 კვტ-იანი. ჭერის ტიპის. წყლის კალორიფერით,  გათბობა, წ.ტ. (+70 C°) - ( + 60 C°), N=1 ხ 0.9 კვტ (230ვ). დაყენების სიმაღლე 3.0 მეტრი. გათბობის კალორიფერით. წყლის წნევის კარგვა არის 1.5 მეტრი, წ.სვეტი. სამონტაჟო კომპლექტით. L=2.55 მ. D=0.53 მ. H=0.31 მ. ISO 9001; ISO 14001 სტანდარტის შესაბამისი </t>
  </si>
  <si>
    <t>ავტომატური ჰაერგამშვები 1"</t>
  </si>
  <si>
    <t>დამცველი სარქველი 1.1/2"; 3 ბარიანი</t>
  </si>
  <si>
    <t>დამცველი სარქველი 1.1/4"; 7 ბარიანი</t>
  </si>
  <si>
    <t>ზამბარიანი უკუსარქველი ლატუნის ჩამკეტით 1-1/4"</t>
  </si>
  <si>
    <t>ზამბარიანი უკუსარქველი ლატუნის ჩამკეტით 2"</t>
  </si>
  <si>
    <t>ზამბარიანი უკუსარქველი ლატუნის ჩამკეტით 3"</t>
  </si>
  <si>
    <t>ზამბარიანი უკუსარქველი ლატუნის ჩამკეტით 4"</t>
  </si>
  <si>
    <t>ვენტილი ამერიკანკა 1/2"</t>
  </si>
  <si>
    <t>ვენტილი 3/4"</t>
  </si>
  <si>
    <t>ვენტილი ამერიკანკა 1"</t>
  </si>
  <si>
    <t>ურდული 2"</t>
  </si>
  <si>
    <t>ურდული 3"</t>
  </si>
  <si>
    <t>ურდული 4"</t>
  </si>
  <si>
    <t>ურდული 6"</t>
  </si>
  <si>
    <t>გათბობა</t>
  </si>
  <si>
    <t>ხარჯის ავტომატური მარეგულირებელი, ბალანსირებადი სარქველი, სრული კომპლექტით 2". ISO 9001:2000 სტანდარტის შესაბამისი</t>
  </si>
  <si>
    <t>ხარჯის ავტომატური მარეგულირებელი, ბალანსირებადი სარქველი, სრული კომპლექტით 3". ISO 9001:2000 სტანდარტის შესაბამისი</t>
  </si>
  <si>
    <t>ხარჯის ავტომატური მარეგულირებელი, ბალანსირებადი სარქველი, სრული კომპლექტით 4". ISO 9001:2000 სტანდარტის შესაბამისი</t>
  </si>
  <si>
    <t>ავტომატური ჰაერგამშვები (შემკრები) 1"</t>
  </si>
  <si>
    <t>დამცველი სარქველი 1.1/4" 7 ბარიანი</t>
  </si>
  <si>
    <t>ვენტილი ამერიკანკა 3/4"</t>
  </si>
  <si>
    <t>ურდული (ვენტილი) ამერიკანკა 1-1/4"</t>
  </si>
  <si>
    <t>ურდული 1-1/2"</t>
  </si>
  <si>
    <t>ჰაერსატარების, ქვაბამბის 50 მმ - იანი თბოიზოლაცია, მაკომპლექტებელი მასალებით (წებო,სამაგრი,იზოლენტა), მაქ. ტემპერატურის მედეგობა 400 C° ЕI 120. ISO 9001:2000 სტანდარტის შესაბამისი</t>
  </si>
  <si>
    <t>ჰაერსატარების, ქვაბამბის 100 მმ - იანი თბოიზოლაცია, მაკომპლექტებელი მასალებით (წებო,სამაგრი,იზოლენტა), მაქ. ტემპერატურის მედეგობა 400 C° ЕI 120. ISO 9001:2000 სტანდარტის შესაბამისი</t>
  </si>
  <si>
    <t>ჰაერსატარი მოთუთიებული ფურცლოვანი ფოლადის Ø-100 მმ, δ=0,55 მმ. ქვაბამბის 50 მმ - იანი თბოიზოლაციით. მაქ. ტემპერატურის მედეგობა 400 C° ЕI 120.  ISO 9001:2000 სტანდარტის შესაბამისი</t>
  </si>
  <si>
    <t>ჰაერსატარი მოთუთიებული ფურცლოვანი ფოლადის Ø-125 მმ, δ=0,55 მმ. ქვაბამბის 50 მმ - იანი თბოიზოლაციით. მაქ. ტემპერატურის მედეგობა 400 C° ЕI 120.  ISO 9001:2000 სტანდარტის შესაბამისი</t>
  </si>
  <si>
    <t>ჰაერსატარი მოთუთიებული ფურცლოვანი ფოლადის Ø-160 მმ, δ=0,55 მმ. ქვაბამბის 50 მმ - იანი თბოიზოლაციით. მაქ. ტემპერატურის მედეგობა 400 C° ЕI 120.  ISO 9001:2000 სტანდარტის შესაბამისი</t>
  </si>
  <si>
    <t>ჰაერსატარი მოთუთიებული ფურცლოვანი ფოლადის Ø-200 მმ, δ=0,55 მმ. ქვაბამბის 50 მმ - იანი თბოიზოლაციით. მაქ. ტემპერატურის მედეგობა 400 C° ЕI 120.  ISO 9001:2000 სტანდარტის შესაბამისი</t>
  </si>
  <si>
    <t>ჰაერსატარი მოთუთიებული ფურცლოვანი ფოლადის Ø-250 მმ, δ=0,55 მმ. ქვაბამბის 50 მმ - იანი თბოიზოლაციით. მაქ. ტემპერატურის მედეგობა 400 C° ЕI 120.  ISO 9001:2000 სტანდარტის შესაბამისი</t>
  </si>
  <si>
    <t>ჰელიოსისტემის პოლიპროპილენ-გლიკოლი,  -37 C°. +170 C°.  50 ლიტრი</t>
  </si>
  <si>
    <t>ჰაერსატარი ფოლადის, სახანძრო ვენტილაციის, მაქ. ტემპერატურის მედეგობა 1100 C° - 2,5 სთ-ის განმავლობაში. ЕI 150. მინიმალური სისქე δ=1,5 მმ. GOშთ_19904-90. სტანდარტის შესაბამისი</t>
  </si>
  <si>
    <t>ავტომატური დროსელ სარქველი, კონდესატის წარმოქმნის საწინააღმდეგო დათბუნებით, Ø - 1100 მმ. გალვანიზირებული ლითონის ფარფლებით. მაქ. ტემპერატურის მედეგობა 400 C° - 2 სთ</t>
  </si>
  <si>
    <t>გლიკოლი 6 200 ლიტრზე გასაზავებელი, -10 C°.  1 860 ლიტრი</t>
  </si>
  <si>
    <t>სახანძრო სარქველი, ავტომატური, (N.D) 2000 მმ X 1000 მმ. უჟანგავი ფოლადის ფარფლებით. მაქ. ტემპერატურის მედეგობა 200 C° - 2 სთ-ის განმავლობაში (იგივე პარამეტრების მქონე დეკორატიული ცხაურით, 2000 მმ ხ 1000 მმ). ∆P-25 PA EI 120. N=0.01 კვტ (24ვ). PN-EN 1366-2:2001; PN-EN 1363-1:2001; PN-B 02851-1:1997; DIN EN 10142 სტანდარტის შესაბამისი</t>
  </si>
  <si>
    <t>სახანძრო სარქველი, ავტომატური, (N.R) 400 მმ X 350 მმ. უჟანგავი ფოლადის ფარფლებით. მაქ. ტემპერატურის მედეგობა 400 C° - 2 სთ-ის განმავლობაში. ∆P-13 PA EI 120. N=0.01 კვტ (24ვ). PN-EN 1366-2:2001; PN-EN 1363-1:2001; PN-B 02851-1:1997; DIN EN 10142 სტანდარტის შესაბამისი</t>
  </si>
  <si>
    <t>სახანძრო სარქველი, ავტომატური, (N.R) 300 მმ X 300 მმ. უჟანგავი ფოლადის ფარფლებით. მაქ. ტემპერატურის მედეგობა 400 C° - 2 სთ-ის განმავლობაში. ∆P-13 PA EI 120. N=0.01 კვტ (24ვ). PN-EN 1366-2:2001; PN-EN 1363-1:2001; PN-B 02851-1:1997; DIN EN 10142 სტანდარტის შესაბამისი</t>
  </si>
  <si>
    <t xml:space="preserve">3) ჰაერშემთბობის სექცია (Q= 3.15 კვტ). გათბობა, წ.ტ. (+70 C°) - ( + 60 C°). წყლის წნევის კარგვა მაქ. 20 კPA  </t>
  </si>
  <si>
    <t xml:space="preserve">4) ჰაერგამაცივებელი სექცია (Q= 5.91 კვტ). გაგრილება, წ.ტ. (+7 C°) - (+ 12 C°). წყლის წნევის კარგვა მაქ. 35 კPA  </t>
  </si>
  <si>
    <t xml:space="preserve">3) ჰაერშემთბობის სექცია (Q= 7.14 კვტ). გათბობა, წ.ტ. (+70 C°) - ( + 60 C°). წყლის წნევის კარგვა მაქ. 20 კPA  </t>
  </si>
  <si>
    <t xml:space="preserve">4) ჰაერგამაცივებელი სექცია (Q= 13.39 კვტ). გაგრილება, წ.ტ. (+7 C°) - (+ 12 C°). წყლის წნევის კარგვა მაქ. 35 კPA  </t>
  </si>
  <si>
    <t xml:space="preserve">3) ჰაერშემთბობის სექცია (Q= 5.54 კვტ). გათბობა, წ.ტ. (+70 C°) - ( + 60 C°). წყლის წნევის კარგვა მაქ. 20 კPA  </t>
  </si>
  <si>
    <t xml:space="preserve">4) ჰაერგამაცივებელი სექცია (Q= 10.39 კვტ). გაგრილება, წ.ტ. (+7 C°) - (+ 12 C°). წყლის წნევის კარგვა მაქ. 35 კPA  </t>
  </si>
  <si>
    <t xml:space="preserve">3) ჰაერშემთბობის სექცია (Q= 5.7 კვტ). გათბობა, წ.ტ. (+70 C°) - ( + 60 C°). წყლის წნევის კარგვა მაქ. 20 კPA  </t>
  </si>
  <si>
    <t xml:space="preserve">4) ჰაერგამაცივებელი სექცია (Q= 10.7 კვტ). გაგრილება, წ.ტ. (+7 C°) - (+ 12 C°). წყლის წნევის კარგვა მაქ. 35 კPA  </t>
  </si>
  <si>
    <t xml:space="preserve">3) ჰაერშემთბობის სექცია (Q= 18.6 კვტ). გათბობა, წ.ტ. (+70 C°) - ( + 60 C°). წყლის წნევის კარგვა მაქ. 20 კPA  </t>
  </si>
  <si>
    <t xml:space="preserve">4) ჰაერგამაცივებელი სექცია (Q= 20.7 კვტ). გაგრილება, წ.ტ. (+7 C°) - (+ 12 C°). წყლის წნევის კარგვა მაქ. 35 კPA  </t>
  </si>
  <si>
    <t xml:space="preserve">3) ჰაერშემთბობის სექცია (Q= 8.1 კვტ). გათბობა, წ.ტ. (+70 C°) - ( + 60 C°). წყლის წნევის კარგვა მაქ. 20 კPA  </t>
  </si>
  <si>
    <t xml:space="preserve">4) ჰაერგამაცივებელი სექცია (Q= 9.3 კვტ). გაგრილება, წ.ტ. (+7 C°) - (+ 12 C°). წყლის წნევის კარგვა მაქ. 35 კPA  </t>
  </si>
  <si>
    <t>სახანძრო სარქველი, ავტომატური, (N.R) Ø - 100 მმ. უჟანგავი ფოლადის ფარფლებით. მაქ. ტემპერატურის მედეგობა 400 C° - 2 სთ-ის განმავლობაში. ∆P-11 PA EI 120. N=0.01 კვტ (24ვ). PN-EN 1366-2:2001; PN-EN 1363-1:2001; PN-B 02851-1:1997; DIN EN 10142 სტანდარტის შესაბამისი</t>
  </si>
  <si>
    <t>სახანძრო სარქველი, ავტომატური, (N.R) Ø - 160 მმ. უჟანგავი ფოლადის ფარფლებით. მაქ. ტემპერატურის მედეგობა 400 C° - 2 სთ-ის განმავლობაში. ∆P-11 PA EI 120. N=0.01 კვტ (24ვ). PN-EN 1366-2:2001; PN-EN 1363-1:2001; PN-B 02851-1:1997; DIN EN 10142 სტანდარტის შესაბამისი</t>
  </si>
  <si>
    <t>სახანძრო სარქველი, ავტომატური, (N.R) 150 მმ ხ 100 მმ. უჟანგავი ფოლადის ფარფლებით. მაქ. ტემპერატურის მედეგობა 400 C° - 2 სთ-ის განმავლობაში. ∆P-12 PA EI 120. N=0.01 კვტ (24ვ). PN-EN 1366-2:2001; PN-EN 1363-1:2001; PN-B 02851-1:1997; DIN EN 10142 სტანდარტის შესაბამისი</t>
  </si>
  <si>
    <t>სახანძრო სარქველი, ავტომატური, (N.R) 200 მმ ხ 150 მმ. უჟანგავი ფოლადის ფარფლებით. მაქ. ტემპერატურის მედეგობა 400 C° - 2 სთ-ის განმავლობაში. ∆P-15 PA EI 120. N=0.01 კვტ (24ვ). PN-EN 1366-2:2001; PN-EN 1363-1:2001; PN-B 02851-1:1997; DIN EN 10142 სტანდარტის შესაბამისი</t>
  </si>
  <si>
    <t>სახანძრო სარქველი, ავტომატური, (N.R) 200 მმ ხ 200 მმ. უჟანგავი ფოლადის ფარფლებით. მაქ. ტემპერატურის მედეგობა 400 C° - 2 სთ-ის განმავლობაში. ∆P-20 PA EI 120. N=0.01 კვტ (24ვ). PN-EN 1366-2:2001; PN-EN 1363-1:2001; PN-B 02851-1:1997; DIN EN 10142 სტანდარტის შესაბამისი</t>
  </si>
  <si>
    <t>სახანძრო სარქველი, ავტომატური, (N.R) 250 მმ ხ 200 მმ. უჟანგავი ფოლადის ფარფლებით. მაქ. ტემპერატურის მედეგობა 400 C° - 2 სთ-ის განმავლობაში. ∆P-15 PA EI 120. N=0.01 კვტ (24ვ). PN-EN 1366-2:2001; PN-EN 1363-1:2001; PN-B 02851-1:1997; DIN EN 10142 სტანდარტის შესაბამისი</t>
  </si>
  <si>
    <t>სახანძრო სარქველი, ავტომატური, (N.D) 2000 მმ ხ 1400 მმ. უჟანგავი ფოლადის ფარფლებით. მაქ. ტემპერატურის მედეგობა 200 C° - 2 სთ-ის განმავლობაში (იგივე პარამეტრების მქონე დეკორატიული ცხაურით, 2000 მმ ხ 1400 მმ). ∆P-25 PA EI 120. N=0.01 კვტ (24ვ). PN-EN 1366-2:2001; PN-EN 1363-1:2001; PN-B 02851-1:1997; DIN EN 10142 სტანდარტის შესაბამისი</t>
  </si>
  <si>
    <t>მექანიკური დროსელ სარქველი, Ø - 200 მმ. გალვანიზირებული ლითონის ფარფლებით. მაქ. ტემპერატურის მედეგობა 400 C° - 2 სთ-ის განმავლობაში. ∆P-5 PA. EI 60</t>
  </si>
  <si>
    <t>მექანიკური დროსელ სარქველი, Ø - 300 მმ. გალვანიზირებული ლითონის ფარფლებით. მაქ. ტემპერატურის მედეგობა 400 C° - 2 სთ-ის განმავლობაში. ∆P-5 PA. EI 60</t>
  </si>
  <si>
    <t>სახანძრო საყელო (სარქველი). ცეცხლის შემაჩერებელი მოწყობილობა, რომელიც მონტაჟდება მილგაყვანილობაზე, ტიხრების და გადახურვის ფილის გადაკვეთის ადგილზე. Ø110/160/200 მმ. მაკომპლექტებელი მასალებით. Bშ 476: 1987; Aშ 1530: PAრტ 4: 2005; Bშ EN 1366: PAრტ 3: 2009; Bშ EN 1366: PAრტ 4: 2010 სტანდარტის შესაბამისი</t>
  </si>
  <si>
    <t>მექანიკური დროსელ სარქველი, 250 მმ X 250 მმ. გალვანიზირებული ლითონის ფარფლებით. მაქ. ტემპერატურის მედეგობა 400 C° - 1 სთ-ის განმავლობაში. ∆P-5 PA. EI 60</t>
  </si>
  <si>
    <t>მექანიკური დროსელ სარქველი, 400 მმ X 300 მმ. გალვანიზირებული ლითონის ფარფლებით. მაქ. ტემპერატურის მედეგობა 400 C° - 1 სთ-ის განმავლობაში. ∆P-6 PA. EI 60</t>
  </si>
  <si>
    <t xml:space="preserve">ფასადის დეკორატიული ცხაურა, 350 მმ X 300 მმ. CE; EUROVENT-ის სერტიფიკატის შესაბამისი. </t>
  </si>
  <si>
    <t xml:space="preserve">ფასადის დეკორატიული ცხაურა, 400 მმ X 300 მმ. CE; EUROVENT-ის სერტიფიკატის შესაბამისი. </t>
  </si>
  <si>
    <t xml:space="preserve">ფასადის დეკორატიული ცხაურა, 500 მმ X 400 მმ. CE; EUROVENT-ის სერტიფიკატის შესაბამისი. </t>
  </si>
  <si>
    <t xml:space="preserve">ფასადის დეკორატიული ცხაურა, Ø -250 მმ. CE; EUROVENT-ის სერტიფიკატის შესაბამისი. </t>
  </si>
  <si>
    <t xml:space="preserve">ჰაერის მიმწოდებელი-გამწოვი დიფუზორი (ცხაურა), დროსელ-სარქველით. ჭერის, მრგვალი ტიპის. ∆P-23 PA. Ø 250/363 მმ - 430 მ³/სთ. შავი ფერის - (RAL 9005). CE; EUROVENT-ის სერთიფიკატის შესაბამისი. </t>
  </si>
  <si>
    <t xml:space="preserve">ჰაერის მიმწოდებელი-გამწოვი დიფუზორი (ცხაურა), დროსელ-სარქველით. ჭერის, მრგვალი ტიპის. ∆P-35 PA. Ø 160/248 მმ - 250 მ³/სთ. თეთრი ფერის - (RAL 9010). CE; EUROVENT-ის სერტიფიკატის შესაბამისი. </t>
  </si>
  <si>
    <t xml:space="preserve">ჰაერის მიმწოდებელი-გამწოვი დიფუზორი (ცხაურა), დროსელ-სარქველით. ჭერის, მრგვალი ტიპის. ∆P-25 PA. Ø 200/298 მმ - 340 მ³/სთ. თეთრი ფერის - (RAL 9010). CE; EUROVENT-ის სერტიფიკატის შესაბამისი. </t>
  </si>
  <si>
    <t>სავენტილაციო დანადგრი (ფირფიტოვანი რეკუპერატორით, შიგა მონტაჟის, მართვის ბლოკით. ურდულებით, ანტისავიბრაციო ზამბარებით), სერი ფერის. L = 1.8 მ. D = 1.4 მ. H = 0.4 მ. წონა 220 კგ. ხმაურის სიმძლავრე-გამომავალი = 57 DB(A). დეტალური სპეციფიკაცია იხილეთ ტექნიკურ დოკუმენტაციაში. EUROVENT-ის სერტიფიკატის შესაბამისი</t>
  </si>
  <si>
    <t>სავენტილაციო დანადგრი (ფირფიტოვანი რეკუპერატორით, შიგა მონტაჟის, მართვის ბლოკით. ურდულებით, ანტისავიბრაციო ზამბარებით), სერი ფერის. L = 2.2 მ. D = 1.4 მ. H = 0.6 მ. წონა 316 კგ. ხმაურის სიმძლავრე-გამომავალი = 62 DB(A). დეტალური სპეციფიკაცია იხილეთ ტექნიკურ დოკუმენტაციაში. EUROVENT-ის სერტიფიკატის შესაბამისი</t>
  </si>
  <si>
    <t>თბური ტუმბო (ჩილერი) 170 კვტ-იანი, გათბობა-გაგრილებისთვის, როდესაც გარე ტემპერატურა ზაფხულში არის 40 C°  და ზამთარში არის -10 C° (მოდელი - 196 კვტ-იანი, 40 C°). N=74.0 კვტ (400ვ). არ უნდა ითიშებოდეს გადახურებისაგან 50 C°-ზე. ჰიდრომოდული (1 ტუმბოთი) H=11.0 მ. G=29.5 მ³/სთ. როცა ჩილერში წნევის კარგვა არის 5.0 მეტრი, წ.სვეტი. 300 ლ-იანი სამარაგო ავზით. დამცველი სარქველით, წყლის ფილტრით, საფუძველით, ანტისავიბრაციო ზამბარებით. დინების რელეთი. სამონტაჟო კომპლექტით. გამშვები დენის შემცირების ბლოკით (სოფტ სტარტერ). ელექტრო ბლოკის და ჰიდრომოდულის დამცველი გამათბობელით, თერმოსტატით (სამართავი). ელექტრო დაფები სილიკონის დამცავში (მზის-UV გამოსხივებისგან და ატმოსფერული ნალექებისგან დამცავი). გარე თბომცვლელის სეტყვის საწინააღმდეგო დაცვით. კომპრესორების ჩამკეტი სარქველებით. ავტომატიზირებული სრულიად. სერი ფერის. ხმაურის სიმძლავრე-გამომავალი = 89 DB(A). ფრეონი-ღ32. წონა 2274 კგ. ( L= 4.3 მ. D = 1.2 მ. H =1.9 მ ). EUROVENT-ის სერტიფიკატის შესაბამისი. დეტალური სპეციფიკაცია იხილეთ ტექნიკურ დოკუმენტაციაში.</t>
  </si>
  <si>
    <t xml:space="preserve">ჭერის კასეტური ტიპის ფენკოილი 1.63 კვტ-გაგრილების საშ. სიჩქარეზე. N=0.057 კვტ (230ვ). ორმილოვანი შეერთებით. სამონტაჟო კომპლექტით. ავტომატური ჰაერგამშვებით. ხმაურის სიმძლავრე-გამომავალი = 49 DB(A). გაგრილება, წ.ტ. (+7 C°) - (+ 12 C°). გათბობა, წ.ტ. (+75 C°) - ( + 65 C°). EUROVENT-ის სერტიფიკატის შესაბამისი. </t>
  </si>
  <si>
    <t xml:space="preserve">ჭერის კასეტური ტიპის ფენკოილი 2.34 კვტ-გაგრილების საშ. სიჩქარეზე. N=0.07 კვტ (230ვ). ორმილოვანი შეერთებით. სამონტაჟო კომპლექტით. ავტომატური ჰაერგამშვებით. ხმაურის სიმძლავრე-გამომავალი = 45 DB(A). გაგრილება, წ.ტ. (+7 C°) - (+ 12 C°). გათბობა, წ.ტ. (+75 C°) - ( + 65 C°). EUROVENT-ის სერტიფიკატის შესაბამისი. </t>
  </si>
  <si>
    <t xml:space="preserve">ჭერის კასეტური ტიპის ფენკოილი 3.34 კვტ-გაგრილების საშ. სიჩქარეზე. N=0.07 კვტ (230ვ). ორმილოვანი შეერთებით. სამონტაჟო კომპლექტით. ავტომატური ჰაერგამშვებით. ხმაურის სიმძლავრე-გამომავალი = 53 DB(A). გაგრილება, წ.ტ. (+7 C°) - (+ 12 C°). გათბობა, წ.ტ. (+75 C°) - ( + 65 C°). EUROVENT-ის სერტიფიკატის შესაბამისი. </t>
  </si>
  <si>
    <t xml:space="preserve">ჭერის კასეტური ტიპის ფენკოილი 3.88 კვტ-გაგრილების საშ. სიჩქარეზე. N=0.09 კვტ (230ვ). ორმილოვანი შეერთებით. სამონტაჟო კომპლექტით. ავტომატური ჰაერგამშვებით. ხმაურის სიმძლავრე-გამომავალი = 59 DB(A). გაგრილება, წ.ტ. (+7 C°) - (+ 12 C°). გათბობა, წ.ტ. (+75 C°) - ( + 65 C°). EUROVENT-ის სერტიფიკატის შესაბამისი. </t>
  </si>
  <si>
    <t xml:space="preserve">ჭერის კასეტური ტიპის ფენკოილი 4.91 კვტ-გაგრილების საშ. სიჩქარეზე. N=0.12 კვტ (230ვ). ორმილოვანი შეერთებით. სამონტაჟო კომპლექტით. ავტომატური ჰაერგამშვებით. ხმაურის სიმძლავრე-გამომავალი = 48 DB(A). გაგრილება, წ.ტ. (+7 C°) - (+ 12 C°). გათბობა, წ.ტ. (+70 C°) - ( + 50 C°). EUROVENT-ის სერტიფიკატის შესაბამისი. </t>
  </si>
  <si>
    <t xml:space="preserve">ჭერის კასეტური ტიპის ფენკოილი 6.78 კვტ-გაგრილების საშ. სიჩქარეზე. N=0.12 კვტ (230ვ). ორმილოვანი შეერთებით. სამონტაჟო კომპლექტით. ავტომატური ჰაერგამშვებით. ხმაურის სიმძლავრე-გამომავალი = 53 DB(A). გაგრილება, წ.ტ. (+7 C°) - (+ 12 C°). გათბობა, წ.ტ. (+75 C°) - ( + 65 C°). EUROVENT-ის სერტიფიკატის შესაბამისი. </t>
  </si>
  <si>
    <t>სავენტილაციო დანადგარი, ფირფიტოვანი რეკუპერატორით, ჭერის ფენ-კოილის ტიპის (ჰაერის ინჟექტორული მიწოდებით, Aირ-Iნჯეცტორ) - 25.0 კვტ -გაგრილების საშ. სიჩქარეზე. ორმილოვანი შეერთებით. სამონტაჟო კომპლექტით. სამართავი პულტით (ავტომატიკით). სამსვლიანი სარქველით. სენდვიჩ პანელზე დასამაგრებელი სამაგრებით (კრონშტეინებით), ხმაურის სიმძლავრე-გამომავალი = 70 DB(A). გაგრილება, წ.ტ. (+7 C°) - (+ 12 C°). გათბობა, წ.ტ. (+70 C°) - ( + 50 C°).   EUROVENT-ის სერტიფიკატის შესაბამისი. დამონტაჟების სიმაღლე 8,5 მ. (L=0.9 მ.B=0.9 მ.H=4.4 მ). წონა 872 კგ.</t>
  </si>
  <si>
    <t>სავენტილაციო დანადგრი (ფირფიტოვანი რეკუპერატორით, შიგა მონტაჟის, მართვის ბლოკით. ურდულებით, ანტისავიბრაციო ზამბარებით), სერი ფერის. L = 1.9 მ. D = 1.4 მ. H = 0.5 მ. წონა 242 კგ. ხმაურის სიმძლავრე-გამომავალი = 61 DB(A). დეტალური სპეციფიკაცია იხილეთ ტექნიკურ დოკუმენტაციაში. EUROVENT-ის სერტიფიკატის შესაბამისი</t>
  </si>
  <si>
    <t xml:space="preserve">მრგვალი არხული ვენტილატორი, უკუსარქველით L=100 მ³/სთ. N=0.1 კვტ, სტატიკური წნევა P= 150 პა,(230ვ). ხმაურის სიმძლავრე-გამომავალი, 3 მეტრში = 33 DB(A).  EUROVENT-ის სერტიფიკატის შესაბამისი. </t>
  </si>
  <si>
    <t xml:space="preserve">მრგვალი არხული ვენტილატორი, უკუსარქველით L=300 მ³/სთ. N=0.1 კვტ, სტატიკური წნევა P= 200 პა,(230ვ). ხმაურის სიმძლავრე-გამომავალი, 3 მეტრში = 36 DB(A).  EUROVENT-ის სერტიფიკატის შესაბამისი. </t>
  </si>
  <si>
    <t xml:space="preserve">მრგვალი არხული ვენტილატორი, უკუსარქველით L=400 მ³/სთ. N=0.1 კვტ, სტატიკური წნევა P= 200 პა,(230ვ). ხმაურის სიმძლავრე-გამომავალი, 3 მეტრში = 36 DB(A).  EUROVENT-ის სერტიფიკატის შესაბამისი. </t>
  </si>
  <si>
    <t>ხანძარუსაფრთხო, ღერძული ტიპის ბოლის გამწოვი ვენტილატორი; L= 33 000 მ³/სთ; გამომავალი გარე სტატიკური წნევა P = 400 პა; N=7.5 კვტ (400ვ). 4 პოლუსიანი. ხმოვანი დაწნევის დონე დბ (A)-85 დაყენების სიმაღლე H=8.5 მ, მაქ. ტემპერატურის მედეგობა თ=400C° - 2 სთ. სახურავზე დასამაგრებელი სამაგრებით (კრონშტეინებით), სამონტაჟო კომპლექტით (ჰაერსატარებზე მისაერთებელი აქსესუარები). L = 1.1 მ. D = 1.1 მ. H = 1.1 მ. EUROVENT; DIN ISO 21940-11, DIN EN ISO 1461, DIN ISO 5801, DIN 24163 და AMჩA 210-99 სტანდარტის შესაბამისი</t>
  </si>
  <si>
    <t>ხანძარუსაფრთხო, ღერძული ტიპის ბოლის გამწოვი ვენტილატორი; L= 35 000 მ³/სთ; გამომავალი გარე სტატიკური წნევა P = 400 პა; N=7.5 კვტ (400ვ). 4 პოლუსიანი. ხმოვანი დაწნევის დონე დბ (A)-84 დაყენების სიმაღლე H=8.5 მ, მაქ. ტემპერატურის მედეგობა თ=400C° - 2 სთ. სახურავზე დასამაგრებელი სამაგრებით (კრონშტეინებით), სამონტაჟო კომპლექტით (ჰაერსატარებზე მისაერთებელი აქსესუარები). L = 0.9 მ. D = 1.1 მ. H = 1.1 მ. EUROVENT; DIN ISO 21940-11, DIN EN ISO 1461, DIN ISO 5801, DIN 24163 და AMჩA 210-99 სტანდარტის შესაბამისი</t>
  </si>
  <si>
    <t>ხანძარუსაფრთხო, ჭავლური ტიპის ნამწვის გამწოვი ვენტილატორი, 2 სიჩქარიანი; L=4 500 მ³/სთ; N=1.3 კვტ (400ვ) ხმოვანი დაწნევის დონე დბ (A)-60 დაყენების სიმაღლე H=3.5 მ, მაქ. ტემპერატურის მედეგობა თ=400C° - 2 სთ. ბეტონის ფილაზე დასამაგრებელი სამაგრებით (კრონშტეინებით), სამონტაჟო კომპლექტით. L = 2.3 მ. D = 0.6 მ. H = 0.37 მ. EUROVENT; DIN 4102; EN ISO 12944-2; EN 12101-3 სტანდარტის შესაბამისი</t>
  </si>
  <si>
    <t xml:space="preserve">სპლიტ სისტემის (კასეტური ტიპის) ინვერტორული კონდიციონერი, სიცივის და სითბოს ნომინალური წარმადობა - 5.3 კვტ. მანძილი გარე და შიდა ბლოკს შორის 18 მეტრი, (გაგრილება და გათბობა), როდესაც გარე ტემპერატურა ზაფხულში არის 45 C° და ზამთარში არის -10 C° (არ უნდა ითიშებოდეს გადახურებისაგან 46 C°-ზე). გარე და შიდა ბლოკის სამაგრებით. სამონტაჟო კომპლექტით. N=1.7 კვტ (230V). Qხმაურის სიმძლავრე-გამომავალი = 47 DB(A). ფრეონი-ღ410A. ISO 9001; JEM1467 სტანდარტის შესაბამისი. </t>
  </si>
  <si>
    <t>ქურო 25X3/4" შიდა ხრახნით</t>
  </si>
  <si>
    <t>ფენ-კოილის და სარქველების მომსახურების ლუქი 450X450მმ. თაბაშირმუყაოს ჭერში. RAL 9010</t>
  </si>
  <si>
    <t>ჭერის  არხული ფენ-კოილის (ორმილოვანი) სამართავი თერმოსტატი. ზამთარ-ზაფხულის რეჟიმის ავტომატური მართვით. ვენტილატორის ავტომატური მართვით. სამსვლიანი სარქველების ავტომატური მართვით. ციფრული ეკრანით. ბმს სისტემაზე ინტეგრირების ფუნქციით. სტანდარტული, კედელზე დასამაგრებელი. 133X93X18 მმ. DIN 503; EUROVENT-ის სერტიფიკატის შესაბამისი. სერვოამძრავის მართვით. კედელზე დასამაგრებელი. დაყენების სიმაღლე H=1.5 მ. N=0.005 კვტ (24ვ)</t>
  </si>
  <si>
    <t>GAS-ის (ბუნებრივი აირის) დეტექტორი, არასტანდარტული. სრულად ავტომატიზირებული. კედელზე დასამაგრებელი.</t>
  </si>
  <si>
    <t>მოცულობით, ჩქაროსნული ბოილერი 400 ლიტრიანი. გათბობის წ.ტ. (+70 C°) - ( + 60 C°). ცხელი წ.ტ. (+45 C°) - 1486 ლ/სთ. საცირკულაციო სითხის ხარჯი გათბობის კონტურში - G=7.0 მ³/სთ, ∆P-40 კPA. 60 კვტ-იანი თბომცვლელით და ელექტრო ტენით (N=2X6.0 კვტ. 400ვ). UNI EN ISO 14001 სტანდარტის შესაბამისი</t>
  </si>
  <si>
    <t>გაზის დრეკადი მილი ØS-32 მმ</t>
  </si>
  <si>
    <t>კომპ.</t>
  </si>
  <si>
    <t>ღორღის ჩაყრა ტრანშეაში</t>
  </si>
  <si>
    <t>ფასადის კედლების და საოფისე ნაწილების გამყოფების მოწყობა გუარდექსის ფილებით, შემდგომში კომპოზიტური პანელების მოსაწყობად</t>
  </si>
  <si>
    <t>გურადექსის ფილა (knauf)</t>
  </si>
  <si>
    <t>შურუპი</t>
  </si>
  <si>
    <t>საიზოლაციო ლენტა</t>
  </si>
  <si>
    <t>პარაპეტის კედლების შელესვა ქვიშა-ცემენტის ხსნარით ორივე მხრიდან</t>
  </si>
  <si>
    <t>ქვაბამბა 80 მმ 70 კგ/მ³</t>
  </si>
  <si>
    <t>ქ. თბილისი, დიდ ლილოში, სასაწყობე შენობის მშენებლობის</t>
  </si>
  <si>
    <t>კომერციული შეთავაზება</t>
  </si>
  <si>
    <t>REV:</t>
  </si>
  <si>
    <t>001</t>
  </si>
  <si>
    <t>Date</t>
  </si>
  <si>
    <t>რკინა-ბეტონის შემკრავი კოჭის მოწყობა -0.30 ნიშნულზე (R-1; R-2; R-6; R-8; R-11; R-13)</t>
  </si>
  <si>
    <t>რკინა-ბეტონის პერიმეტრის კოჭების მოწყობა -0.30 ნიშნულამდე (R-3; R-4; R-5; R-7; R-9; R-10; R-12)</t>
  </si>
  <si>
    <t>კედლებზე კერამიკული ფილების მოწყობა სან. კვანძებში, სამზარეულოში, გამოსაცვლელებში, საშხაპეებში (2 მეტრის სიმაღლეზე)</t>
  </si>
  <si>
    <t>შემსრულებელი:</t>
  </si>
  <si>
    <r>
      <t xml:space="preserve">სამუშაოს ტიპი: </t>
    </r>
    <r>
      <rPr>
        <sz val="11"/>
        <color theme="1"/>
        <rFont val="Calibri"/>
        <family val="2"/>
        <scheme val="minor"/>
      </rPr>
      <t>ძირიადი შენობა 2000 მ²</t>
    </r>
  </si>
  <si>
    <r>
      <t xml:space="preserve">სამუშაოს ტიპი: </t>
    </r>
    <r>
      <rPr>
        <sz val="11"/>
        <color theme="1"/>
        <rFont val="Calibri"/>
        <family val="2"/>
        <scheme val="minor"/>
      </rPr>
      <t>დამხმარე შენობა 400 მ²</t>
    </r>
  </si>
  <si>
    <r>
      <t xml:space="preserve">სამუშაოს ტიპი: </t>
    </r>
    <r>
      <rPr>
        <sz val="11"/>
        <color theme="1"/>
        <rFont val="Calibri"/>
        <family val="2"/>
        <scheme val="minor"/>
      </rPr>
      <t>გარე კეთილმოწყობა</t>
    </r>
  </si>
  <si>
    <r>
      <t xml:space="preserve">სამუშაოს ტიპი: </t>
    </r>
    <r>
      <rPr>
        <sz val="11"/>
        <color theme="1"/>
        <rFont val="Calibri"/>
        <family val="2"/>
        <scheme val="minor"/>
      </rPr>
      <t>სანიაღვრე ქსელი</t>
    </r>
  </si>
  <si>
    <r>
      <t xml:space="preserve">სამუშაოს ტიპი: </t>
    </r>
    <r>
      <rPr>
        <sz val="11"/>
        <color theme="1"/>
        <rFont val="Calibri"/>
        <family val="2"/>
        <scheme val="minor"/>
      </rPr>
      <t>შიდა წყალმომარგება</t>
    </r>
  </si>
  <si>
    <r>
      <t xml:space="preserve">სამუშაოს ტიპი: </t>
    </r>
    <r>
      <rPr>
        <sz val="11"/>
        <color theme="1"/>
        <rFont val="Calibri"/>
        <family val="2"/>
        <scheme val="minor"/>
      </rPr>
      <t>კანალიზაცია</t>
    </r>
  </si>
  <si>
    <r>
      <t xml:space="preserve">სამუშაოს ტიპი: </t>
    </r>
    <r>
      <rPr>
        <sz val="11"/>
        <color theme="1"/>
        <rFont val="Calibri"/>
        <family val="2"/>
        <scheme val="minor"/>
      </rPr>
      <t>წყალმომარაგება</t>
    </r>
  </si>
  <si>
    <r>
      <t xml:space="preserve">სამუშაოს ტიპი: </t>
    </r>
    <r>
      <rPr>
        <sz val="11"/>
        <color theme="1"/>
        <rFont val="Calibri"/>
        <family val="2"/>
        <scheme val="minor"/>
      </rPr>
      <t>სუსტი დენები</t>
    </r>
  </si>
  <si>
    <r>
      <t xml:space="preserve">სამუშაოს ტიპი: </t>
    </r>
    <r>
      <rPr>
        <sz val="11"/>
        <color theme="1"/>
        <rFont val="Calibri"/>
        <family val="2"/>
        <scheme val="minor"/>
      </rPr>
      <t>ხანძარქრობა</t>
    </r>
  </si>
  <si>
    <r>
      <t xml:space="preserve">სამუშაოს ტიპი: </t>
    </r>
    <r>
      <rPr>
        <sz val="11"/>
        <color theme="1"/>
        <rFont val="Calibri"/>
        <family val="2"/>
        <scheme val="minor"/>
      </rPr>
      <t>ელექტროობა</t>
    </r>
  </si>
  <si>
    <r>
      <t xml:space="preserve">სამუშაოს ტიპი: </t>
    </r>
    <r>
      <rPr>
        <sz val="11"/>
        <color theme="1"/>
        <rFont val="Calibri"/>
        <family val="2"/>
        <scheme val="minor"/>
      </rPr>
      <t>გათბობა-გაგრილება</t>
    </r>
  </si>
  <si>
    <r>
      <t xml:space="preserve">სამუშაოს ტიპი: </t>
    </r>
    <r>
      <rPr>
        <sz val="11"/>
        <color theme="1"/>
        <rFont val="Calibri"/>
        <family val="2"/>
        <scheme val="minor"/>
      </rPr>
      <t>საქვაბე</t>
    </r>
  </si>
  <si>
    <t>სამუშაოს დასახელება</t>
  </si>
  <si>
    <t>თანხა</t>
  </si>
  <si>
    <t>კომენტარი</t>
  </si>
  <si>
    <t>ძირითადი შენობა 2000 მ²</t>
  </si>
  <si>
    <t>დამხმარე შენობა 400 მ²</t>
  </si>
  <si>
    <t>სანტექნიკა</t>
  </si>
  <si>
    <t>კანალიზაცია</t>
  </si>
  <si>
    <t>წყალმომარაგება</t>
  </si>
  <si>
    <t>სუსტი დენები</t>
  </si>
  <si>
    <t>ელექტროობა</t>
  </si>
  <si>
    <t>გათბობა-გაგრილება</t>
  </si>
  <si>
    <t>საქვაბე</t>
  </si>
  <si>
    <t>₾</t>
  </si>
  <si>
    <r>
      <t xml:space="preserve">სამუშაოს ტიპი: </t>
    </r>
    <r>
      <rPr>
        <sz val="11"/>
        <color theme="1"/>
        <rFont val="Calibri"/>
        <family val="2"/>
        <scheme val="minor"/>
      </rPr>
      <t>კრებსითი განფსაება</t>
    </r>
  </si>
  <si>
    <t>დამხმარე სამონტაჟო მასალა 10%</t>
  </si>
  <si>
    <t>დამხმარე სამონტაჟო მასალა (მილების ღირებულების 15%)</t>
  </si>
  <si>
    <t>მილკვადრატი 40*40*3 მმ (ყოველ 2.5 მეტრში)</t>
  </si>
  <si>
    <t>ფასადის კედლების და საოფისე ნაწილების გამყოფების დათბუნება 80 მმ ქვაბამბით</t>
  </si>
  <si>
    <t>სექციური კარებების მონტაჟი, შენობის ფასადზე (ელექტრო)</t>
  </si>
  <si>
    <t>შშმ პირის ლიფტის მონტაჟი 2 გაჩერება</t>
  </si>
  <si>
    <t>მილკვადრატი 120*120*4</t>
  </si>
  <si>
    <t>სექციური კარი მექანიკური 4910*11200 მმ (მინით) 2 სექციად დაყოფილი</t>
  </si>
  <si>
    <t>სექციური კარების მონტაჟი (ელექტრო)</t>
  </si>
  <si>
    <t>სექციური კარი 2800*2500 მმ (ელექტრო)</t>
  </si>
  <si>
    <t>საფუძვლის მომზადება ქვიშა-ხრეშოვანი ნარევით 50 სმ</t>
  </si>
  <si>
    <t>ლითონის ჭიშკრების მოწყობა 6000*2000 მმ (2 ერთეული)</t>
  </si>
  <si>
    <t>ბალასტის უკუჩაყრა ტრანშეაში</t>
  </si>
  <si>
    <t>დამხმარე სამონტაჟო მასალები სრული მასალების ღირებულების 5%</t>
  </si>
  <si>
    <t>სახანძრო კიბის მოწყობა (პროექტის შესაბამისად)</t>
  </si>
  <si>
    <t>ლითონის სახანძრო კიბის მონტაჟი, ფასადზე</t>
  </si>
  <si>
    <t>ლითონ-კონსტრუქცია (ანტიკოროზიული საღებავით დამუშავებული)</t>
  </si>
  <si>
    <t>ლითონის ფურცელი 16 მმ</t>
  </si>
  <si>
    <t>ლითონის ფურცელი 10 მმ</t>
  </si>
  <si>
    <t>რკინა-ბეტონის წერტილოვანი მოწყობა სახანძრო კიბისთვის</t>
  </si>
  <si>
    <t>ლითონის ჩასატენებელი დეტალების მოწყობა (ჩდ-1; ჩდ-2; ჩდ-3)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</si>
</sst>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3" x14ac:knownFonts="1">
    <font>
      <sz val="11"/>
      <color theme="1"/>
      <name val="Calibri"/>
      <family val="2"/>
      <scheme val="minor"/>
    </font>
    <font>
      <b/>
      <sz val="11"/>
      <color theme="1"/>
      <name val="Calibri"/>
      <family val="2"/>
      <scheme val="minor"/>
    </font>
    <font>
      <b/>
      <sz val="11"/>
      <color theme="7"/>
      <name val="Calibri"/>
      <family val="2"/>
      <scheme val="minor"/>
    </font>
  </fonts>
  <fills count="5">
    <fill>
      <patternFill patternType="none"/>
    </fill>
    <fill>
      <patternFill patternType="gray125"/>
    </fill>
    <fill>
      <patternFill patternType="solid">
        <fgColor theme="2" tint="-0.749992370372631"/>
        <bgColor indexed="64"/>
      </patternFill>
    </fill>
    <fill>
      <patternFill patternType="solid">
        <fgColor theme="2" tint="-9.9978637043366805E-2"/>
        <bgColor indexed="64"/>
      </patternFill>
    </fill>
    <fill>
      <patternFill patternType="solid">
        <fgColor theme="0" tint="-4.9989318521683403E-2"/>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47">
    <xf numFmtId="0" fontId="0" fillId="0" borderId="0" xfId="0"/>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left"/>
    </xf>
    <xf numFmtId="0" fontId="1" fillId="0" borderId="0" xfId="0" applyFont="1"/>
    <xf numFmtId="4" fontId="0" fillId="0" borderId="1" xfId="0" applyNumberFormat="1" applyBorder="1" applyAlignment="1">
      <alignment horizontal="center" vertical="center" wrapText="1"/>
    </xf>
    <xf numFmtId="4" fontId="0" fillId="0" borderId="0" xfId="0" applyNumberFormat="1"/>
    <xf numFmtId="43" fontId="0" fillId="0" borderId="1" xfId="0" applyNumberFormat="1" applyBorder="1" applyAlignment="1">
      <alignment horizontal="center" vertical="center" wrapText="1"/>
    </xf>
    <xf numFmtId="0" fontId="1" fillId="3" borderId="1" xfId="0" applyFont="1" applyFill="1" applyBorder="1" applyAlignment="1">
      <alignment horizontal="center" vertical="center" wrapText="1"/>
    </xf>
    <xf numFmtId="4" fontId="0" fillId="3" borderId="1" xfId="0" applyNumberFormat="1" applyFill="1" applyBorder="1" applyAlignment="1">
      <alignment horizontal="center" vertical="center" wrapText="1"/>
    </xf>
    <xf numFmtId="43" fontId="0" fillId="3" borderId="1" xfId="0" applyNumberFormat="1" applyFill="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4" fontId="0"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4" fontId="0" fillId="4" borderId="1" xfId="0" applyNumberFormat="1" applyFill="1" applyBorder="1" applyAlignment="1">
      <alignment horizontal="center" vertical="center" wrapText="1"/>
    </xf>
    <xf numFmtId="43" fontId="0" fillId="4" borderId="1" xfId="0" applyNumberForma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3" fontId="2" fillId="2" borderId="1" xfId="0" applyNumberFormat="1" applyFont="1" applyFill="1"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4" fontId="0" fillId="3"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4" fontId="0" fillId="4"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0" xfId="0" applyFont="1" applyAlignment="1">
      <alignment horizontal="center" vertical="center"/>
    </xf>
    <xf numFmtId="0" fontId="1" fillId="0" borderId="0" xfId="0" quotePrefix="1" applyFont="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left" vertical="center"/>
    </xf>
    <xf numFmtId="0" fontId="2" fillId="2" borderId="1" xfId="0" applyFont="1" applyFill="1" applyBorder="1" applyAlignment="1">
      <alignment horizontal="left" vertical="center" wrapText="1"/>
    </xf>
    <xf numFmtId="43" fontId="0" fillId="0" borderId="0" xfId="0" applyNumberFormat="1"/>
    <xf numFmtId="0" fontId="1" fillId="0" borderId="0" xfId="0" applyFont="1" applyAlignment="1">
      <alignment horizontal="center" vertical="center"/>
    </xf>
    <xf numFmtId="0" fontId="1" fillId="0" borderId="0" xfId="0" applyFont="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
  <sheetViews>
    <sheetView tabSelected="1" workbookViewId="0">
      <selection activeCell="K10" sqref="K10:L10"/>
    </sheetView>
  </sheetViews>
  <sheetFormatPr defaultRowHeight="14.4" x14ac:dyDescent="0.3"/>
  <cols>
    <col min="1" max="1" width="8.88671875" style="7"/>
    <col min="2" max="2" width="43.88671875" style="6" customWidth="1"/>
    <col min="3" max="3" width="11.109375" customWidth="1"/>
    <col min="4" max="4" width="22.33203125" customWidth="1"/>
    <col min="5" max="5" width="17.44140625" customWidth="1"/>
  </cols>
  <sheetData>
    <row r="2" spans="1:5" x14ac:dyDescent="0.3">
      <c r="A2" s="39" t="s">
        <v>1036</v>
      </c>
      <c r="B2" s="39"/>
      <c r="C2" s="39"/>
      <c r="D2" s="39"/>
      <c r="E2" s="39"/>
    </row>
    <row r="3" spans="1:5" x14ac:dyDescent="0.3">
      <c r="A3" s="39" t="s">
        <v>1037</v>
      </c>
      <c r="B3" s="39"/>
      <c r="C3" s="39"/>
      <c r="D3" s="39"/>
      <c r="E3" s="39"/>
    </row>
    <row r="4" spans="1:5" x14ac:dyDescent="0.3">
      <c r="A4" s="36" t="s">
        <v>1070</v>
      </c>
      <c r="D4" s="33" t="s">
        <v>1038</v>
      </c>
      <c r="E4" s="34" t="s">
        <v>1039</v>
      </c>
    </row>
    <row r="5" spans="1:5" x14ac:dyDescent="0.3">
      <c r="A5" s="36" t="s">
        <v>1044</v>
      </c>
      <c r="D5" s="33" t="s">
        <v>1040</v>
      </c>
      <c r="E5" s="35">
        <v>45887</v>
      </c>
    </row>
    <row r="6" spans="1:5" ht="36" customHeight="1" x14ac:dyDescent="0.3">
      <c r="A6" s="3" t="s">
        <v>0</v>
      </c>
      <c r="B6" s="3" t="s">
        <v>1057</v>
      </c>
      <c r="C6" s="3" t="s">
        <v>2</v>
      </c>
      <c r="D6" s="3" t="s">
        <v>1058</v>
      </c>
      <c r="E6" s="3" t="s">
        <v>1059</v>
      </c>
    </row>
    <row r="7" spans="1:5" x14ac:dyDescent="0.3">
      <c r="A7" s="3">
        <v>1</v>
      </c>
      <c r="B7" s="3">
        <v>2</v>
      </c>
      <c r="C7" s="3">
        <v>3</v>
      </c>
      <c r="D7" s="3">
        <v>4</v>
      </c>
      <c r="E7" s="3">
        <v>5</v>
      </c>
    </row>
    <row r="8" spans="1:5" x14ac:dyDescent="0.3">
      <c r="A8" s="2">
        <v>1</v>
      </c>
      <c r="B8" s="5" t="s">
        <v>1060</v>
      </c>
      <c r="C8" s="1" t="s">
        <v>1069</v>
      </c>
      <c r="D8" s="10">
        <f>'2000 მ²'!L701</f>
        <v>0</v>
      </c>
      <c r="E8" s="1"/>
    </row>
    <row r="9" spans="1:5" x14ac:dyDescent="0.3">
      <c r="A9" s="2">
        <f t="shared" ref="A9:A19" si="0">A8+1</f>
        <v>2</v>
      </c>
      <c r="B9" s="5" t="s">
        <v>1061</v>
      </c>
      <c r="C9" s="1" t="s">
        <v>1069</v>
      </c>
      <c r="D9" s="10">
        <f>'400 მ²'!L356</f>
        <v>0</v>
      </c>
      <c r="E9" s="1"/>
    </row>
    <row r="10" spans="1:5" x14ac:dyDescent="0.3">
      <c r="A10" s="2">
        <f t="shared" si="0"/>
        <v>3</v>
      </c>
      <c r="B10" s="5" t="s">
        <v>427</v>
      </c>
      <c r="C10" s="1" t="s">
        <v>1069</v>
      </c>
      <c r="D10" s="10">
        <f>გარე_ტერიტორია!L75</f>
        <v>0</v>
      </c>
      <c r="E10" s="1"/>
    </row>
    <row r="11" spans="1:5" x14ac:dyDescent="0.3">
      <c r="A11" s="2">
        <f t="shared" si="0"/>
        <v>4</v>
      </c>
      <c r="B11" s="5" t="s">
        <v>466</v>
      </c>
      <c r="C11" s="1" t="s">
        <v>1069</v>
      </c>
      <c r="D11" s="10">
        <f>სანიაღვრე!L94</f>
        <v>0</v>
      </c>
      <c r="E11" s="1"/>
    </row>
    <row r="12" spans="1:5" x14ac:dyDescent="0.3">
      <c r="A12" s="2">
        <f t="shared" si="0"/>
        <v>5</v>
      </c>
      <c r="B12" s="5" t="s">
        <v>1062</v>
      </c>
      <c r="C12" s="1" t="s">
        <v>1069</v>
      </c>
      <c r="D12" s="10">
        <f>სანტექნიკა!L92</f>
        <v>0</v>
      </c>
      <c r="E12" s="1"/>
    </row>
    <row r="13" spans="1:5" x14ac:dyDescent="0.3">
      <c r="A13" s="2">
        <f t="shared" si="0"/>
        <v>6</v>
      </c>
      <c r="B13" s="5" t="s">
        <v>1063</v>
      </c>
      <c r="C13" s="1" t="s">
        <v>1069</v>
      </c>
      <c r="D13" s="10">
        <f>კანალიზაცია!L100</f>
        <v>0</v>
      </c>
      <c r="E13" s="1"/>
    </row>
    <row r="14" spans="1:5" x14ac:dyDescent="0.3">
      <c r="A14" s="2">
        <f t="shared" si="0"/>
        <v>7</v>
      </c>
      <c r="B14" s="5" t="s">
        <v>1064</v>
      </c>
      <c r="C14" s="1" t="s">
        <v>1069</v>
      </c>
      <c r="D14" s="10">
        <f>წყალმომარაგება!L93</f>
        <v>0</v>
      </c>
      <c r="E14" s="1"/>
    </row>
    <row r="15" spans="1:5" x14ac:dyDescent="0.3">
      <c r="A15" s="2">
        <f t="shared" si="0"/>
        <v>8</v>
      </c>
      <c r="B15" s="5" t="s">
        <v>1065</v>
      </c>
      <c r="C15" s="1" t="s">
        <v>1069</v>
      </c>
      <c r="D15" s="10">
        <f>სუსტი_დენები!L58</f>
        <v>0</v>
      </c>
      <c r="E15" s="1"/>
    </row>
    <row r="16" spans="1:5" x14ac:dyDescent="0.3">
      <c r="A16" s="2">
        <f t="shared" si="0"/>
        <v>9</v>
      </c>
      <c r="B16" s="5" t="s">
        <v>521</v>
      </c>
      <c r="C16" s="1" t="s">
        <v>1069</v>
      </c>
      <c r="D16" s="10">
        <f>ხანძარქრობა!L65</f>
        <v>0</v>
      </c>
      <c r="E16" s="1"/>
    </row>
    <row r="17" spans="1:5" x14ac:dyDescent="0.3">
      <c r="A17" s="2">
        <f t="shared" si="0"/>
        <v>10</v>
      </c>
      <c r="B17" s="5" t="s">
        <v>1066</v>
      </c>
      <c r="C17" s="1" t="s">
        <v>1069</v>
      </c>
      <c r="D17" s="10">
        <f>ელექტროობა!L341</f>
        <v>0</v>
      </c>
      <c r="E17" s="1"/>
    </row>
    <row r="18" spans="1:5" x14ac:dyDescent="0.3">
      <c r="A18" s="2">
        <f t="shared" si="0"/>
        <v>11</v>
      </c>
      <c r="B18" s="5" t="s">
        <v>1067</v>
      </c>
      <c r="C18" s="1" t="s">
        <v>1069</v>
      </c>
      <c r="D18" s="10">
        <f>'გათბობა-გაგრილება'!L229</f>
        <v>0</v>
      </c>
      <c r="E18" s="1"/>
    </row>
    <row r="19" spans="1:5" x14ac:dyDescent="0.3">
      <c r="A19" s="2">
        <f t="shared" si="0"/>
        <v>12</v>
      </c>
      <c r="B19" s="5" t="s">
        <v>1068</v>
      </c>
      <c r="C19" s="1" t="s">
        <v>1069</v>
      </c>
      <c r="D19" s="10">
        <f>საქვაბე!L419</f>
        <v>0</v>
      </c>
      <c r="E19" s="1"/>
    </row>
    <row r="20" spans="1:5" x14ac:dyDescent="0.3">
      <c r="A20" s="2"/>
      <c r="B20" s="5"/>
      <c r="C20" s="1"/>
      <c r="D20" s="10"/>
      <c r="E20" s="1"/>
    </row>
    <row r="21" spans="1:5" x14ac:dyDescent="0.3">
      <c r="A21" s="3"/>
      <c r="B21" s="37"/>
      <c r="C21" s="3"/>
      <c r="D21" s="25">
        <f>SUM(D8:D20)</f>
        <v>0</v>
      </c>
      <c r="E21" s="3"/>
    </row>
  </sheetData>
  <mergeCells count="2">
    <mergeCell ref="A2:E2"/>
    <mergeCell ref="A3:E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5"/>
  <sheetViews>
    <sheetView topLeftCell="A28" zoomScale="85" zoomScaleNormal="85" workbookViewId="0">
      <selection activeCell="R41" sqref="R41"/>
    </sheetView>
  </sheetViews>
  <sheetFormatPr defaultRowHeight="14.4" x14ac:dyDescent="0.3"/>
  <cols>
    <col min="1" max="1" width="8.88671875" style="7"/>
    <col min="2" max="2" width="74.88671875"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9.21875" bestFit="1" customWidth="1"/>
  </cols>
  <sheetData>
    <row r="2" spans="1:12" x14ac:dyDescent="0.3">
      <c r="A2" s="40" t="s">
        <v>1036</v>
      </c>
      <c r="B2" s="40"/>
      <c r="C2" s="40"/>
      <c r="D2" s="40"/>
      <c r="E2" s="40"/>
      <c r="F2" s="40"/>
      <c r="G2" s="40"/>
      <c r="H2" s="40"/>
      <c r="I2" s="40"/>
      <c r="J2" s="40"/>
      <c r="K2" s="40"/>
      <c r="L2" s="40"/>
    </row>
    <row r="3" spans="1:12" x14ac:dyDescent="0.3">
      <c r="A3" s="40" t="s">
        <v>1037</v>
      </c>
      <c r="B3" s="40"/>
      <c r="C3" s="40"/>
      <c r="D3" s="40"/>
      <c r="E3" s="40"/>
      <c r="F3" s="40"/>
      <c r="G3" s="40"/>
      <c r="H3" s="40"/>
      <c r="I3" s="40"/>
      <c r="J3" s="40"/>
      <c r="K3" s="40"/>
      <c r="L3" s="40"/>
    </row>
    <row r="4" spans="1:12" x14ac:dyDescent="0.3">
      <c r="A4" s="36" t="s">
        <v>1053</v>
      </c>
      <c r="K4" s="33" t="s">
        <v>1038</v>
      </c>
      <c r="L4" s="34" t="str">
        <f>'2000 მ²'!L4</f>
        <v>001</v>
      </c>
    </row>
    <row r="5" spans="1:12" x14ac:dyDescent="0.3">
      <c r="A5" s="36" t="s">
        <v>1044</v>
      </c>
      <c r="K5" s="33" t="s">
        <v>1040</v>
      </c>
      <c r="L5" s="35">
        <f>'2000 მ²'!L5</f>
        <v>45887</v>
      </c>
    </row>
    <row r="6" spans="1:12" ht="28.8" customHeight="1" x14ac:dyDescent="0.3">
      <c r="A6" s="43" t="s">
        <v>0</v>
      </c>
      <c r="B6" s="43" t="s">
        <v>1</v>
      </c>
      <c r="C6" s="43" t="s">
        <v>2</v>
      </c>
      <c r="D6" s="45" t="s">
        <v>9</v>
      </c>
      <c r="E6" s="45" t="s">
        <v>3</v>
      </c>
      <c r="F6" s="41" t="s">
        <v>4</v>
      </c>
      <c r="G6" s="42"/>
      <c r="H6" s="41" t="s">
        <v>5</v>
      </c>
      <c r="I6" s="42"/>
      <c r="J6" s="41" t="s">
        <v>6</v>
      </c>
      <c r="K6" s="42"/>
      <c r="L6" s="43" t="s">
        <v>7</v>
      </c>
    </row>
    <row r="7" spans="1:12" ht="23.4" customHeight="1" x14ac:dyDescent="0.3">
      <c r="A7" s="44"/>
      <c r="B7" s="44"/>
      <c r="C7" s="44"/>
      <c r="D7" s="46"/>
      <c r="E7" s="46"/>
      <c r="F7" s="3" t="s">
        <v>8</v>
      </c>
      <c r="G7" s="3" t="s">
        <v>7</v>
      </c>
      <c r="H7" s="3" t="s">
        <v>8</v>
      </c>
      <c r="I7" s="3" t="s">
        <v>7</v>
      </c>
      <c r="J7" s="3" t="s">
        <v>8</v>
      </c>
      <c r="K7" s="3" t="s">
        <v>7</v>
      </c>
      <c r="L7" s="44"/>
    </row>
    <row r="8" spans="1:12" x14ac:dyDescent="0.3">
      <c r="A8" s="3">
        <v>1</v>
      </c>
      <c r="B8" s="3">
        <v>2</v>
      </c>
      <c r="C8" s="3">
        <v>3</v>
      </c>
      <c r="D8" s="3">
        <v>4</v>
      </c>
      <c r="E8" s="3">
        <v>5</v>
      </c>
      <c r="F8" s="3">
        <v>6</v>
      </c>
      <c r="G8" s="3">
        <v>7</v>
      </c>
      <c r="H8" s="3">
        <v>8</v>
      </c>
      <c r="I8" s="3">
        <v>9</v>
      </c>
      <c r="J8" s="3">
        <v>10</v>
      </c>
      <c r="K8" s="3">
        <v>11</v>
      </c>
      <c r="L8" s="3">
        <v>12</v>
      </c>
    </row>
    <row r="9" spans="1:12" x14ac:dyDescent="0.3">
      <c r="A9" s="11"/>
      <c r="B9" s="11" t="s">
        <v>521</v>
      </c>
      <c r="C9" s="4"/>
      <c r="D9" s="12"/>
      <c r="E9" s="12"/>
      <c r="F9" s="13"/>
      <c r="G9" s="13"/>
      <c r="H9" s="13"/>
      <c r="I9" s="13"/>
      <c r="J9" s="13"/>
      <c r="K9" s="13"/>
      <c r="L9" s="13"/>
    </row>
    <row r="10" spans="1:12" ht="86.4" x14ac:dyDescent="0.3">
      <c r="A10" s="2">
        <v>1</v>
      </c>
      <c r="B10" s="17" t="s">
        <v>522</v>
      </c>
      <c r="C10" s="18" t="s">
        <v>72</v>
      </c>
      <c r="D10" s="19"/>
      <c r="E10" s="19">
        <v>2</v>
      </c>
      <c r="F10" s="10"/>
      <c r="G10" s="10">
        <f t="shared" ref="G10:G52" si="0">F10*E10</f>
        <v>0</v>
      </c>
      <c r="H10" s="10"/>
      <c r="I10" s="10">
        <f t="shared" ref="I10:I52" si="1">H10*E10</f>
        <v>0</v>
      </c>
      <c r="J10" s="10"/>
      <c r="K10" s="10">
        <f t="shared" ref="K10:K52" si="2">J10*E10</f>
        <v>0</v>
      </c>
      <c r="L10" s="10">
        <f t="shared" ref="L10:L52" si="3">K10+I10+G10</f>
        <v>0</v>
      </c>
    </row>
    <row r="11" spans="1:12" ht="57.6" x14ac:dyDescent="0.3">
      <c r="A11" s="2">
        <f t="shared" ref="A11:A52" si="4">A10+1</f>
        <v>2</v>
      </c>
      <c r="B11" s="17" t="s">
        <v>523</v>
      </c>
      <c r="C11" s="18" t="s">
        <v>72</v>
      </c>
      <c r="D11" s="19"/>
      <c r="E11" s="19">
        <v>1</v>
      </c>
      <c r="F11" s="10"/>
      <c r="G11" s="10">
        <f t="shared" si="0"/>
        <v>0</v>
      </c>
      <c r="H11" s="10"/>
      <c r="I11" s="10">
        <f t="shared" si="1"/>
        <v>0</v>
      </c>
      <c r="J11" s="10"/>
      <c r="K11" s="10">
        <f t="shared" si="2"/>
        <v>0</v>
      </c>
      <c r="L11" s="10">
        <f t="shared" si="3"/>
        <v>0</v>
      </c>
    </row>
    <row r="12" spans="1:12" ht="57.6" x14ac:dyDescent="0.3">
      <c r="A12" s="2">
        <f t="shared" si="4"/>
        <v>3</v>
      </c>
      <c r="B12" s="17" t="s">
        <v>524</v>
      </c>
      <c r="C12" s="18" t="s">
        <v>72</v>
      </c>
      <c r="D12" s="19"/>
      <c r="E12" s="19">
        <v>6</v>
      </c>
      <c r="F12" s="10"/>
      <c r="G12" s="10">
        <f t="shared" si="0"/>
        <v>0</v>
      </c>
      <c r="H12" s="10"/>
      <c r="I12" s="10">
        <f t="shared" si="1"/>
        <v>0</v>
      </c>
      <c r="J12" s="10"/>
      <c r="K12" s="10">
        <f t="shared" si="2"/>
        <v>0</v>
      </c>
      <c r="L12" s="10">
        <f t="shared" si="3"/>
        <v>0</v>
      </c>
    </row>
    <row r="13" spans="1:12" ht="57.6" x14ac:dyDescent="0.3">
      <c r="A13" s="2">
        <f t="shared" si="4"/>
        <v>4</v>
      </c>
      <c r="B13" s="17" t="s">
        <v>525</v>
      </c>
      <c r="C13" s="18" t="s">
        <v>72</v>
      </c>
      <c r="D13" s="19"/>
      <c r="E13" s="19">
        <v>1</v>
      </c>
      <c r="F13" s="10"/>
      <c r="G13" s="10">
        <f t="shared" si="0"/>
        <v>0</v>
      </c>
      <c r="H13" s="10"/>
      <c r="I13" s="10">
        <f t="shared" si="1"/>
        <v>0</v>
      </c>
      <c r="J13" s="10"/>
      <c r="K13" s="10">
        <f t="shared" si="2"/>
        <v>0</v>
      </c>
      <c r="L13" s="10">
        <f t="shared" si="3"/>
        <v>0</v>
      </c>
    </row>
    <row r="14" spans="1:12" ht="43.2" x14ac:dyDescent="0.3">
      <c r="A14" s="2">
        <f t="shared" si="4"/>
        <v>5</v>
      </c>
      <c r="B14" s="17" t="s">
        <v>526</v>
      </c>
      <c r="C14" s="18" t="s">
        <v>72</v>
      </c>
      <c r="D14" s="19"/>
      <c r="E14" s="19">
        <v>8</v>
      </c>
      <c r="F14" s="10"/>
      <c r="G14" s="10">
        <f t="shared" si="0"/>
        <v>0</v>
      </c>
      <c r="H14" s="10"/>
      <c r="I14" s="10">
        <f t="shared" si="1"/>
        <v>0</v>
      </c>
      <c r="J14" s="10"/>
      <c r="K14" s="10">
        <f t="shared" si="2"/>
        <v>0</v>
      </c>
      <c r="L14" s="10">
        <f t="shared" si="3"/>
        <v>0</v>
      </c>
    </row>
    <row r="15" spans="1:12" ht="43.2" x14ac:dyDescent="0.3">
      <c r="A15" s="2">
        <f t="shared" si="4"/>
        <v>6</v>
      </c>
      <c r="B15" s="17" t="s">
        <v>527</v>
      </c>
      <c r="C15" s="18" t="s">
        <v>72</v>
      </c>
      <c r="D15" s="19"/>
      <c r="E15" s="19">
        <v>1</v>
      </c>
      <c r="F15" s="10"/>
      <c r="G15" s="10">
        <f t="shared" si="0"/>
        <v>0</v>
      </c>
      <c r="H15" s="10"/>
      <c r="I15" s="10">
        <f t="shared" si="1"/>
        <v>0</v>
      </c>
      <c r="J15" s="10"/>
      <c r="K15" s="10">
        <f t="shared" si="2"/>
        <v>0</v>
      </c>
      <c r="L15" s="10">
        <f t="shared" si="3"/>
        <v>0</v>
      </c>
    </row>
    <row r="16" spans="1:12" x14ac:dyDescent="0.3">
      <c r="A16" s="2">
        <f t="shared" si="4"/>
        <v>7</v>
      </c>
      <c r="B16" s="17" t="s">
        <v>528</v>
      </c>
      <c r="C16" s="18" t="s">
        <v>72</v>
      </c>
      <c r="D16" s="19"/>
      <c r="E16" s="19">
        <v>180</v>
      </c>
      <c r="F16" s="10"/>
      <c r="G16" s="10">
        <f t="shared" si="0"/>
        <v>0</v>
      </c>
      <c r="H16" s="10"/>
      <c r="I16" s="10">
        <f t="shared" si="1"/>
        <v>0</v>
      </c>
      <c r="J16" s="10"/>
      <c r="K16" s="10">
        <f t="shared" si="2"/>
        <v>0</v>
      </c>
      <c r="L16" s="10">
        <f t="shared" si="3"/>
        <v>0</v>
      </c>
    </row>
    <row r="17" spans="1:12" x14ac:dyDescent="0.3">
      <c r="A17" s="2">
        <f t="shared" si="4"/>
        <v>8</v>
      </c>
      <c r="B17" s="17" t="s">
        <v>529</v>
      </c>
      <c r="C17" s="18" t="s">
        <v>72</v>
      </c>
      <c r="D17" s="27"/>
      <c r="E17" s="19">
        <v>156</v>
      </c>
      <c r="F17" s="10"/>
      <c r="G17" s="10">
        <f t="shared" si="0"/>
        <v>0</v>
      </c>
      <c r="H17" s="10"/>
      <c r="I17" s="10">
        <f t="shared" si="1"/>
        <v>0</v>
      </c>
      <c r="J17" s="10"/>
      <c r="K17" s="10">
        <f t="shared" si="2"/>
        <v>0</v>
      </c>
      <c r="L17" s="10">
        <f t="shared" si="3"/>
        <v>0</v>
      </c>
    </row>
    <row r="18" spans="1:12" x14ac:dyDescent="0.3">
      <c r="A18" s="2">
        <f t="shared" si="4"/>
        <v>9</v>
      </c>
      <c r="B18" s="17" t="s">
        <v>530</v>
      </c>
      <c r="C18" s="18" t="s">
        <v>72</v>
      </c>
      <c r="D18" s="27"/>
      <c r="E18" s="19">
        <v>1</v>
      </c>
      <c r="F18" s="10"/>
      <c r="G18" s="10">
        <f t="shared" si="0"/>
        <v>0</v>
      </c>
      <c r="H18" s="10"/>
      <c r="I18" s="10">
        <f t="shared" si="1"/>
        <v>0</v>
      </c>
      <c r="J18" s="10"/>
      <c r="K18" s="10">
        <f t="shared" si="2"/>
        <v>0</v>
      </c>
      <c r="L18" s="10">
        <f t="shared" si="3"/>
        <v>0</v>
      </c>
    </row>
    <row r="19" spans="1:12" x14ac:dyDescent="0.3">
      <c r="A19" s="2">
        <f t="shared" si="4"/>
        <v>10</v>
      </c>
      <c r="B19" s="17" t="s">
        <v>531</v>
      </c>
      <c r="C19" s="18" t="s">
        <v>72</v>
      </c>
      <c r="D19" s="27"/>
      <c r="E19" s="19">
        <v>19</v>
      </c>
      <c r="F19" s="10"/>
      <c r="G19" s="10">
        <f t="shared" si="0"/>
        <v>0</v>
      </c>
      <c r="H19" s="10"/>
      <c r="I19" s="10">
        <f t="shared" si="1"/>
        <v>0</v>
      </c>
      <c r="J19" s="10"/>
      <c r="K19" s="10">
        <f t="shared" si="2"/>
        <v>0</v>
      </c>
      <c r="L19" s="10">
        <f t="shared" si="3"/>
        <v>0</v>
      </c>
    </row>
    <row r="20" spans="1:12" x14ac:dyDescent="0.3">
      <c r="A20" s="2">
        <f t="shared" si="4"/>
        <v>11</v>
      </c>
      <c r="B20" s="17" t="s">
        <v>532</v>
      </c>
      <c r="C20" s="18" t="s">
        <v>72</v>
      </c>
      <c r="D20" s="19"/>
      <c r="E20" s="19">
        <v>3</v>
      </c>
      <c r="F20" s="10"/>
      <c r="G20" s="10">
        <f t="shared" si="0"/>
        <v>0</v>
      </c>
      <c r="H20" s="10"/>
      <c r="I20" s="10">
        <f t="shared" si="1"/>
        <v>0</v>
      </c>
      <c r="J20" s="10"/>
      <c r="K20" s="10">
        <f t="shared" si="2"/>
        <v>0</v>
      </c>
      <c r="L20" s="10">
        <f t="shared" si="3"/>
        <v>0</v>
      </c>
    </row>
    <row r="21" spans="1:12" x14ac:dyDescent="0.3">
      <c r="A21" s="2">
        <f t="shared" si="4"/>
        <v>12</v>
      </c>
      <c r="B21" s="17" t="s">
        <v>533</v>
      </c>
      <c r="C21" s="18" t="s">
        <v>72</v>
      </c>
      <c r="D21" s="19"/>
      <c r="E21" s="19">
        <v>16</v>
      </c>
      <c r="F21" s="10"/>
      <c r="G21" s="10">
        <f t="shared" si="0"/>
        <v>0</v>
      </c>
      <c r="H21" s="10"/>
      <c r="I21" s="10">
        <f t="shared" si="1"/>
        <v>0</v>
      </c>
      <c r="J21" s="10"/>
      <c r="K21" s="10">
        <f t="shared" si="2"/>
        <v>0</v>
      </c>
      <c r="L21" s="10">
        <f t="shared" si="3"/>
        <v>0</v>
      </c>
    </row>
    <row r="22" spans="1:12" x14ac:dyDescent="0.3">
      <c r="A22" s="2">
        <f t="shared" si="4"/>
        <v>13</v>
      </c>
      <c r="B22" s="17" t="s">
        <v>534</v>
      </c>
      <c r="C22" s="18" t="s">
        <v>72</v>
      </c>
      <c r="D22" s="19"/>
      <c r="E22" s="19">
        <v>20</v>
      </c>
      <c r="F22" s="10"/>
      <c r="G22" s="10">
        <f t="shared" si="0"/>
        <v>0</v>
      </c>
      <c r="H22" s="10"/>
      <c r="I22" s="10">
        <f t="shared" si="1"/>
        <v>0</v>
      </c>
      <c r="J22" s="10"/>
      <c r="K22" s="10">
        <f t="shared" si="2"/>
        <v>0</v>
      </c>
      <c r="L22" s="10">
        <f t="shared" si="3"/>
        <v>0</v>
      </c>
    </row>
    <row r="23" spans="1:12" x14ac:dyDescent="0.3">
      <c r="A23" s="2">
        <f t="shared" si="4"/>
        <v>14</v>
      </c>
      <c r="B23" s="17" t="s">
        <v>535</v>
      </c>
      <c r="C23" s="18" t="s">
        <v>72</v>
      </c>
      <c r="D23" s="19"/>
      <c r="E23" s="19">
        <v>6</v>
      </c>
      <c r="F23" s="10"/>
      <c r="G23" s="10">
        <f t="shared" si="0"/>
        <v>0</v>
      </c>
      <c r="H23" s="10"/>
      <c r="I23" s="10">
        <f t="shared" si="1"/>
        <v>0</v>
      </c>
      <c r="J23" s="10"/>
      <c r="K23" s="10">
        <f t="shared" si="2"/>
        <v>0</v>
      </c>
      <c r="L23" s="10">
        <f t="shared" si="3"/>
        <v>0</v>
      </c>
    </row>
    <row r="24" spans="1:12" x14ac:dyDescent="0.3">
      <c r="A24" s="2">
        <f t="shared" si="4"/>
        <v>15</v>
      </c>
      <c r="B24" s="17" t="s">
        <v>536</v>
      </c>
      <c r="C24" s="18" t="s">
        <v>72</v>
      </c>
      <c r="D24" s="19"/>
      <c r="E24" s="19">
        <v>15</v>
      </c>
      <c r="F24" s="10"/>
      <c r="G24" s="10">
        <f t="shared" si="0"/>
        <v>0</v>
      </c>
      <c r="H24" s="10"/>
      <c r="I24" s="10">
        <f t="shared" si="1"/>
        <v>0</v>
      </c>
      <c r="J24" s="10"/>
      <c r="K24" s="10">
        <f t="shared" si="2"/>
        <v>0</v>
      </c>
      <c r="L24" s="10">
        <f t="shared" si="3"/>
        <v>0</v>
      </c>
    </row>
    <row r="25" spans="1:12" x14ac:dyDescent="0.3">
      <c r="A25" s="2">
        <f t="shared" si="4"/>
        <v>16</v>
      </c>
      <c r="B25" s="17" t="s">
        <v>537</v>
      </c>
      <c r="C25" s="18" t="s">
        <v>72</v>
      </c>
      <c r="D25" s="19"/>
      <c r="E25" s="19">
        <v>1</v>
      </c>
      <c r="F25" s="10"/>
      <c r="G25" s="10">
        <f t="shared" si="0"/>
        <v>0</v>
      </c>
      <c r="H25" s="10"/>
      <c r="I25" s="10">
        <f t="shared" si="1"/>
        <v>0</v>
      </c>
      <c r="J25" s="10"/>
      <c r="K25" s="10">
        <f t="shared" si="2"/>
        <v>0</v>
      </c>
      <c r="L25" s="10">
        <f t="shared" si="3"/>
        <v>0</v>
      </c>
    </row>
    <row r="26" spans="1:12" x14ac:dyDescent="0.3">
      <c r="A26" s="2">
        <f t="shared" si="4"/>
        <v>17</v>
      </c>
      <c r="B26" s="17" t="s">
        <v>538</v>
      </c>
      <c r="C26" s="18" t="s">
        <v>72</v>
      </c>
      <c r="D26" s="19"/>
      <c r="E26" s="19">
        <v>1</v>
      </c>
      <c r="F26" s="10"/>
      <c r="G26" s="10">
        <f t="shared" si="0"/>
        <v>0</v>
      </c>
      <c r="H26" s="10"/>
      <c r="I26" s="10">
        <f t="shared" si="1"/>
        <v>0</v>
      </c>
      <c r="J26" s="10"/>
      <c r="K26" s="10">
        <f t="shared" si="2"/>
        <v>0</v>
      </c>
      <c r="L26" s="10">
        <f t="shared" si="3"/>
        <v>0</v>
      </c>
    </row>
    <row r="27" spans="1:12" x14ac:dyDescent="0.3">
      <c r="A27" s="2">
        <f t="shared" si="4"/>
        <v>18</v>
      </c>
      <c r="B27" s="17" t="s">
        <v>539</v>
      </c>
      <c r="C27" s="18" t="s">
        <v>72</v>
      </c>
      <c r="D27" s="19"/>
      <c r="E27" s="19">
        <v>1</v>
      </c>
      <c r="F27" s="10"/>
      <c r="G27" s="10">
        <f t="shared" si="0"/>
        <v>0</v>
      </c>
      <c r="H27" s="10"/>
      <c r="I27" s="10">
        <f t="shared" si="1"/>
        <v>0</v>
      </c>
      <c r="J27" s="10"/>
      <c r="K27" s="10">
        <f t="shared" si="2"/>
        <v>0</v>
      </c>
      <c r="L27" s="10">
        <f t="shared" si="3"/>
        <v>0</v>
      </c>
    </row>
    <row r="28" spans="1:12" x14ac:dyDescent="0.3">
      <c r="A28" s="2">
        <f t="shared" si="4"/>
        <v>19</v>
      </c>
      <c r="B28" s="17" t="s">
        <v>540</v>
      </c>
      <c r="C28" s="18" t="s">
        <v>72</v>
      </c>
      <c r="D28" s="19"/>
      <c r="E28" s="19">
        <v>1</v>
      </c>
      <c r="F28" s="10"/>
      <c r="G28" s="10">
        <f t="shared" si="0"/>
        <v>0</v>
      </c>
      <c r="H28" s="10"/>
      <c r="I28" s="10">
        <f t="shared" si="1"/>
        <v>0</v>
      </c>
      <c r="J28" s="10"/>
      <c r="K28" s="10">
        <f t="shared" si="2"/>
        <v>0</v>
      </c>
      <c r="L28" s="10">
        <f t="shared" si="3"/>
        <v>0</v>
      </c>
    </row>
    <row r="29" spans="1:12" x14ac:dyDescent="0.3">
      <c r="A29" s="2">
        <f t="shared" si="4"/>
        <v>20</v>
      </c>
      <c r="B29" s="17" t="s">
        <v>541</v>
      </c>
      <c r="C29" s="18" t="s">
        <v>72</v>
      </c>
      <c r="D29" s="19"/>
      <c r="E29" s="19">
        <v>3</v>
      </c>
      <c r="F29" s="10"/>
      <c r="G29" s="10">
        <f t="shared" si="0"/>
        <v>0</v>
      </c>
      <c r="H29" s="10"/>
      <c r="I29" s="10">
        <f t="shared" si="1"/>
        <v>0</v>
      </c>
      <c r="J29" s="10"/>
      <c r="K29" s="10">
        <f t="shared" si="2"/>
        <v>0</v>
      </c>
      <c r="L29" s="10">
        <f t="shared" si="3"/>
        <v>0</v>
      </c>
    </row>
    <row r="30" spans="1:12" x14ac:dyDescent="0.3">
      <c r="A30" s="2">
        <f t="shared" si="4"/>
        <v>21</v>
      </c>
      <c r="B30" s="17" t="s">
        <v>542</v>
      </c>
      <c r="C30" s="18" t="s">
        <v>72</v>
      </c>
      <c r="D30" s="19"/>
      <c r="E30" s="19">
        <v>3</v>
      </c>
      <c r="F30" s="10"/>
      <c r="G30" s="10">
        <f t="shared" si="0"/>
        <v>0</v>
      </c>
      <c r="H30" s="10"/>
      <c r="I30" s="10">
        <f t="shared" si="1"/>
        <v>0</v>
      </c>
      <c r="J30" s="10"/>
      <c r="K30" s="10">
        <f t="shared" si="2"/>
        <v>0</v>
      </c>
      <c r="L30" s="10">
        <f t="shared" si="3"/>
        <v>0</v>
      </c>
    </row>
    <row r="31" spans="1:12" ht="28.8" x14ac:dyDescent="0.3">
      <c r="A31" s="2">
        <f t="shared" si="4"/>
        <v>22</v>
      </c>
      <c r="B31" s="17" t="s">
        <v>543</v>
      </c>
      <c r="C31" s="18" t="s">
        <v>72</v>
      </c>
      <c r="D31" s="19"/>
      <c r="E31" s="19">
        <v>1</v>
      </c>
      <c r="F31" s="10"/>
      <c r="G31" s="10">
        <f t="shared" si="0"/>
        <v>0</v>
      </c>
      <c r="H31" s="10"/>
      <c r="I31" s="10">
        <f t="shared" si="1"/>
        <v>0</v>
      </c>
      <c r="J31" s="10"/>
      <c r="K31" s="10">
        <f t="shared" si="2"/>
        <v>0</v>
      </c>
      <c r="L31" s="10">
        <f t="shared" si="3"/>
        <v>0</v>
      </c>
    </row>
    <row r="32" spans="1:12" ht="28.8" x14ac:dyDescent="0.3">
      <c r="A32" s="2">
        <f t="shared" si="4"/>
        <v>23</v>
      </c>
      <c r="B32" s="17" t="s">
        <v>544</v>
      </c>
      <c r="C32" s="18" t="s">
        <v>72</v>
      </c>
      <c r="D32" s="27"/>
      <c r="E32" s="19">
        <v>1</v>
      </c>
      <c r="F32" s="10"/>
      <c r="G32" s="10">
        <f t="shared" si="0"/>
        <v>0</v>
      </c>
      <c r="H32" s="10"/>
      <c r="I32" s="10">
        <f t="shared" si="1"/>
        <v>0</v>
      </c>
      <c r="J32" s="10"/>
      <c r="K32" s="10">
        <f t="shared" si="2"/>
        <v>0</v>
      </c>
      <c r="L32" s="10">
        <f t="shared" si="3"/>
        <v>0</v>
      </c>
    </row>
    <row r="33" spans="1:16" x14ac:dyDescent="0.3">
      <c r="A33" s="2">
        <f t="shared" si="4"/>
        <v>24</v>
      </c>
      <c r="B33" s="17" t="s">
        <v>545</v>
      </c>
      <c r="C33" s="18" t="s">
        <v>72</v>
      </c>
      <c r="D33" s="19"/>
      <c r="E33" s="19">
        <v>2</v>
      </c>
      <c r="F33" s="10"/>
      <c r="G33" s="10">
        <f t="shared" si="0"/>
        <v>0</v>
      </c>
      <c r="H33" s="10"/>
      <c r="I33" s="10">
        <f t="shared" si="1"/>
        <v>0</v>
      </c>
      <c r="J33" s="10"/>
      <c r="K33" s="10">
        <f t="shared" si="2"/>
        <v>0</v>
      </c>
      <c r="L33" s="10">
        <f t="shared" si="3"/>
        <v>0</v>
      </c>
      <c r="N33" s="9"/>
    </row>
    <row r="34" spans="1:16" x14ac:dyDescent="0.3">
      <c r="A34" s="2">
        <f t="shared" si="4"/>
        <v>25</v>
      </c>
      <c r="B34" s="17" t="s">
        <v>546</v>
      </c>
      <c r="C34" s="18" t="s">
        <v>72</v>
      </c>
      <c r="D34" s="19"/>
      <c r="E34" s="19">
        <v>40</v>
      </c>
      <c r="F34" s="10"/>
      <c r="G34" s="10">
        <f t="shared" si="0"/>
        <v>0</v>
      </c>
      <c r="H34" s="10"/>
      <c r="I34" s="10">
        <f t="shared" si="1"/>
        <v>0</v>
      </c>
      <c r="J34" s="10"/>
      <c r="K34" s="10">
        <f t="shared" si="2"/>
        <v>0</v>
      </c>
      <c r="L34" s="10">
        <f t="shared" si="3"/>
        <v>0</v>
      </c>
    </row>
    <row r="35" spans="1:16" x14ac:dyDescent="0.3">
      <c r="A35" s="2">
        <f t="shared" si="4"/>
        <v>26</v>
      </c>
      <c r="B35" s="17" t="s">
        <v>547</v>
      </c>
      <c r="C35" s="18" t="s">
        <v>72</v>
      </c>
      <c r="D35" s="19"/>
      <c r="E35" s="19">
        <v>8</v>
      </c>
      <c r="F35" s="10"/>
      <c r="G35" s="10">
        <f t="shared" si="0"/>
        <v>0</v>
      </c>
      <c r="H35" s="10"/>
      <c r="I35" s="10">
        <f t="shared" si="1"/>
        <v>0</v>
      </c>
      <c r="J35" s="10"/>
      <c r="K35" s="10">
        <f t="shared" si="2"/>
        <v>0</v>
      </c>
      <c r="L35" s="10">
        <f t="shared" si="3"/>
        <v>0</v>
      </c>
      <c r="N35" s="9"/>
      <c r="P35" s="9"/>
    </row>
    <row r="36" spans="1:16" x14ac:dyDescent="0.3">
      <c r="A36" s="2">
        <f t="shared" si="4"/>
        <v>27</v>
      </c>
      <c r="B36" s="17" t="s">
        <v>548</v>
      </c>
      <c r="C36" s="18" t="s">
        <v>72</v>
      </c>
      <c r="D36" s="19"/>
      <c r="E36" s="19">
        <v>32</v>
      </c>
      <c r="F36" s="10"/>
      <c r="G36" s="10">
        <f t="shared" si="0"/>
        <v>0</v>
      </c>
      <c r="H36" s="10"/>
      <c r="I36" s="10">
        <f t="shared" si="1"/>
        <v>0</v>
      </c>
      <c r="J36" s="10"/>
      <c r="K36" s="10">
        <f t="shared" si="2"/>
        <v>0</v>
      </c>
      <c r="L36" s="10">
        <f t="shared" si="3"/>
        <v>0</v>
      </c>
    </row>
    <row r="37" spans="1:16" x14ac:dyDescent="0.3">
      <c r="A37" s="2">
        <f t="shared" si="4"/>
        <v>28</v>
      </c>
      <c r="B37" s="17" t="s">
        <v>549</v>
      </c>
      <c r="C37" s="18" t="s">
        <v>72</v>
      </c>
      <c r="D37" s="19"/>
      <c r="E37" s="19">
        <v>40</v>
      </c>
      <c r="F37" s="10"/>
      <c r="G37" s="10">
        <f t="shared" si="0"/>
        <v>0</v>
      </c>
      <c r="H37" s="10"/>
      <c r="I37" s="10">
        <f t="shared" si="1"/>
        <v>0</v>
      </c>
      <c r="J37" s="10"/>
      <c r="K37" s="10">
        <f t="shared" si="2"/>
        <v>0</v>
      </c>
      <c r="L37" s="10">
        <f t="shared" si="3"/>
        <v>0</v>
      </c>
    </row>
    <row r="38" spans="1:16" x14ac:dyDescent="0.3">
      <c r="A38" s="2">
        <f t="shared" si="4"/>
        <v>29</v>
      </c>
      <c r="B38" s="17" t="s">
        <v>550</v>
      </c>
      <c r="C38" s="18" t="s">
        <v>72</v>
      </c>
      <c r="D38" s="19"/>
      <c r="E38" s="19">
        <v>2</v>
      </c>
      <c r="F38" s="10"/>
      <c r="G38" s="10">
        <f t="shared" si="0"/>
        <v>0</v>
      </c>
      <c r="H38" s="10"/>
      <c r="I38" s="10">
        <f t="shared" si="1"/>
        <v>0</v>
      </c>
      <c r="J38" s="10"/>
      <c r="K38" s="10">
        <f t="shared" si="2"/>
        <v>0</v>
      </c>
      <c r="L38" s="10">
        <f t="shared" si="3"/>
        <v>0</v>
      </c>
    </row>
    <row r="39" spans="1:16" x14ac:dyDescent="0.3">
      <c r="A39" s="2">
        <f t="shared" si="4"/>
        <v>30</v>
      </c>
      <c r="B39" s="17" t="s">
        <v>551</v>
      </c>
      <c r="C39" s="18" t="s">
        <v>72</v>
      </c>
      <c r="D39" s="19"/>
      <c r="E39" s="19">
        <v>1</v>
      </c>
      <c r="F39" s="10"/>
      <c r="G39" s="10">
        <f t="shared" si="0"/>
        <v>0</v>
      </c>
      <c r="H39" s="10"/>
      <c r="I39" s="10">
        <f t="shared" si="1"/>
        <v>0</v>
      </c>
      <c r="J39" s="10"/>
      <c r="K39" s="10">
        <f t="shared" si="2"/>
        <v>0</v>
      </c>
      <c r="L39" s="10">
        <f t="shared" si="3"/>
        <v>0</v>
      </c>
    </row>
    <row r="40" spans="1:16" x14ac:dyDescent="0.3">
      <c r="A40" s="2">
        <f t="shared" si="4"/>
        <v>31</v>
      </c>
      <c r="B40" s="17" t="s">
        <v>552</v>
      </c>
      <c r="C40" s="18" t="s">
        <v>72</v>
      </c>
      <c r="D40" s="19"/>
      <c r="E40" s="19">
        <v>1</v>
      </c>
      <c r="F40" s="10"/>
      <c r="G40" s="10">
        <f t="shared" si="0"/>
        <v>0</v>
      </c>
      <c r="H40" s="10"/>
      <c r="I40" s="10">
        <f t="shared" si="1"/>
        <v>0</v>
      </c>
      <c r="J40" s="10"/>
      <c r="K40" s="10">
        <f t="shared" si="2"/>
        <v>0</v>
      </c>
      <c r="L40" s="10">
        <f t="shared" si="3"/>
        <v>0</v>
      </c>
    </row>
    <row r="41" spans="1:16" x14ac:dyDescent="0.3">
      <c r="A41" s="2">
        <f t="shared" si="4"/>
        <v>32</v>
      </c>
      <c r="B41" s="17" t="s">
        <v>448</v>
      </c>
      <c r="C41" s="18" t="s">
        <v>72</v>
      </c>
      <c r="D41" s="19"/>
      <c r="E41" s="19">
        <v>5</v>
      </c>
      <c r="F41" s="10"/>
      <c r="G41" s="10">
        <f t="shared" si="0"/>
        <v>0</v>
      </c>
      <c r="H41" s="10"/>
      <c r="I41" s="10">
        <f t="shared" si="1"/>
        <v>0</v>
      </c>
      <c r="J41" s="10"/>
      <c r="K41" s="10">
        <f t="shared" si="2"/>
        <v>0</v>
      </c>
      <c r="L41" s="10">
        <f t="shared" si="3"/>
        <v>0</v>
      </c>
    </row>
    <row r="42" spans="1:16" x14ac:dyDescent="0.3">
      <c r="A42" s="2">
        <f t="shared" si="4"/>
        <v>33</v>
      </c>
      <c r="B42" s="17" t="s">
        <v>553</v>
      </c>
      <c r="C42" s="18" t="s">
        <v>12</v>
      </c>
      <c r="D42" s="19"/>
      <c r="E42" s="19">
        <v>220</v>
      </c>
      <c r="F42" s="10"/>
      <c r="G42" s="10">
        <f t="shared" si="0"/>
        <v>0</v>
      </c>
      <c r="H42" s="10"/>
      <c r="I42" s="10">
        <f t="shared" si="1"/>
        <v>0</v>
      </c>
      <c r="J42" s="10"/>
      <c r="K42" s="10">
        <f t="shared" si="2"/>
        <v>0</v>
      </c>
      <c r="L42" s="10">
        <f t="shared" si="3"/>
        <v>0</v>
      </c>
    </row>
    <row r="43" spans="1:16" x14ac:dyDescent="0.3">
      <c r="A43" s="2">
        <f t="shared" si="4"/>
        <v>34</v>
      </c>
      <c r="B43" s="17" t="s">
        <v>554</v>
      </c>
      <c r="C43" s="18" t="s">
        <v>12</v>
      </c>
      <c r="D43" s="19"/>
      <c r="E43" s="19">
        <v>510</v>
      </c>
      <c r="F43" s="10"/>
      <c r="G43" s="10">
        <f t="shared" si="0"/>
        <v>0</v>
      </c>
      <c r="H43" s="10"/>
      <c r="I43" s="10">
        <f t="shared" si="1"/>
        <v>0</v>
      </c>
      <c r="J43" s="10"/>
      <c r="K43" s="10">
        <f t="shared" si="2"/>
        <v>0</v>
      </c>
      <c r="L43" s="10">
        <f t="shared" si="3"/>
        <v>0</v>
      </c>
    </row>
    <row r="44" spans="1:16" x14ac:dyDescent="0.3">
      <c r="A44" s="2">
        <f t="shared" si="4"/>
        <v>35</v>
      </c>
      <c r="B44" s="17" t="s">
        <v>555</v>
      </c>
      <c r="C44" s="18" t="s">
        <v>12</v>
      </c>
      <c r="D44" s="19"/>
      <c r="E44" s="19">
        <v>70</v>
      </c>
      <c r="F44" s="10"/>
      <c r="G44" s="10">
        <f t="shared" si="0"/>
        <v>0</v>
      </c>
      <c r="H44" s="10"/>
      <c r="I44" s="10">
        <f t="shared" si="1"/>
        <v>0</v>
      </c>
      <c r="J44" s="10"/>
      <c r="K44" s="10">
        <f t="shared" si="2"/>
        <v>0</v>
      </c>
      <c r="L44" s="10">
        <f t="shared" si="3"/>
        <v>0</v>
      </c>
    </row>
    <row r="45" spans="1:16" x14ac:dyDescent="0.3">
      <c r="A45" s="2">
        <f t="shared" si="4"/>
        <v>36</v>
      </c>
      <c r="B45" s="17" t="s">
        <v>556</v>
      </c>
      <c r="C45" s="18" t="s">
        <v>12</v>
      </c>
      <c r="D45" s="19"/>
      <c r="E45" s="19">
        <v>250</v>
      </c>
      <c r="F45" s="10"/>
      <c r="G45" s="10">
        <f t="shared" si="0"/>
        <v>0</v>
      </c>
      <c r="H45" s="10"/>
      <c r="I45" s="10">
        <f t="shared" si="1"/>
        <v>0</v>
      </c>
      <c r="J45" s="10"/>
      <c r="K45" s="10">
        <f t="shared" si="2"/>
        <v>0</v>
      </c>
      <c r="L45" s="10">
        <f t="shared" si="3"/>
        <v>0</v>
      </c>
    </row>
    <row r="46" spans="1:16" x14ac:dyDescent="0.3">
      <c r="A46" s="2">
        <f t="shared" si="4"/>
        <v>37</v>
      </c>
      <c r="B46" s="17" t="s">
        <v>557</v>
      </c>
      <c r="C46" s="18" t="s">
        <v>12</v>
      </c>
      <c r="D46" s="19"/>
      <c r="E46" s="19">
        <v>390</v>
      </c>
      <c r="F46" s="10"/>
      <c r="G46" s="10">
        <f t="shared" si="0"/>
        <v>0</v>
      </c>
      <c r="H46" s="10"/>
      <c r="I46" s="10">
        <f t="shared" si="1"/>
        <v>0</v>
      </c>
      <c r="J46" s="10"/>
      <c r="K46" s="10">
        <f t="shared" si="2"/>
        <v>0</v>
      </c>
      <c r="L46" s="10">
        <f t="shared" si="3"/>
        <v>0</v>
      </c>
    </row>
    <row r="47" spans="1:16" x14ac:dyDescent="0.3">
      <c r="A47" s="2">
        <f t="shared" si="4"/>
        <v>38</v>
      </c>
      <c r="B47" s="17" t="s">
        <v>558</v>
      </c>
      <c r="C47" s="18" t="s">
        <v>12</v>
      </c>
      <c r="D47" s="19"/>
      <c r="E47" s="19">
        <v>310</v>
      </c>
      <c r="F47" s="10"/>
      <c r="G47" s="10">
        <f t="shared" si="0"/>
        <v>0</v>
      </c>
      <c r="H47" s="10"/>
      <c r="I47" s="10">
        <f t="shared" si="1"/>
        <v>0</v>
      </c>
      <c r="J47" s="10"/>
      <c r="K47" s="10">
        <f t="shared" si="2"/>
        <v>0</v>
      </c>
      <c r="L47" s="10">
        <f t="shared" si="3"/>
        <v>0</v>
      </c>
    </row>
    <row r="48" spans="1:16" x14ac:dyDescent="0.3">
      <c r="A48" s="2">
        <f t="shared" si="4"/>
        <v>39</v>
      </c>
      <c r="B48" s="17" t="s">
        <v>559</v>
      </c>
      <c r="C48" s="18" t="s">
        <v>12</v>
      </c>
      <c r="D48" s="27"/>
      <c r="E48" s="19">
        <v>320</v>
      </c>
      <c r="F48" s="10"/>
      <c r="G48" s="10">
        <f t="shared" si="0"/>
        <v>0</v>
      </c>
      <c r="H48" s="10"/>
      <c r="I48" s="10">
        <f t="shared" si="1"/>
        <v>0</v>
      </c>
      <c r="J48" s="10"/>
      <c r="K48" s="10">
        <f t="shared" si="2"/>
        <v>0</v>
      </c>
      <c r="L48" s="10">
        <f t="shared" si="3"/>
        <v>0</v>
      </c>
    </row>
    <row r="49" spans="1:12" x14ac:dyDescent="0.3">
      <c r="A49" s="2">
        <f t="shared" si="4"/>
        <v>40</v>
      </c>
      <c r="B49" s="17" t="s">
        <v>560</v>
      </c>
      <c r="C49" s="18" t="s">
        <v>47</v>
      </c>
      <c r="D49" s="27"/>
      <c r="E49" s="19">
        <v>120</v>
      </c>
      <c r="F49" s="10"/>
      <c r="G49" s="10">
        <f t="shared" si="0"/>
        <v>0</v>
      </c>
      <c r="H49" s="10"/>
      <c r="I49" s="10">
        <f t="shared" si="1"/>
        <v>0</v>
      </c>
      <c r="J49" s="10"/>
      <c r="K49" s="10">
        <f t="shared" si="2"/>
        <v>0</v>
      </c>
      <c r="L49" s="10">
        <f t="shared" si="3"/>
        <v>0</v>
      </c>
    </row>
    <row r="50" spans="1:12" x14ac:dyDescent="0.3">
      <c r="A50" s="2">
        <f t="shared" si="4"/>
        <v>41</v>
      </c>
      <c r="B50" s="17" t="s">
        <v>561</v>
      </c>
      <c r="C50" s="18" t="s">
        <v>12</v>
      </c>
      <c r="D50" s="27"/>
      <c r="E50" s="19">
        <v>14</v>
      </c>
      <c r="F50" s="10"/>
      <c r="G50" s="10">
        <f t="shared" si="0"/>
        <v>0</v>
      </c>
      <c r="H50" s="10"/>
      <c r="I50" s="10">
        <f t="shared" si="1"/>
        <v>0</v>
      </c>
      <c r="J50" s="10"/>
      <c r="K50" s="10">
        <f t="shared" si="2"/>
        <v>0</v>
      </c>
      <c r="L50" s="10">
        <f t="shared" si="3"/>
        <v>0</v>
      </c>
    </row>
    <row r="51" spans="1:12" x14ac:dyDescent="0.3">
      <c r="A51" s="2">
        <f t="shared" si="4"/>
        <v>42</v>
      </c>
      <c r="B51" s="17" t="s">
        <v>562</v>
      </c>
      <c r="C51" s="18" t="s">
        <v>72</v>
      </c>
      <c r="D51" s="19"/>
      <c r="E51" s="19">
        <v>12</v>
      </c>
      <c r="F51" s="10"/>
      <c r="G51" s="10">
        <f t="shared" si="0"/>
        <v>0</v>
      </c>
      <c r="H51" s="10"/>
      <c r="I51" s="10">
        <f t="shared" si="1"/>
        <v>0</v>
      </c>
      <c r="J51" s="10"/>
      <c r="K51" s="10">
        <f t="shared" si="2"/>
        <v>0</v>
      </c>
      <c r="L51" s="10">
        <f t="shared" si="3"/>
        <v>0</v>
      </c>
    </row>
    <row r="52" spans="1:12" x14ac:dyDescent="0.3">
      <c r="A52" s="2">
        <f t="shared" si="4"/>
        <v>43</v>
      </c>
      <c r="B52" s="17" t="s">
        <v>1072</v>
      </c>
      <c r="C52" s="18" t="s">
        <v>25</v>
      </c>
      <c r="D52" s="19"/>
      <c r="E52" s="19">
        <v>1</v>
      </c>
      <c r="F52" s="10"/>
      <c r="G52" s="10">
        <f t="shared" si="0"/>
        <v>0</v>
      </c>
      <c r="H52" s="10"/>
      <c r="I52" s="10">
        <f t="shared" si="1"/>
        <v>0</v>
      </c>
      <c r="J52" s="10"/>
      <c r="K52" s="10">
        <f t="shared" si="2"/>
        <v>0</v>
      </c>
      <c r="L52" s="10">
        <f t="shared" si="3"/>
        <v>0</v>
      </c>
    </row>
    <row r="53" spans="1:12" x14ac:dyDescent="0.3">
      <c r="A53" s="3"/>
      <c r="B53" s="3" t="s">
        <v>7</v>
      </c>
      <c r="C53" s="3"/>
      <c r="D53" s="24"/>
      <c r="E53" s="24"/>
      <c r="F53" s="25"/>
      <c r="G53" s="25">
        <f>SUM(G10:G52)</f>
        <v>0</v>
      </c>
      <c r="H53" s="25"/>
      <c r="I53" s="25">
        <f>SUM(I10:I52)</f>
        <v>0</v>
      </c>
      <c r="J53" s="25"/>
      <c r="K53" s="25">
        <f>SUM(K10:K52)</f>
        <v>0</v>
      </c>
      <c r="L53" s="25">
        <f>SUM(L10:L52)</f>
        <v>0</v>
      </c>
    </row>
    <row r="54" spans="1:12" x14ac:dyDescent="0.3">
      <c r="A54" s="2"/>
      <c r="B54" s="5" t="s">
        <v>226</v>
      </c>
      <c r="C54" s="1"/>
      <c r="D54" s="8"/>
      <c r="E54" s="26">
        <v>0.03</v>
      </c>
      <c r="F54" s="10"/>
      <c r="G54" s="10"/>
      <c r="H54" s="10"/>
      <c r="I54" s="10"/>
      <c r="J54" s="10"/>
      <c r="K54" s="10"/>
      <c r="L54" s="10">
        <f>G53*E54</f>
        <v>0</v>
      </c>
    </row>
    <row r="55" spans="1:12" x14ac:dyDescent="0.3">
      <c r="A55" s="2"/>
      <c r="B55" s="2" t="s">
        <v>7</v>
      </c>
      <c r="C55" s="1"/>
      <c r="D55" s="8"/>
      <c r="E55" s="26"/>
      <c r="F55" s="10"/>
      <c r="G55" s="10"/>
      <c r="H55" s="10"/>
      <c r="I55" s="10"/>
      <c r="J55" s="10"/>
      <c r="K55" s="10"/>
      <c r="L55" s="10">
        <f>L54+L53</f>
        <v>0</v>
      </c>
    </row>
    <row r="56" spans="1:12" x14ac:dyDescent="0.3">
      <c r="A56" s="2"/>
      <c r="B56" s="5" t="s">
        <v>227</v>
      </c>
      <c r="C56" s="1"/>
      <c r="D56" s="8"/>
      <c r="E56" s="26">
        <v>0.1</v>
      </c>
      <c r="F56" s="10"/>
      <c r="G56" s="10"/>
      <c r="H56" s="10"/>
      <c r="I56" s="10"/>
      <c r="J56" s="10"/>
      <c r="K56" s="10"/>
      <c r="L56" s="10">
        <f>L55*E56</f>
        <v>0</v>
      </c>
    </row>
    <row r="57" spans="1:12" x14ac:dyDescent="0.3">
      <c r="A57" s="2"/>
      <c r="B57" s="2" t="s">
        <v>7</v>
      </c>
      <c r="C57" s="1"/>
      <c r="D57" s="8"/>
      <c r="E57" s="26"/>
      <c r="F57" s="10"/>
      <c r="G57" s="10"/>
      <c r="H57" s="10"/>
      <c r="I57" s="10"/>
      <c r="J57" s="10"/>
      <c r="K57" s="10"/>
      <c r="L57" s="10">
        <f>L56+L55</f>
        <v>0</v>
      </c>
    </row>
    <row r="58" spans="1:12" x14ac:dyDescent="0.3">
      <c r="A58" s="2"/>
      <c r="B58" s="5" t="s">
        <v>228</v>
      </c>
      <c r="C58" s="1"/>
      <c r="D58" s="8"/>
      <c r="E58" s="26">
        <v>0.01</v>
      </c>
      <c r="F58" s="10"/>
      <c r="G58" s="10"/>
      <c r="H58" s="10"/>
      <c r="I58" s="10"/>
      <c r="J58" s="10"/>
      <c r="K58" s="10"/>
      <c r="L58" s="10">
        <f>L57*E58</f>
        <v>0</v>
      </c>
    </row>
    <row r="59" spans="1:12" x14ac:dyDescent="0.3">
      <c r="A59" s="2"/>
      <c r="B59" s="2" t="s">
        <v>7</v>
      </c>
      <c r="C59" s="1"/>
      <c r="D59" s="8"/>
      <c r="E59" s="26"/>
      <c r="F59" s="10"/>
      <c r="G59" s="10"/>
      <c r="H59" s="10"/>
      <c r="I59" s="10"/>
      <c r="J59" s="10"/>
      <c r="K59" s="10"/>
      <c r="L59" s="10">
        <f>L58+L57</f>
        <v>0</v>
      </c>
    </row>
    <row r="60" spans="1:12" x14ac:dyDescent="0.3">
      <c r="A60" s="2"/>
      <c r="B60" s="5" t="s">
        <v>229</v>
      </c>
      <c r="C60" s="1"/>
      <c r="D60" s="8"/>
      <c r="E60" s="26">
        <v>0.08</v>
      </c>
      <c r="F60" s="10"/>
      <c r="G60" s="10"/>
      <c r="H60" s="10"/>
      <c r="I60" s="10"/>
      <c r="J60" s="10"/>
      <c r="K60" s="10"/>
      <c r="L60" s="10">
        <f>L59*E60</f>
        <v>0</v>
      </c>
    </row>
    <row r="61" spans="1:12" x14ac:dyDescent="0.3">
      <c r="A61" s="2"/>
      <c r="B61" s="2" t="s">
        <v>7</v>
      </c>
      <c r="C61" s="1"/>
      <c r="D61" s="8"/>
      <c r="E61" s="26"/>
      <c r="F61" s="10"/>
      <c r="G61" s="10"/>
      <c r="H61" s="10"/>
      <c r="I61" s="10"/>
      <c r="J61" s="10"/>
      <c r="K61" s="10"/>
      <c r="L61" s="10">
        <f>L60+L59</f>
        <v>0</v>
      </c>
    </row>
    <row r="62" spans="1:12" x14ac:dyDescent="0.3">
      <c r="A62" s="2"/>
      <c r="B62" s="5" t="s">
        <v>230</v>
      </c>
      <c r="C62" s="1"/>
      <c r="D62" s="8"/>
      <c r="E62" s="26">
        <v>0.03</v>
      </c>
      <c r="F62" s="10"/>
      <c r="G62" s="10"/>
      <c r="H62" s="10"/>
      <c r="I62" s="10"/>
      <c r="J62" s="10"/>
      <c r="K62" s="10"/>
      <c r="L62" s="10">
        <f>L61*E62</f>
        <v>0</v>
      </c>
    </row>
    <row r="63" spans="1:12" x14ac:dyDescent="0.3">
      <c r="A63" s="2"/>
      <c r="B63" s="2" t="s">
        <v>7</v>
      </c>
      <c r="C63" s="1"/>
      <c r="D63" s="8"/>
      <c r="E63" s="26"/>
      <c r="F63" s="10"/>
      <c r="G63" s="10"/>
      <c r="H63" s="10"/>
      <c r="I63" s="10"/>
      <c r="J63" s="10"/>
      <c r="K63" s="10"/>
      <c r="L63" s="10">
        <f>L62+L61</f>
        <v>0</v>
      </c>
    </row>
    <row r="64" spans="1:12" x14ac:dyDescent="0.3">
      <c r="A64" s="2"/>
      <c r="B64" s="5" t="s">
        <v>231</v>
      </c>
      <c r="C64" s="1"/>
      <c r="D64" s="8"/>
      <c r="E64" s="26">
        <v>0.18</v>
      </c>
      <c r="F64" s="10"/>
      <c r="G64" s="10"/>
      <c r="H64" s="10"/>
      <c r="I64" s="10"/>
      <c r="J64" s="10"/>
      <c r="K64" s="10"/>
      <c r="L64" s="10">
        <f>L63*E64</f>
        <v>0</v>
      </c>
    </row>
    <row r="65" spans="1:12" x14ac:dyDescent="0.3">
      <c r="A65" s="3"/>
      <c r="B65" s="3" t="s">
        <v>232</v>
      </c>
      <c r="C65" s="3"/>
      <c r="D65" s="24"/>
      <c r="E65" s="24"/>
      <c r="F65" s="25"/>
      <c r="G65" s="25"/>
      <c r="H65" s="25"/>
      <c r="I65" s="25"/>
      <c r="J65" s="25"/>
      <c r="K65" s="25"/>
      <c r="L65" s="25">
        <f>L64+L63</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41"/>
  <sheetViews>
    <sheetView zoomScale="85" zoomScaleNormal="85" workbookViewId="0">
      <selection activeCell="R16" sqref="R16"/>
    </sheetView>
  </sheetViews>
  <sheetFormatPr defaultRowHeight="14.4" x14ac:dyDescent="0.3"/>
  <cols>
    <col min="1" max="1" width="8.88671875" style="7"/>
    <col min="2" max="2" width="74.88671875"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9.21875" bestFit="1" customWidth="1"/>
  </cols>
  <sheetData>
    <row r="2" spans="1:12" x14ac:dyDescent="0.3">
      <c r="A2" s="40" t="s">
        <v>1036</v>
      </c>
      <c r="B2" s="40"/>
      <c r="C2" s="40"/>
      <c r="D2" s="40"/>
      <c r="E2" s="40"/>
      <c r="F2" s="40"/>
      <c r="G2" s="40"/>
      <c r="H2" s="40"/>
      <c r="I2" s="40"/>
      <c r="J2" s="40"/>
      <c r="K2" s="40"/>
      <c r="L2" s="40"/>
    </row>
    <row r="3" spans="1:12" x14ac:dyDescent="0.3">
      <c r="A3" s="40" t="s">
        <v>1037</v>
      </c>
      <c r="B3" s="40"/>
      <c r="C3" s="40"/>
      <c r="D3" s="40"/>
      <c r="E3" s="40"/>
      <c r="F3" s="40"/>
      <c r="G3" s="40"/>
      <c r="H3" s="40"/>
      <c r="I3" s="40"/>
      <c r="J3" s="40"/>
      <c r="K3" s="40"/>
      <c r="L3" s="40"/>
    </row>
    <row r="4" spans="1:12" x14ac:dyDescent="0.3">
      <c r="A4" s="36" t="s">
        <v>1054</v>
      </c>
      <c r="K4" s="33" t="s">
        <v>1038</v>
      </c>
      <c r="L4" s="34" t="str">
        <f>'2000 მ²'!L4</f>
        <v>001</v>
      </c>
    </row>
    <row r="5" spans="1:12" x14ac:dyDescent="0.3">
      <c r="A5" s="36" t="s">
        <v>1044</v>
      </c>
      <c r="K5" s="33" t="s">
        <v>1040</v>
      </c>
      <c r="L5" s="35">
        <f>'2000 მ²'!L5</f>
        <v>45887</v>
      </c>
    </row>
    <row r="6" spans="1:12" ht="28.8" customHeight="1" x14ac:dyDescent="0.3">
      <c r="A6" s="43" t="s">
        <v>0</v>
      </c>
      <c r="B6" s="43" t="s">
        <v>1</v>
      </c>
      <c r="C6" s="43" t="s">
        <v>2</v>
      </c>
      <c r="D6" s="45" t="s">
        <v>9</v>
      </c>
      <c r="E6" s="45" t="s">
        <v>3</v>
      </c>
      <c r="F6" s="41" t="s">
        <v>4</v>
      </c>
      <c r="G6" s="42"/>
      <c r="H6" s="41" t="s">
        <v>5</v>
      </c>
      <c r="I6" s="42"/>
      <c r="J6" s="41" t="s">
        <v>6</v>
      </c>
      <c r="K6" s="42"/>
      <c r="L6" s="43" t="s">
        <v>7</v>
      </c>
    </row>
    <row r="7" spans="1:12" ht="23.4" customHeight="1" x14ac:dyDescent="0.3">
      <c r="A7" s="44"/>
      <c r="B7" s="44"/>
      <c r="C7" s="44"/>
      <c r="D7" s="46"/>
      <c r="E7" s="46"/>
      <c r="F7" s="3" t="s">
        <v>8</v>
      </c>
      <c r="G7" s="3" t="s">
        <v>7</v>
      </c>
      <c r="H7" s="3" t="s">
        <v>8</v>
      </c>
      <c r="I7" s="3" t="s">
        <v>7</v>
      </c>
      <c r="J7" s="3" t="s">
        <v>8</v>
      </c>
      <c r="K7" s="3" t="s">
        <v>7</v>
      </c>
      <c r="L7" s="44"/>
    </row>
    <row r="8" spans="1:12" x14ac:dyDescent="0.3">
      <c r="A8" s="3">
        <v>1</v>
      </c>
      <c r="B8" s="3">
        <v>2</v>
      </c>
      <c r="C8" s="3">
        <v>3</v>
      </c>
      <c r="D8" s="3">
        <v>4</v>
      </c>
      <c r="E8" s="3">
        <v>5</v>
      </c>
      <c r="F8" s="3">
        <v>6</v>
      </c>
      <c r="G8" s="3">
        <v>7</v>
      </c>
      <c r="H8" s="3">
        <v>8</v>
      </c>
      <c r="I8" s="3">
        <v>9</v>
      </c>
      <c r="J8" s="3">
        <v>10</v>
      </c>
      <c r="K8" s="3">
        <v>11</v>
      </c>
      <c r="L8" s="3">
        <v>12</v>
      </c>
    </row>
    <row r="9" spans="1:12" x14ac:dyDescent="0.3">
      <c r="A9" s="11"/>
      <c r="B9" s="11" t="s">
        <v>682</v>
      </c>
      <c r="C9" s="4"/>
      <c r="D9" s="12"/>
      <c r="E9" s="12"/>
      <c r="F9" s="13"/>
      <c r="G9" s="13"/>
      <c r="H9" s="13"/>
      <c r="I9" s="13"/>
      <c r="J9" s="13"/>
      <c r="K9" s="13"/>
      <c r="L9" s="13"/>
    </row>
    <row r="10" spans="1:12" x14ac:dyDescent="0.3">
      <c r="A10" s="2">
        <v>1</v>
      </c>
      <c r="B10" s="14" t="s">
        <v>563</v>
      </c>
      <c r="C10" s="2" t="s">
        <v>72</v>
      </c>
      <c r="D10" s="15"/>
      <c r="E10" s="15">
        <v>1</v>
      </c>
      <c r="F10" s="10"/>
      <c r="G10" s="10">
        <f t="shared" ref="G10:G328" si="0">F10*E10</f>
        <v>0</v>
      </c>
      <c r="H10" s="10"/>
      <c r="I10" s="10">
        <f t="shared" ref="I10:I328" si="1">H10*E10</f>
        <v>0</v>
      </c>
      <c r="J10" s="10"/>
      <c r="K10" s="10">
        <f t="shared" ref="K10:K328" si="2">J10*E10</f>
        <v>0</v>
      </c>
      <c r="L10" s="10">
        <f t="shared" ref="L10:L328" si="3">K10+I10+G10</f>
        <v>0</v>
      </c>
    </row>
    <row r="11" spans="1:12" x14ac:dyDescent="0.3">
      <c r="A11" s="2"/>
      <c r="B11" s="17" t="s">
        <v>564</v>
      </c>
      <c r="C11" s="18" t="s">
        <v>72</v>
      </c>
      <c r="D11" s="19"/>
      <c r="E11" s="19">
        <v>1</v>
      </c>
      <c r="F11" s="10"/>
      <c r="G11" s="10">
        <f t="shared" si="0"/>
        <v>0</v>
      </c>
      <c r="H11" s="10"/>
      <c r="I11" s="10">
        <f t="shared" si="1"/>
        <v>0</v>
      </c>
      <c r="J11" s="10"/>
      <c r="K11" s="10">
        <f t="shared" si="2"/>
        <v>0</v>
      </c>
      <c r="L11" s="10">
        <f t="shared" si="3"/>
        <v>0</v>
      </c>
    </row>
    <row r="12" spans="1:12" x14ac:dyDescent="0.3">
      <c r="A12" s="2"/>
      <c r="B12" s="17" t="s">
        <v>565</v>
      </c>
      <c r="C12" s="18" t="s">
        <v>72</v>
      </c>
      <c r="D12" s="19"/>
      <c r="E12" s="19">
        <v>1</v>
      </c>
      <c r="F12" s="10"/>
      <c r="G12" s="10">
        <f t="shared" si="0"/>
        <v>0</v>
      </c>
      <c r="H12" s="10"/>
      <c r="I12" s="10">
        <f t="shared" si="1"/>
        <v>0</v>
      </c>
      <c r="J12" s="10"/>
      <c r="K12" s="10">
        <f t="shared" si="2"/>
        <v>0</v>
      </c>
      <c r="L12" s="10">
        <f t="shared" si="3"/>
        <v>0</v>
      </c>
    </row>
    <row r="13" spans="1:12" x14ac:dyDescent="0.3">
      <c r="A13" s="2"/>
      <c r="B13" s="17" t="s">
        <v>566</v>
      </c>
      <c r="C13" s="18" t="s">
        <v>72</v>
      </c>
      <c r="D13" s="19"/>
      <c r="E13" s="19">
        <v>2</v>
      </c>
      <c r="F13" s="10"/>
      <c r="G13" s="10">
        <f t="shared" si="0"/>
        <v>0</v>
      </c>
      <c r="H13" s="10"/>
      <c r="I13" s="10">
        <f t="shared" si="1"/>
        <v>0</v>
      </c>
      <c r="J13" s="10"/>
      <c r="K13" s="10">
        <f t="shared" si="2"/>
        <v>0</v>
      </c>
      <c r="L13" s="10">
        <f t="shared" si="3"/>
        <v>0</v>
      </c>
    </row>
    <row r="14" spans="1:12" x14ac:dyDescent="0.3">
      <c r="A14" s="2"/>
      <c r="B14" s="17" t="s">
        <v>567</v>
      </c>
      <c r="C14" s="18" t="s">
        <v>72</v>
      </c>
      <c r="D14" s="19"/>
      <c r="E14" s="19">
        <v>1</v>
      </c>
      <c r="F14" s="10"/>
      <c r="G14" s="10">
        <f t="shared" si="0"/>
        <v>0</v>
      </c>
      <c r="H14" s="10"/>
      <c r="I14" s="10">
        <f t="shared" si="1"/>
        <v>0</v>
      </c>
      <c r="J14" s="10"/>
      <c r="K14" s="10">
        <f t="shared" si="2"/>
        <v>0</v>
      </c>
      <c r="L14" s="10">
        <f t="shared" si="3"/>
        <v>0</v>
      </c>
    </row>
    <row r="15" spans="1:12" x14ac:dyDescent="0.3">
      <c r="A15" s="2"/>
      <c r="B15" s="17" t="s">
        <v>568</v>
      </c>
      <c r="C15" s="18" t="s">
        <v>72</v>
      </c>
      <c r="D15" s="19"/>
      <c r="E15" s="19">
        <v>1</v>
      </c>
      <c r="F15" s="10"/>
      <c r="G15" s="10">
        <f t="shared" si="0"/>
        <v>0</v>
      </c>
      <c r="H15" s="10"/>
      <c r="I15" s="10">
        <f t="shared" si="1"/>
        <v>0</v>
      </c>
      <c r="J15" s="10"/>
      <c r="K15" s="10">
        <f t="shared" si="2"/>
        <v>0</v>
      </c>
      <c r="L15" s="10">
        <f t="shared" si="3"/>
        <v>0</v>
      </c>
    </row>
    <row r="16" spans="1:12" x14ac:dyDescent="0.3">
      <c r="A16" s="2"/>
      <c r="B16" s="17" t="s">
        <v>569</v>
      </c>
      <c r="C16" s="18" t="s">
        <v>72</v>
      </c>
      <c r="D16" s="19"/>
      <c r="E16" s="19">
        <v>1</v>
      </c>
      <c r="F16" s="10"/>
      <c r="G16" s="10">
        <f t="shared" si="0"/>
        <v>0</v>
      </c>
      <c r="H16" s="10"/>
      <c r="I16" s="10">
        <f t="shared" si="1"/>
        <v>0</v>
      </c>
      <c r="J16" s="10"/>
      <c r="K16" s="10">
        <f t="shared" si="2"/>
        <v>0</v>
      </c>
      <c r="L16" s="10">
        <f t="shared" si="3"/>
        <v>0</v>
      </c>
    </row>
    <row r="17" spans="1:12" x14ac:dyDescent="0.3">
      <c r="A17" s="2"/>
      <c r="B17" s="17" t="s">
        <v>570</v>
      </c>
      <c r="C17" s="18" t="s">
        <v>72</v>
      </c>
      <c r="D17" s="19"/>
      <c r="E17" s="19">
        <v>1</v>
      </c>
      <c r="F17" s="10"/>
      <c r="G17" s="10">
        <f t="shared" si="0"/>
        <v>0</v>
      </c>
      <c r="H17" s="10"/>
      <c r="I17" s="10">
        <f t="shared" si="1"/>
        <v>0</v>
      </c>
      <c r="J17" s="10"/>
      <c r="K17" s="10">
        <f t="shared" si="2"/>
        <v>0</v>
      </c>
      <c r="L17" s="10">
        <f t="shared" si="3"/>
        <v>0</v>
      </c>
    </row>
    <row r="18" spans="1:12" x14ac:dyDescent="0.3">
      <c r="A18" s="2"/>
      <c r="B18" s="17" t="s">
        <v>571</v>
      </c>
      <c r="C18" s="18" t="s">
        <v>72</v>
      </c>
      <c r="D18" s="27"/>
      <c r="E18" s="19">
        <v>3</v>
      </c>
      <c r="F18" s="10"/>
      <c r="G18" s="10">
        <f t="shared" si="0"/>
        <v>0</v>
      </c>
      <c r="H18" s="10"/>
      <c r="I18" s="10">
        <f t="shared" si="1"/>
        <v>0</v>
      </c>
      <c r="J18" s="10"/>
      <c r="K18" s="10">
        <f t="shared" si="2"/>
        <v>0</v>
      </c>
      <c r="L18" s="10">
        <f t="shared" si="3"/>
        <v>0</v>
      </c>
    </row>
    <row r="19" spans="1:12" x14ac:dyDescent="0.3">
      <c r="A19" s="2"/>
      <c r="B19" s="17" t="s">
        <v>572</v>
      </c>
      <c r="C19" s="18" t="s">
        <v>72</v>
      </c>
      <c r="D19" s="27"/>
      <c r="E19" s="19">
        <v>3</v>
      </c>
      <c r="F19" s="10"/>
      <c r="G19" s="10">
        <f t="shared" si="0"/>
        <v>0</v>
      </c>
      <c r="H19" s="10"/>
      <c r="I19" s="10">
        <f t="shared" si="1"/>
        <v>0</v>
      </c>
      <c r="J19" s="10"/>
      <c r="K19" s="10">
        <f t="shared" si="2"/>
        <v>0</v>
      </c>
      <c r="L19" s="10">
        <f t="shared" si="3"/>
        <v>0</v>
      </c>
    </row>
    <row r="20" spans="1:12" x14ac:dyDescent="0.3">
      <c r="A20" s="2"/>
      <c r="B20" s="17" t="s">
        <v>573</v>
      </c>
      <c r="C20" s="18" t="s">
        <v>72</v>
      </c>
      <c r="D20" s="27"/>
      <c r="E20" s="19">
        <v>1</v>
      </c>
      <c r="F20" s="10"/>
      <c r="G20" s="10">
        <f t="shared" si="0"/>
        <v>0</v>
      </c>
      <c r="H20" s="10"/>
      <c r="I20" s="10">
        <f t="shared" si="1"/>
        <v>0</v>
      </c>
      <c r="J20" s="10"/>
      <c r="K20" s="10">
        <f t="shared" si="2"/>
        <v>0</v>
      </c>
      <c r="L20" s="10">
        <f t="shared" si="3"/>
        <v>0</v>
      </c>
    </row>
    <row r="21" spans="1:12" x14ac:dyDescent="0.3">
      <c r="A21" s="2"/>
      <c r="B21" s="17" t="s">
        <v>574</v>
      </c>
      <c r="C21" s="18" t="s">
        <v>72</v>
      </c>
      <c r="D21" s="19"/>
      <c r="E21" s="19">
        <v>3</v>
      </c>
      <c r="F21" s="10"/>
      <c r="G21" s="10">
        <f t="shared" si="0"/>
        <v>0</v>
      </c>
      <c r="H21" s="10"/>
      <c r="I21" s="10">
        <f t="shared" si="1"/>
        <v>0</v>
      </c>
      <c r="J21" s="10"/>
      <c r="K21" s="10">
        <f t="shared" si="2"/>
        <v>0</v>
      </c>
      <c r="L21" s="10">
        <f t="shared" si="3"/>
        <v>0</v>
      </c>
    </row>
    <row r="22" spans="1:12" x14ac:dyDescent="0.3">
      <c r="A22" s="2">
        <v>2</v>
      </c>
      <c r="B22" s="14" t="s">
        <v>575</v>
      </c>
      <c r="C22" s="2" t="s">
        <v>72</v>
      </c>
      <c r="D22" s="15"/>
      <c r="E22" s="15">
        <v>2</v>
      </c>
      <c r="F22" s="10"/>
      <c r="G22" s="10">
        <f t="shared" si="0"/>
        <v>0</v>
      </c>
      <c r="H22" s="10"/>
      <c r="I22" s="10">
        <f t="shared" si="1"/>
        <v>0</v>
      </c>
      <c r="J22" s="10"/>
      <c r="K22" s="10">
        <f t="shared" si="2"/>
        <v>0</v>
      </c>
      <c r="L22" s="10">
        <f t="shared" si="3"/>
        <v>0</v>
      </c>
    </row>
    <row r="23" spans="1:12" x14ac:dyDescent="0.3">
      <c r="A23" s="2"/>
      <c r="B23" s="17" t="s">
        <v>564</v>
      </c>
      <c r="C23" s="18" t="s">
        <v>72</v>
      </c>
      <c r="D23" s="19"/>
      <c r="E23" s="19">
        <v>1</v>
      </c>
      <c r="F23" s="10"/>
      <c r="G23" s="10">
        <f t="shared" si="0"/>
        <v>0</v>
      </c>
      <c r="H23" s="10"/>
      <c r="I23" s="10">
        <f t="shared" si="1"/>
        <v>0</v>
      </c>
      <c r="J23" s="10"/>
      <c r="K23" s="10">
        <f t="shared" si="2"/>
        <v>0</v>
      </c>
      <c r="L23" s="10">
        <f t="shared" si="3"/>
        <v>0</v>
      </c>
    </row>
    <row r="24" spans="1:12" x14ac:dyDescent="0.3">
      <c r="A24" s="2"/>
      <c r="B24" s="17" t="s">
        <v>576</v>
      </c>
      <c r="C24" s="18" t="s">
        <v>72</v>
      </c>
      <c r="D24" s="19"/>
      <c r="E24" s="19">
        <v>1</v>
      </c>
      <c r="F24" s="10"/>
      <c r="G24" s="10">
        <f t="shared" si="0"/>
        <v>0</v>
      </c>
      <c r="H24" s="10"/>
      <c r="I24" s="10">
        <f t="shared" si="1"/>
        <v>0</v>
      </c>
      <c r="J24" s="10"/>
      <c r="K24" s="10">
        <f t="shared" si="2"/>
        <v>0</v>
      </c>
      <c r="L24" s="10">
        <f t="shared" si="3"/>
        <v>0</v>
      </c>
    </row>
    <row r="25" spans="1:12" x14ac:dyDescent="0.3">
      <c r="A25" s="2"/>
      <c r="B25" s="17" t="s">
        <v>577</v>
      </c>
      <c r="C25" s="18" t="s">
        <v>72</v>
      </c>
      <c r="D25" s="19"/>
      <c r="E25" s="19">
        <v>1</v>
      </c>
      <c r="F25" s="10"/>
      <c r="G25" s="10">
        <f t="shared" si="0"/>
        <v>0</v>
      </c>
      <c r="H25" s="10"/>
      <c r="I25" s="10">
        <f t="shared" si="1"/>
        <v>0</v>
      </c>
      <c r="J25" s="10"/>
      <c r="K25" s="10">
        <f t="shared" si="2"/>
        <v>0</v>
      </c>
      <c r="L25" s="10">
        <f t="shared" si="3"/>
        <v>0</v>
      </c>
    </row>
    <row r="26" spans="1:12" x14ac:dyDescent="0.3">
      <c r="A26" s="2"/>
      <c r="B26" s="17" t="s">
        <v>578</v>
      </c>
      <c r="C26" s="18" t="s">
        <v>72</v>
      </c>
      <c r="D26" s="19"/>
      <c r="E26" s="19">
        <v>3</v>
      </c>
      <c r="F26" s="10"/>
      <c r="G26" s="10">
        <f t="shared" si="0"/>
        <v>0</v>
      </c>
      <c r="H26" s="10"/>
      <c r="I26" s="10">
        <f t="shared" si="1"/>
        <v>0</v>
      </c>
      <c r="J26" s="10"/>
      <c r="K26" s="10">
        <f t="shared" si="2"/>
        <v>0</v>
      </c>
      <c r="L26" s="10">
        <f t="shared" si="3"/>
        <v>0</v>
      </c>
    </row>
    <row r="27" spans="1:12" x14ac:dyDescent="0.3">
      <c r="A27" s="2"/>
      <c r="B27" s="17" t="s">
        <v>579</v>
      </c>
      <c r="C27" s="18" t="s">
        <v>72</v>
      </c>
      <c r="D27" s="27"/>
      <c r="E27" s="19">
        <v>1</v>
      </c>
      <c r="F27" s="10"/>
      <c r="G27" s="10">
        <f t="shared" si="0"/>
        <v>0</v>
      </c>
      <c r="H27" s="10"/>
      <c r="I27" s="10">
        <f t="shared" si="1"/>
        <v>0</v>
      </c>
      <c r="J27" s="10"/>
      <c r="K27" s="10">
        <f t="shared" si="2"/>
        <v>0</v>
      </c>
      <c r="L27" s="10">
        <f t="shared" si="3"/>
        <v>0</v>
      </c>
    </row>
    <row r="28" spans="1:12" x14ac:dyDescent="0.3">
      <c r="A28" s="2"/>
      <c r="B28" s="17" t="s">
        <v>580</v>
      </c>
      <c r="C28" s="18" t="s">
        <v>72</v>
      </c>
      <c r="D28" s="27"/>
      <c r="E28" s="19">
        <v>1</v>
      </c>
      <c r="F28" s="10"/>
      <c r="G28" s="10">
        <f t="shared" si="0"/>
        <v>0</v>
      </c>
      <c r="H28" s="10"/>
      <c r="I28" s="10">
        <f t="shared" si="1"/>
        <v>0</v>
      </c>
      <c r="J28" s="10"/>
      <c r="K28" s="10">
        <f t="shared" si="2"/>
        <v>0</v>
      </c>
      <c r="L28" s="10">
        <f t="shared" si="3"/>
        <v>0</v>
      </c>
    </row>
    <row r="29" spans="1:12" x14ac:dyDescent="0.3">
      <c r="A29" s="2"/>
      <c r="B29" s="17" t="s">
        <v>581</v>
      </c>
      <c r="C29" s="18" t="s">
        <v>72</v>
      </c>
      <c r="D29" s="27"/>
      <c r="E29" s="19">
        <v>2</v>
      </c>
      <c r="F29" s="10"/>
      <c r="G29" s="10">
        <f t="shared" si="0"/>
        <v>0</v>
      </c>
      <c r="H29" s="10"/>
      <c r="I29" s="10">
        <f t="shared" si="1"/>
        <v>0</v>
      </c>
      <c r="J29" s="10"/>
      <c r="K29" s="10">
        <f t="shared" si="2"/>
        <v>0</v>
      </c>
      <c r="L29" s="10">
        <f t="shared" si="3"/>
        <v>0</v>
      </c>
    </row>
    <row r="30" spans="1:12" x14ac:dyDescent="0.3">
      <c r="A30" s="2"/>
      <c r="B30" s="17" t="s">
        <v>582</v>
      </c>
      <c r="C30" s="18" t="s">
        <v>72</v>
      </c>
      <c r="D30" s="19"/>
      <c r="E30" s="19">
        <v>2</v>
      </c>
      <c r="F30" s="10"/>
      <c r="G30" s="10">
        <f t="shared" si="0"/>
        <v>0</v>
      </c>
      <c r="H30" s="10"/>
      <c r="I30" s="10">
        <f t="shared" si="1"/>
        <v>0</v>
      </c>
      <c r="J30" s="10"/>
      <c r="K30" s="10">
        <f t="shared" si="2"/>
        <v>0</v>
      </c>
      <c r="L30" s="10">
        <f t="shared" si="3"/>
        <v>0</v>
      </c>
    </row>
    <row r="31" spans="1:12" x14ac:dyDescent="0.3">
      <c r="A31" s="2"/>
      <c r="B31" s="17" t="s">
        <v>583</v>
      </c>
      <c r="C31" s="18" t="s">
        <v>72</v>
      </c>
      <c r="D31" s="19"/>
      <c r="E31" s="19">
        <v>1</v>
      </c>
      <c r="F31" s="10"/>
      <c r="G31" s="10">
        <f t="shared" si="0"/>
        <v>0</v>
      </c>
      <c r="H31" s="10"/>
      <c r="I31" s="10">
        <f t="shared" si="1"/>
        <v>0</v>
      </c>
      <c r="J31" s="10"/>
      <c r="K31" s="10">
        <f t="shared" si="2"/>
        <v>0</v>
      </c>
      <c r="L31" s="10">
        <f t="shared" si="3"/>
        <v>0</v>
      </c>
    </row>
    <row r="32" spans="1:12" x14ac:dyDescent="0.3">
      <c r="A32" s="2"/>
      <c r="B32" s="17" t="s">
        <v>584</v>
      </c>
      <c r="C32" s="18" t="s">
        <v>72</v>
      </c>
      <c r="D32" s="19"/>
      <c r="E32" s="19">
        <v>3</v>
      </c>
      <c r="F32" s="10"/>
      <c r="G32" s="10">
        <f t="shared" si="0"/>
        <v>0</v>
      </c>
      <c r="H32" s="10"/>
      <c r="I32" s="10">
        <f t="shared" si="1"/>
        <v>0</v>
      </c>
      <c r="J32" s="10"/>
      <c r="K32" s="10">
        <f t="shared" si="2"/>
        <v>0</v>
      </c>
      <c r="L32" s="10">
        <f t="shared" si="3"/>
        <v>0</v>
      </c>
    </row>
    <row r="33" spans="1:14" x14ac:dyDescent="0.3">
      <c r="A33" s="2"/>
      <c r="B33" s="17" t="s">
        <v>585</v>
      </c>
      <c r="C33" s="18" t="s">
        <v>72</v>
      </c>
      <c r="D33" s="19"/>
      <c r="E33" s="19">
        <v>1</v>
      </c>
      <c r="F33" s="10"/>
      <c r="G33" s="10">
        <f t="shared" si="0"/>
        <v>0</v>
      </c>
      <c r="H33" s="10"/>
      <c r="I33" s="10">
        <f t="shared" si="1"/>
        <v>0</v>
      </c>
      <c r="J33" s="10"/>
      <c r="K33" s="10">
        <f t="shared" si="2"/>
        <v>0</v>
      </c>
      <c r="L33" s="10">
        <f t="shared" si="3"/>
        <v>0</v>
      </c>
    </row>
    <row r="34" spans="1:14" x14ac:dyDescent="0.3">
      <c r="A34" s="2"/>
      <c r="B34" s="17" t="s">
        <v>570</v>
      </c>
      <c r="C34" s="18" t="s">
        <v>72</v>
      </c>
      <c r="D34" s="19"/>
      <c r="E34" s="19">
        <v>1</v>
      </c>
      <c r="F34" s="10"/>
      <c r="G34" s="10">
        <f t="shared" si="0"/>
        <v>0</v>
      </c>
      <c r="H34" s="10"/>
      <c r="I34" s="10">
        <f t="shared" si="1"/>
        <v>0</v>
      </c>
      <c r="J34" s="10"/>
      <c r="K34" s="10">
        <f t="shared" si="2"/>
        <v>0</v>
      </c>
      <c r="L34" s="10">
        <f t="shared" si="3"/>
        <v>0</v>
      </c>
    </row>
    <row r="35" spans="1:14" x14ac:dyDescent="0.3">
      <c r="A35" s="2"/>
      <c r="B35" s="17" t="s">
        <v>571</v>
      </c>
      <c r="C35" s="18" t="s">
        <v>72</v>
      </c>
      <c r="D35" s="19"/>
      <c r="E35" s="19">
        <v>3</v>
      </c>
      <c r="F35" s="10"/>
      <c r="G35" s="10">
        <f t="shared" si="0"/>
        <v>0</v>
      </c>
      <c r="H35" s="10"/>
      <c r="I35" s="10">
        <f t="shared" si="1"/>
        <v>0</v>
      </c>
      <c r="J35" s="10"/>
      <c r="K35" s="10">
        <f t="shared" si="2"/>
        <v>0</v>
      </c>
      <c r="L35" s="10">
        <f t="shared" si="3"/>
        <v>0</v>
      </c>
    </row>
    <row r="36" spans="1:14" x14ac:dyDescent="0.3">
      <c r="A36" s="2"/>
      <c r="B36" s="17" t="s">
        <v>586</v>
      </c>
      <c r="C36" s="18" t="s">
        <v>72</v>
      </c>
      <c r="D36" s="19"/>
      <c r="E36" s="19">
        <v>1</v>
      </c>
      <c r="F36" s="10"/>
      <c r="G36" s="10">
        <f t="shared" si="0"/>
        <v>0</v>
      </c>
      <c r="H36" s="10"/>
      <c r="I36" s="10">
        <f t="shared" si="1"/>
        <v>0</v>
      </c>
      <c r="J36" s="10"/>
      <c r="K36" s="10">
        <f t="shared" si="2"/>
        <v>0</v>
      </c>
      <c r="L36" s="10">
        <f t="shared" si="3"/>
        <v>0</v>
      </c>
    </row>
    <row r="37" spans="1:14" x14ac:dyDescent="0.3">
      <c r="A37" s="2"/>
      <c r="B37" s="17" t="s">
        <v>587</v>
      </c>
      <c r="C37" s="18" t="s">
        <v>72</v>
      </c>
      <c r="D37" s="19"/>
      <c r="E37" s="19">
        <v>1</v>
      </c>
      <c r="F37" s="10"/>
      <c r="G37" s="10">
        <f t="shared" si="0"/>
        <v>0</v>
      </c>
      <c r="H37" s="10"/>
      <c r="I37" s="10">
        <f t="shared" si="1"/>
        <v>0</v>
      </c>
      <c r="J37" s="10"/>
      <c r="K37" s="10">
        <f t="shared" si="2"/>
        <v>0</v>
      </c>
      <c r="L37" s="10">
        <f t="shared" si="3"/>
        <v>0</v>
      </c>
    </row>
    <row r="38" spans="1:14" ht="28.8" x14ac:dyDescent="0.3">
      <c r="A38" s="2"/>
      <c r="B38" s="17" t="s">
        <v>588</v>
      </c>
      <c r="C38" s="18" t="s">
        <v>72</v>
      </c>
      <c r="D38" s="19"/>
      <c r="E38" s="19">
        <v>1</v>
      </c>
      <c r="F38" s="10"/>
      <c r="G38" s="10">
        <f t="shared" si="0"/>
        <v>0</v>
      </c>
      <c r="H38" s="10"/>
      <c r="I38" s="10">
        <f t="shared" si="1"/>
        <v>0</v>
      </c>
      <c r="J38" s="10"/>
      <c r="K38" s="10">
        <f t="shared" si="2"/>
        <v>0</v>
      </c>
      <c r="L38" s="10">
        <f t="shared" si="3"/>
        <v>0</v>
      </c>
    </row>
    <row r="39" spans="1:14" x14ac:dyDescent="0.3">
      <c r="A39" s="2"/>
      <c r="B39" s="17" t="s">
        <v>574</v>
      </c>
      <c r="C39" s="18" t="s">
        <v>72</v>
      </c>
      <c r="D39" s="19"/>
      <c r="E39" s="19">
        <v>3</v>
      </c>
      <c r="F39" s="10"/>
      <c r="G39" s="10">
        <f t="shared" si="0"/>
        <v>0</v>
      </c>
      <c r="H39" s="10"/>
      <c r="I39" s="10">
        <f t="shared" si="1"/>
        <v>0</v>
      </c>
      <c r="J39" s="10"/>
      <c r="K39" s="10">
        <f t="shared" si="2"/>
        <v>0</v>
      </c>
      <c r="L39" s="10">
        <f t="shared" si="3"/>
        <v>0</v>
      </c>
    </row>
    <row r="40" spans="1:14" x14ac:dyDescent="0.3">
      <c r="A40" s="2"/>
      <c r="B40" s="17" t="s">
        <v>589</v>
      </c>
      <c r="C40" s="18" t="s">
        <v>12</v>
      </c>
      <c r="D40" s="19"/>
      <c r="E40" s="19">
        <v>1</v>
      </c>
      <c r="F40" s="10"/>
      <c r="G40" s="10">
        <f t="shared" si="0"/>
        <v>0</v>
      </c>
      <c r="H40" s="10"/>
      <c r="I40" s="10">
        <f t="shared" si="1"/>
        <v>0</v>
      </c>
      <c r="J40" s="10"/>
      <c r="K40" s="10">
        <f t="shared" si="2"/>
        <v>0</v>
      </c>
      <c r="L40" s="10">
        <f t="shared" si="3"/>
        <v>0</v>
      </c>
    </row>
    <row r="41" spans="1:14" x14ac:dyDescent="0.3">
      <c r="A41" s="2">
        <v>3</v>
      </c>
      <c r="B41" s="14" t="s">
        <v>590</v>
      </c>
      <c r="C41" s="2" t="s">
        <v>72</v>
      </c>
      <c r="D41" s="15"/>
      <c r="E41" s="15">
        <v>1</v>
      </c>
      <c r="F41" s="10"/>
      <c r="G41" s="10">
        <f t="shared" si="0"/>
        <v>0</v>
      </c>
      <c r="H41" s="10"/>
      <c r="I41" s="10">
        <f t="shared" si="1"/>
        <v>0</v>
      </c>
      <c r="J41" s="10"/>
      <c r="K41" s="10">
        <f t="shared" si="2"/>
        <v>0</v>
      </c>
      <c r="L41" s="10">
        <f t="shared" si="3"/>
        <v>0</v>
      </c>
    </row>
    <row r="42" spans="1:14" x14ac:dyDescent="0.3">
      <c r="A42" s="2"/>
      <c r="B42" s="17" t="s">
        <v>591</v>
      </c>
      <c r="C42" s="18" t="s">
        <v>72</v>
      </c>
      <c r="D42" s="27"/>
      <c r="E42" s="19">
        <v>1</v>
      </c>
      <c r="F42" s="10"/>
      <c r="G42" s="10">
        <f t="shared" si="0"/>
        <v>0</v>
      </c>
      <c r="H42" s="10"/>
      <c r="I42" s="10">
        <f t="shared" si="1"/>
        <v>0</v>
      </c>
      <c r="J42" s="10"/>
      <c r="K42" s="10">
        <f t="shared" si="2"/>
        <v>0</v>
      </c>
      <c r="L42" s="10">
        <f t="shared" si="3"/>
        <v>0</v>
      </c>
    </row>
    <row r="43" spans="1:14" x14ac:dyDescent="0.3">
      <c r="A43" s="2"/>
      <c r="B43" s="17" t="s">
        <v>581</v>
      </c>
      <c r="C43" s="18" t="s">
        <v>72</v>
      </c>
      <c r="D43" s="19"/>
      <c r="E43" s="19">
        <v>1</v>
      </c>
      <c r="F43" s="10"/>
      <c r="G43" s="10">
        <f t="shared" si="0"/>
        <v>0</v>
      </c>
      <c r="H43" s="10"/>
      <c r="I43" s="10">
        <f t="shared" si="1"/>
        <v>0</v>
      </c>
      <c r="J43" s="10"/>
      <c r="K43" s="10">
        <f t="shared" si="2"/>
        <v>0</v>
      </c>
      <c r="L43" s="10">
        <f t="shared" si="3"/>
        <v>0</v>
      </c>
      <c r="N43" s="9"/>
    </row>
    <row r="44" spans="1:14" x14ac:dyDescent="0.3">
      <c r="A44" s="2"/>
      <c r="B44" s="17" t="s">
        <v>592</v>
      </c>
      <c r="C44" s="18" t="s">
        <v>72</v>
      </c>
      <c r="D44" s="27"/>
      <c r="E44" s="19">
        <v>5</v>
      </c>
      <c r="F44" s="10"/>
      <c r="G44" s="10">
        <f t="shared" si="0"/>
        <v>0</v>
      </c>
      <c r="H44" s="10"/>
      <c r="I44" s="10">
        <f t="shared" si="1"/>
        <v>0</v>
      </c>
      <c r="J44" s="10"/>
      <c r="K44" s="10">
        <f t="shared" si="2"/>
        <v>0</v>
      </c>
      <c r="L44" s="10">
        <f t="shared" si="3"/>
        <v>0</v>
      </c>
    </row>
    <row r="45" spans="1:14" x14ac:dyDescent="0.3">
      <c r="A45" s="2"/>
      <c r="B45" s="17" t="s">
        <v>584</v>
      </c>
      <c r="C45" s="18" t="s">
        <v>72</v>
      </c>
      <c r="D45" s="27"/>
      <c r="E45" s="19">
        <v>7</v>
      </c>
      <c r="F45" s="10"/>
      <c r="G45" s="10">
        <f t="shared" si="0"/>
        <v>0</v>
      </c>
      <c r="H45" s="10"/>
      <c r="I45" s="10">
        <f t="shared" si="1"/>
        <v>0</v>
      </c>
      <c r="J45" s="10"/>
      <c r="K45" s="10">
        <f t="shared" si="2"/>
        <v>0</v>
      </c>
      <c r="L45" s="10">
        <f t="shared" si="3"/>
        <v>0</v>
      </c>
    </row>
    <row r="46" spans="1:14" x14ac:dyDescent="0.3">
      <c r="A46" s="2"/>
      <c r="B46" s="17" t="s">
        <v>589</v>
      </c>
      <c r="C46" s="18" t="s">
        <v>12</v>
      </c>
      <c r="D46" s="27"/>
      <c r="E46" s="19">
        <v>1</v>
      </c>
      <c r="F46" s="10"/>
      <c r="G46" s="10">
        <f t="shared" si="0"/>
        <v>0</v>
      </c>
      <c r="H46" s="10"/>
      <c r="I46" s="10">
        <f t="shared" si="1"/>
        <v>0</v>
      </c>
      <c r="J46" s="10"/>
      <c r="K46" s="10">
        <f t="shared" si="2"/>
        <v>0</v>
      </c>
      <c r="L46" s="10">
        <f t="shared" si="3"/>
        <v>0</v>
      </c>
    </row>
    <row r="47" spans="1:14" x14ac:dyDescent="0.3">
      <c r="A47" s="2"/>
      <c r="B47" s="17" t="s">
        <v>593</v>
      </c>
      <c r="C47" s="18" t="s">
        <v>72</v>
      </c>
      <c r="D47" s="19"/>
      <c r="E47" s="19">
        <v>1</v>
      </c>
      <c r="F47" s="10"/>
      <c r="G47" s="10">
        <f t="shared" si="0"/>
        <v>0</v>
      </c>
      <c r="H47" s="10"/>
      <c r="I47" s="10">
        <f t="shared" si="1"/>
        <v>0</v>
      </c>
      <c r="J47" s="10"/>
      <c r="K47" s="10">
        <f t="shared" si="2"/>
        <v>0</v>
      </c>
      <c r="L47" s="10">
        <f t="shared" si="3"/>
        <v>0</v>
      </c>
    </row>
    <row r="48" spans="1:14" x14ac:dyDescent="0.3">
      <c r="A48" s="2"/>
      <c r="B48" s="17" t="s">
        <v>594</v>
      </c>
      <c r="C48" s="18" t="s">
        <v>72</v>
      </c>
      <c r="D48" s="19"/>
      <c r="E48" s="19">
        <v>1</v>
      </c>
      <c r="F48" s="10"/>
      <c r="G48" s="10">
        <f t="shared" si="0"/>
        <v>0</v>
      </c>
      <c r="H48" s="10"/>
      <c r="I48" s="10">
        <f t="shared" si="1"/>
        <v>0</v>
      </c>
      <c r="J48" s="10"/>
      <c r="K48" s="10">
        <f t="shared" si="2"/>
        <v>0</v>
      </c>
      <c r="L48" s="10">
        <f t="shared" si="3"/>
        <v>0</v>
      </c>
    </row>
    <row r="49" spans="1:12" x14ac:dyDescent="0.3">
      <c r="A49" s="2"/>
      <c r="B49" s="17" t="s">
        <v>595</v>
      </c>
      <c r="C49" s="18" t="s">
        <v>12</v>
      </c>
      <c r="D49" s="19"/>
      <c r="E49" s="19">
        <v>2</v>
      </c>
      <c r="F49" s="10"/>
      <c r="G49" s="10">
        <f t="shared" si="0"/>
        <v>0</v>
      </c>
      <c r="H49" s="10"/>
      <c r="I49" s="10">
        <f t="shared" si="1"/>
        <v>0</v>
      </c>
      <c r="J49" s="10"/>
      <c r="K49" s="10">
        <f t="shared" si="2"/>
        <v>0</v>
      </c>
      <c r="L49" s="10">
        <f t="shared" si="3"/>
        <v>0</v>
      </c>
    </row>
    <row r="50" spans="1:12" x14ac:dyDescent="0.3">
      <c r="A50" s="2">
        <v>4</v>
      </c>
      <c r="B50" s="14" t="s">
        <v>590</v>
      </c>
      <c r="C50" s="2" t="s">
        <v>72</v>
      </c>
      <c r="D50" s="15"/>
      <c r="E50" s="15">
        <v>1</v>
      </c>
      <c r="F50" s="10"/>
      <c r="G50" s="10">
        <f t="shared" si="0"/>
        <v>0</v>
      </c>
      <c r="H50" s="10"/>
      <c r="I50" s="10">
        <f t="shared" si="1"/>
        <v>0</v>
      </c>
      <c r="J50" s="10"/>
      <c r="K50" s="10">
        <f t="shared" si="2"/>
        <v>0</v>
      </c>
      <c r="L50" s="10">
        <f t="shared" si="3"/>
        <v>0</v>
      </c>
    </row>
    <row r="51" spans="1:12" x14ac:dyDescent="0.3">
      <c r="A51" s="2"/>
      <c r="B51" s="17" t="s">
        <v>564</v>
      </c>
      <c r="C51" s="18" t="s">
        <v>72</v>
      </c>
      <c r="D51" s="19"/>
      <c r="E51" s="19">
        <v>1</v>
      </c>
      <c r="F51" s="10"/>
      <c r="G51" s="10">
        <f t="shared" si="0"/>
        <v>0</v>
      </c>
      <c r="H51" s="10"/>
      <c r="I51" s="10">
        <f t="shared" si="1"/>
        <v>0</v>
      </c>
      <c r="J51" s="10"/>
      <c r="K51" s="10">
        <f t="shared" si="2"/>
        <v>0</v>
      </c>
      <c r="L51" s="10">
        <f t="shared" si="3"/>
        <v>0</v>
      </c>
    </row>
    <row r="52" spans="1:12" x14ac:dyDescent="0.3">
      <c r="A52" s="2"/>
      <c r="B52" s="17" t="s">
        <v>568</v>
      </c>
      <c r="C52" s="18" t="s">
        <v>72</v>
      </c>
      <c r="D52" s="19"/>
      <c r="E52" s="19">
        <v>1</v>
      </c>
      <c r="F52" s="10"/>
      <c r="G52" s="10">
        <f t="shared" si="0"/>
        <v>0</v>
      </c>
      <c r="H52" s="10"/>
      <c r="I52" s="10">
        <f t="shared" si="1"/>
        <v>0</v>
      </c>
      <c r="J52" s="10"/>
      <c r="K52" s="10">
        <f t="shared" si="2"/>
        <v>0</v>
      </c>
      <c r="L52" s="10">
        <f t="shared" si="3"/>
        <v>0</v>
      </c>
    </row>
    <row r="53" spans="1:12" x14ac:dyDescent="0.3">
      <c r="A53" s="2"/>
      <c r="B53" s="17" t="s">
        <v>596</v>
      </c>
      <c r="C53" s="18" t="s">
        <v>72</v>
      </c>
      <c r="D53" s="19"/>
      <c r="E53" s="19">
        <v>2</v>
      </c>
      <c r="F53" s="10"/>
      <c r="G53" s="10">
        <f t="shared" si="0"/>
        <v>0</v>
      </c>
      <c r="H53" s="10"/>
      <c r="I53" s="10">
        <f t="shared" si="1"/>
        <v>0</v>
      </c>
      <c r="J53" s="10"/>
      <c r="K53" s="10">
        <f t="shared" si="2"/>
        <v>0</v>
      </c>
      <c r="L53" s="10">
        <f t="shared" si="3"/>
        <v>0</v>
      </c>
    </row>
    <row r="54" spans="1:12" x14ac:dyDescent="0.3">
      <c r="A54" s="2"/>
      <c r="B54" s="17" t="s">
        <v>597</v>
      </c>
      <c r="C54" s="18" t="s">
        <v>72</v>
      </c>
      <c r="D54" s="19"/>
      <c r="E54" s="19">
        <v>2</v>
      </c>
      <c r="F54" s="10"/>
      <c r="G54" s="10">
        <f t="shared" si="0"/>
        <v>0</v>
      </c>
      <c r="H54" s="10"/>
      <c r="I54" s="10">
        <f t="shared" si="1"/>
        <v>0</v>
      </c>
      <c r="J54" s="10"/>
      <c r="K54" s="10">
        <f t="shared" si="2"/>
        <v>0</v>
      </c>
      <c r="L54" s="10">
        <f t="shared" si="3"/>
        <v>0</v>
      </c>
    </row>
    <row r="55" spans="1:12" x14ac:dyDescent="0.3">
      <c r="A55" s="2"/>
      <c r="B55" s="17" t="s">
        <v>598</v>
      </c>
      <c r="C55" s="18" t="s">
        <v>72</v>
      </c>
      <c r="D55" s="19"/>
      <c r="E55" s="19">
        <v>9</v>
      </c>
      <c r="F55" s="10"/>
      <c r="G55" s="10">
        <f t="shared" si="0"/>
        <v>0</v>
      </c>
      <c r="H55" s="10"/>
      <c r="I55" s="10">
        <f t="shared" si="1"/>
        <v>0</v>
      </c>
      <c r="J55" s="10"/>
      <c r="K55" s="10">
        <f t="shared" si="2"/>
        <v>0</v>
      </c>
      <c r="L55" s="10">
        <f t="shared" si="3"/>
        <v>0</v>
      </c>
    </row>
    <row r="56" spans="1:12" x14ac:dyDescent="0.3">
      <c r="A56" s="2"/>
      <c r="B56" s="17" t="s">
        <v>599</v>
      </c>
      <c r="C56" s="18" t="s">
        <v>72</v>
      </c>
      <c r="D56" s="19"/>
      <c r="E56" s="19">
        <v>5</v>
      </c>
      <c r="F56" s="10"/>
      <c r="G56" s="10">
        <f t="shared" si="0"/>
        <v>0</v>
      </c>
      <c r="H56" s="10"/>
      <c r="I56" s="10">
        <f t="shared" si="1"/>
        <v>0</v>
      </c>
      <c r="J56" s="10"/>
      <c r="K56" s="10">
        <f t="shared" si="2"/>
        <v>0</v>
      </c>
      <c r="L56" s="10">
        <f t="shared" si="3"/>
        <v>0</v>
      </c>
    </row>
    <row r="57" spans="1:12" x14ac:dyDescent="0.3">
      <c r="A57" s="2"/>
      <c r="B57" s="17" t="s">
        <v>584</v>
      </c>
      <c r="C57" s="18" t="s">
        <v>72</v>
      </c>
      <c r="D57" s="19"/>
      <c r="E57" s="19">
        <v>5</v>
      </c>
      <c r="F57" s="10"/>
      <c r="G57" s="10">
        <f t="shared" si="0"/>
        <v>0</v>
      </c>
      <c r="H57" s="10"/>
      <c r="I57" s="10">
        <f t="shared" si="1"/>
        <v>0</v>
      </c>
      <c r="J57" s="10"/>
      <c r="K57" s="10">
        <f t="shared" si="2"/>
        <v>0</v>
      </c>
      <c r="L57" s="10">
        <f t="shared" si="3"/>
        <v>0</v>
      </c>
    </row>
    <row r="58" spans="1:12" x14ac:dyDescent="0.3">
      <c r="A58" s="2"/>
      <c r="B58" s="17" t="s">
        <v>600</v>
      </c>
      <c r="C58" s="18" t="s">
        <v>72</v>
      </c>
      <c r="D58" s="19"/>
      <c r="E58" s="19">
        <v>1</v>
      </c>
      <c r="F58" s="10"/>
      <c r="G58" s="10">
        <f t="shared" si="0"/>
        <v>0</v>
      </c>
      <c r="H58" s="10"/>
      <c r="I58" s="10">
        <f t="shared" si="1"/>
        <v>0</v>
      </c>
      <c r="J58" s="10"/>
      <c r="K58" s="10">
        <f t="shared" si="2"/>
        <v>0</v>
      </c>
      <c r="L58" s="10">
        <f t="shared" si="3"/>
        <v>0</v>
      </c>
    </row>
    <row r="59" spans="1:12" x14ac:dyDescent="0.3">
      <c r="A59" s="2"/>
      <c r="B59" s="17" t="s">
        <v>601</v>
      </c>
      <c r="C59" s="18" t="s">
        <v>72</v>
      </c>
      <c r="D59" s="19"/>
      <c r="E59" s="19">
        <v>1</v>
      </c>
      <c r="F59" s="10"/>
      <c r="G59" s="10">
        <f t="shared" si="0"/>
        <v>0</v>
      </c>
      <c r="H59" s="10"/>
      <c r="I59" s="10">
        <f t="shared" si="1"/>
        <v>0</v>
      </c>
      <c r="J59" s="10"/>
      <c r="K59" s="10">
        <f t="shared" si="2"/>
        <v>0</v>
      </c>
      <c r="L59" s="10">
        <f t="shared" si="3"/>
        <v>0</v>
      </c>
    </row>
    <row r="60" spans="1:12" x14ac:dyDescent="0.3">
      <c r="A60" s="2"/>
      <c r="B60" s="17" t="s">
        <v>602</v>
      </c>
      <c r="C60" s="18" t="s">
        <v>72</v>
      </c>
      <c r="D60" s="19"/>
      <c r="E60" s="19">
        <v>2</v>
      </c>
      <c r="F60" s="10"/>
      <c r="G60" s="10">
        <f t="shared" si="0"/>
        <v>0</v>
      </c>
      <c r="H60" s="10"/>
      <c r="I60" s="10">
        <f t="shared" si="1"/>
        <v>0</v>
      </c>
      <c r="J60" s="10"/>
      <c r="K60" s="10">
        <f t="shared" si="2"/>
        <v>0</v>
      </c>
      <c r="L60" s="10">
        <f t="shared" si="3"/>
        <v>0</v>
      </c>
    </row>
    <row r="61" spans="1:12" x14ac:dyDescent="0.3">
      <c r="A61" s="2"/>
      <c r="B61" s="17" t="s">
        <v>570</v>
      </c>
      <c r="C61" s="18" t="s">
        <v>72</v>
      </c>
      <c r="D61" s="19"/>
      <c r="E61" s="19">
        <v>1</v>
      </c>
      <c r="F61" s="10"/>
      <c r="G61" s="10">
        <f t="shared" si="0"/>
        <v>0</v>
      </c>
      <c r="H61" s="10"/>
      <c r="I61" s="10">
        <f t="shared" si="1"/>
        <v>0</v>
      </c>
      <c r="J61" s="10"/>
      <c r="K61" s="10">
        <f t="shared" si="2"/>
        <v>0</v>
      </c>
      <c r="L61" s="10">
        <f t="shared" si="3"/>
        <v>0</v>
      </c>
    </row>
    <row r="62" spans="1:12" x14ac:dyDescent="0.3">
      <c r="A62" s="2"/>
      <c r="B62" s="17" t="s">
        <v>571</v>
      </c>
      <c r="C62" s="18" t="s">
        <v>72</v>
      </c>
      <c r="D62" s="19"/>
      <c r="E62" s="19">
        <v>3</v>
      </c>
      <c r="F62" s="10"/>
      <c r="G62" s="10">
        <f t="shared" si="0"/>
        <v>0</v>
      </c>
      <c r="H62" s="10"/>
      <c r="I62" s="10">
        <f t="shared" si="1"/>
        <v>0</v>
      </c>
      <c r="J62" s="10"/>
      <c r="K62" s="10">
        <f t="shared" si="2"/>
        <v>0</v>
      </c>
      <c r="L62" s="10">
        <f t="shared" si="3"/>
        <v>0</v>
      </c>
    </row>
    <row r="63" spans="1:12" x14ac:dyDescent="0.3">
      <c r="A63" s="2"/>
      <c r="B63" s="17" t="s">
        <v>589</v>
      </c>
      <c r="C63" s="18" t="s">
        <v>12</v>
      </c>
      <c r="D63" s="19"/>
      <c r="E63" s="19">
        <v>1</v>
      </c>
      <c r="F63" s="10"/>
      <c r="G63" s="10">
        <f t="shared" si="0"/>
        <v>0</v>
      </c>
      <c r="H63" s="10"/>
      <c r="I63" s="10">
        <f t="shared" si="1"/>
        <v>0</v>
      </c>
      <c r="J63" s="10"/>
      <c r="K63" s="10">
        <f t="shared" si="2"/>
        <v>0</v>
      </c>
      <c r="L63" s="10">
        <f t="shared" si="3"/>
        <v>0</v>
      </c>
    </row>
    <row r="64" spans="1:12" x14ac:dyDescent="0.3">
      <c r="A64" s="2"/>
      <c r="B64" s="17" t="s">
        <v>593</v>
      </c>
      <c r="C64" s="18" t="s">
        <v>72</v>
      </c>
      <c r="D64" s="19"/>
      <c r="E64" s="19">
        <v>1</v>
      </c>
      <c r="F64" s="10"/>
      <c r="G64" s="10">
        <f t="shared" si="0"/>
        <v>0</v>
      </c>
      <c r="H64" s="10"/>
      <c r="I64" s="10">
        <f t="shared" si="1"/>
        <v>0</v>
      </c>
      <c r="J64" s="10"/>
      <c r="K64" s="10">
        <f t="shared" si="2"/>
        <v>0</v>
      </c>
      <c r="L64" s="10">
        <f t="shared" si="3"/>
        <v>0</v>
      </c>
    </row>
    <row r="65" spans="1:14" x14ac:dyDescent="0.3">
      <c r="A65" s="2"/>
      <c r="B65" s="17" t="s">
        <v>594</v>
      </c>
      <c r="C65" s="18" t="s">
        <v>72</v>
      </c>
      <c r="D65" s="19"/>
      <c r="E65" s="19">
        <v>1</v>
      </c>
      <c r="F65" s="10"/>
      <c r="G65" s="10">
        <f t="shared" si="0"/>
        <v>0</v>
      </c>
      <c r="H65" s="10"/>
      <c r="I65" s="10">
        <f t="shared" si="1"/>
        <v>0</v>
      </c>
      <c r="J65" s="10"/>
      <c r="K65" s="10">
        <f t="shared" si="2"/>
        <v>0</v>
      </c>
      <c r="L65" s="10">
        <f t="shared" si="3"/>
        <v>0</v>
      </c>
    </row>
    <row r="66" spans="1:14" x14ac:dyDescent="0.3">
      <c r="A66" s="2"/>
      <c r="B66" s="17" t="s">
        <v>595</v>
      </c>
      <c r="C66" s="18" t="s">
        <v>12</v>
      </c>
      <c r="D66" s="19"/>
      <c r="E66" s="19">
        <v>2</v>
      </c>
      <c r="F66" s="10"/>
      <c r="G66" s="10">
        <f t="shared" si="0"/>
        <v>0</v>
      </c>
      <c r="H66" s="10"/>
      <c r="I66" s="10">
        <f t="shared" si="1"/>
        <v>0</v>
      </c>
      <c r="J66" s="10"/>
      <c r="K66" s="10">
        <f t="shared" si="2"/>
        <v>0</v>
      </c>
      <c r="L66" s="10">
        <f t="shared" si="3"/>
        <v>0</v>
      </c>
    </row>
    <row r="67" spans="1:14" x14ac:dyDescent="0.3">
      <c r="A67" s="2">
        <v>5</v>
      </c>
      <c r="B67" s="14" t="s">
        <v>590</v>
      </c>
      <c r="C67" s="2" t="s">
        <v>72</v>
      </c>
      <c r="D67" s="15"/>
      <c r="E67" s="15">
        <v>1</v>
      </c>
      <c r="F67" s="10"/>
      <c r="G67" s="10">
        <f t="shared" si="0"/>
        <v>0</v>
      </c>
      <c r="H67" s="10"/>
      <c r="I67" s="10">
        <f t="shared" si="1"/>
        <v>0</v>
      </c>
      <c r="J67" s="10"/>
      <c r="K67" s="10">
        <f t="shared" si="2"/>
        <v>0</v>
      </c>
      <c r="L67" s="10">
        <f t="shared" si="3"/>
        <v>0</v>
      </c>
    </row>
    <row r="68" spans="1:14" x14ac:dyDescent="0.3">
      <c r="A68" s="2"/>
      <c r="B68" s="17" t="s">
        <v>591</v>
      </c>
      <c r="C68" s="18" t="s">
        <v>72</v>
      </c>
      <c r="D68" s="27"/>
      <c r="E68" s="19">
        <v>1</v>
      </c>
      <c r="F68" s="10"/>
      <c r="G68" s="10">
        <f t="shared" si="0"/>
        <v>0</v>
      </c>
      <c r="H68" s="10"/>
      <c r="I68" s="10">
        <f t="shared" si="1"/>
        <v>0</v>
      </c>
      <c r="J68" s="10"/>
      <c r="K68" s="10">
        <f t="shared" si="2"/>
        <v>0</v>
      </c>
      <c r="L68" s="10">
        <f t="shared" si="3"/>
        <v>0</v>
      </c>
    </row>
    <row r="69" spans="1:14" x14ac:dyDescent="0.3">
      <c r="A69" s="2"/>
      <c r="B69" s="17" t="s">
        <v>582</v>
      </c>
      <c r="C69" s="18" t="s">
        <v>72</v>
      </c>
      <c r="D69" s="19"/>
      <c r="E69" s="19">
        <v>1</v>
      </c>
      <c r="F69" s="10"/>
      <c r="G69" s="10">
        <f t="shared" si="0"/>
        <v>0</v>
      </c>
      <c r="H69" s="10"/>
      <c r="I69" s="10">
        <f t="shared" si="1"/>
        <v>0</v>
      </c>
      <c r="J69" s="10"/>
      <c r="K69" s="10">
        <f t="shared" si="2"/>
        <v>0</v>
      </c>
      <c r="L69" s="10">
        <f t="shared" si="3"/>
        <v>0</v>
      </c>
      <c r="N69" s="9"/>
    </row>
    <row r="70" spans="1:14" x14ac:dyDescent="0.3">
      <c r="A70" s="2"/>
      <c r="B70" s="17" t="s">
        <v>584</v>
      </c>
      <c r="C70" s="18" t="s">
        <v>72</v>
      </c>
      <c r="D70" s="27"/>
      <c r="E70" s="19">
        <v>8</v>
      </c>
      <c r="F70" s="10"/>
      <c r="G70" s="10">
        <f t="shared" si="0"/>
        <v>0</v>
      </c>
      <c r="H70" s="10"/>
      <c r="I70" s="10">
        <f t="shared" si="1"/>
        <v>0</v>
      </c>
      <c r="J70" s="10"/>
      <c r="K70" s="10">
        <f t="shared" si="2"/>
        <v>0</v>
      </c>
      <c r="L70" s="10">
        <f t="shared" si="3"/>
        <v>0</v>
      </c>
    </row>
    <row r="71" spans="1:14" x14ac:dyDescent="0.3">
      <c r="A71" s="2"/>
      <c r="B71" s="17" t="s">
        <v>592</v>
      </c>
      <c r="C71" s="18" t="s">
        <v>72</v>
      </c>
      <c r="D71" s="27"/>
      <c r="E71" s="19">
        <v>4</v>
      </c>
      <c r="F71" s="10"/>
      <c r="G71" s="10">
        <f t="shared" si="0"/>
        <v>0</v>
      </c>
      <c r="H71" s="10"/>
      <c r="I71" s="10">
        <f t="shared" si="1"/>
        <v>0</v>
      </c>
      <c r="J71" s="10"/>
      <c r="K71" s="10">
        <f t="shared" si="2"/>
        <v>0</v>
      </c>
      <c r="L71" s="10">
        <f t="shared" si="3"/>
        <v>0</v>
      </c>
    </row>
    <row r="72" spans="1:14" x14ac:dyDescent="0.3">
      <c r="A72" s="2"/>
      <c r="B72" s="17" t="s">
        <v>589</v>
      </c>
      <c r="C72" s="18" t="s">
        <v>12</v>
      </c>
      <c r="D72" s="27"/>
      <c r="E72" s="19">
        <v>1</v>
      </c>
      <c r="F72" s="10"/>
      <c r="G72" s="10">
        <f t="shared" si="0"/>
        <v>0</v>
      </c>
      <c r="H72" s="10"/>
      <c r="I72" s="10">
        <f t="shared" si="1"/>
        <v>0</v>
      </c>
      <c r="J72" s="10"/>
      <c r="K72" s="10">
        <f t="shared" si="2"/>
        <v>0</v>
      </c>
      <c r="L72" s="10">
        <f t="shared" si="3"/>
        <v>0</v>
      </c>
    </row>
    <row r="73" spans="1:14" x14ac:dyDescent="0.3">
      <c r="A73" s="2"/>
      <c r="B73" s="17" t="s">
        <v>593</v>
      </c>
      <c r="C73" s="18" t="s">
        <v>72</v>
      </c>
      <c r="D73" s="19"/>
      <c r="E73" s="19">
        <v>1</v>
      </c>
      <c r="F73" s="10"/>
      <c r="G73" s="10">
        <f t="shared" si="0"/>
        <v>0</v>
      </c>
      <c r="H73" s="10"/>
      <c r="I73" s="10">
        <f t="shared" si="1"/>
        <v>0</v>
      </c>
      <c r="J73" s="10"/>
      <c r="K73" s="10">
        <f t="shared" si="2"/>
        <v>0</v>
      </c>
      <c r="L73" s="10">
        <f t="shared" si="3"/>
        <v>0</v>
      </c>
    </row>
    <row r="74" spans="1:14" x14ac:dyDescent="0.3">
      <c r="A74" s="2"/>
      <c r="B74" s="17" t="s">
        <v>594</v>
      </c>
      <c r="C74" s="18" t="s">
        <v>72</v>
      </c>
      <c r="D74" s="19"/>
      <c r="E74" s="19">
        <v>1</v>
      </c>
      <c r="F74" s="10"/>
      <c r="G74" s="10">
        <f t="shared" si="0"/>
        <v>0</v>
      </c>
      <c r="H74" s="10"/>
      <c r="I74" s="10">
        <f t="shared" si="1"/>
        <v>0</v>
      </c>
      <c r="J74" s="10"/>
      <c r="K74" s="10">
        <f t="shared" si="2"/>
        <v>0</v>
      </c>
      <c r="L74" s="10">
        <f t="shared" si="3"/>
        <v>0</v>
      </c>
    </row>
    <row r="75" spans="1:14" x14ac:dyDescent="0.3">
      <c r="A75" s="2"/>
      <c r="B75" s="17" t="s">
        <v>595</v>
      </c>
      <c r="C75" s="18" t="s">
        <v>12</v>
      </c>
      <c r="D75" s="19"/>
      <c r="E75" s="19">
        <v>2</v>
      </c>
      <c r="F75" s="10"/>
      <c r="G75" s="10">
        <f t="shared" si="0"/>
        <v>0</v>
      </c>
      <c r="H75" s="10"/>
      <c r="I75" s="10">
        <f t="shared" si="1"/>
        <v>0</v>
      </c>
      <c r="J75" s="10"/>
      <c r="K75" s="10">
        <f t="shared" si="2"/>
        <v>0</v>
      </c>
      <c r="L75" s="10">
        <f t="shared" si="3"/>
        <v>0</v>
      </c>
    </row>
    <row r="76" spans="1:14" x14ac:dyDescent="0.3">
      <c r="A76" s="2"/>
      <c r="B76" s="17" t="s">
        <v>603</v>
      </c>
      <c r="C76" s="18" t="s">
        <v>12</v>
      </c>
      <c r="D76" s="19"/>
      <c r="E76" s="19">
        <v>2</v>
      </c>
      <c r="F76" s="10"/>
      <c r="G76" s="10">
        <f t="shared" si="0"/>
        <v>0</v>
      </c>
      <c r="H76" s="10"/>
      <c r="I76" s="10">
        <f t="shared" si="1"/>
        <v>0</v>
      </c>
      <c r="J76" s="10"/>
      <c r="K76" s="10">
        <f t="shared" si="2"/>
        <v>0</v>
      </c>
      <c r="L76" s="10">
        <f t="shared" si="3"/>
        <v>0</v>
      </c>
    </row>
    <row r="77" spans="1:14" x14ac:dyDescent="0.3">
      <c r="A77" s="2">
        <v>6</v>
      </c>
      <c r="B77" s="14" t="s">
        <v>590</v>
      </c>
      <c r="C77" s="2" t="s">
        <v>72</v>
      </c>
      <c r="D77" s="15"/>
      <c r="E77" s="15">
        <v>1</v>
      </c>
      <c r="F77" s="10"/>
      <c r="G77" s="10">
        <f t="shared" si="0"/>
        <v>0</v>
      </c>
      <c r="H77" s="10"/>
      <c r="I77" s="10">
        <f t="shared" si="1"/>
        <v>0</v>
      </c>
      <c r="J77" s="10"/>
      <c r="K77" s="10">
        <f t="shared" si="2"/>
        <v>0</v>
      </c>
      <c r="L77" s="10">
        <f t="shared" si="3"/>
        <v>0</v>
      </c>
    </row>
    <row r="78" spans="1:14" x14ac:dyDescent="0.3">
      <c r="A78" s="2"/>
      <c r="B78" s="17" t="s">
        <v>591</v>
      </c>
      <c r="C78" s="18" t="s">
        <v>72</v>
      </c>
      <c r="D78" s="19"/>
      <c r="E78" s="19">
        <v>1</v>
      </c>
      <c r="F78" s="10"/>
      <c r="G78" s="10">
        <f t="shared" si="0"/>
        <v>0</v>
      </c>
      <c r="H78" s="10"/>
      <c r="I78" s="10">
        <f t="shared" si="1"/>
        <v>0</v>
      </c>
      <c r="J78" s="10"/>
      <c r="K78" s="10">
        <f t="shared" si="2"/>
        <v>0</v>
      </c>
      <c r="L78" s="10">
        <f t="shared" si="3"/>
        <v>0</v>
      </c>
    </row>
    <row r="79" spans="1:14" x14ac:dyDescent="0.3">
      <c r="A79" s="2"/>
      <c r="B79" s="17" t="s">
        <v>604</v>
      </c>
      <c r="C79" s="18" t="s">
        <v>72</v>
      </c>
      <c r="D79" s="19"/>
      <c r="E79" s="19">
        <v>1</v>
      </c>
      <c r="F79" s="10"/>
      <c r="G79" s="10">
        <f t="shared" si="0"/>
        <v>0</v>
      </c>
      <c r="H79" s="10"/>
      <c r="I79" s="10">
        <f t="shared" si="1"/>
        <v>0</v>
      </c>
      <c r="J79" s="10"/>
      <c r="K79" s="10">
        <f t="shared" si="2"/>
        <v>0</v>
      </c>
      <c r="L79" s="10">
        <f t="shared" si="3"/>
        <v>0</v>
      </c>
    </row>
    <row r="80" spans="1:14" x14ac:dyDescent="0.3">
      <c r="A80" s="2"/>
      <c r="B80" s="17" t="s">
        <v>581</v>
      </c>
      <c r="C80" s="18" t="s">
        <v>72</v>
      </c>
      <c r="D80" s="19"/>
      <c r="E80" s="19">
        <v>3</v>
      </c>
      <c r="F80" s="10"/>
      <c r="G80" s="10">
        <f t="shared" si="0"/>
        <v>0</v>
      </c>
      <c r="H80" s="10"/>
      <c r="I80" s="10">
        <f t="shared" si="1"/>
        <v>0</v>
      </c>
      <c r="J80" s="10"/>
      <c r="K80" s="10">
        <f t="shared" si="2"/>
        <v>0</v>
      </c>
      <c r="L80" s="10">
        <f t="shared" si="3"/>
        <v>0</v>
      </c>
    </row>
    <row r="81" spans="1:12" x14ac:dyDescent="0.3">
      <c r="A81" s="2"/>
      <c r="B81" s="17" t="s">
        <v>582</v>
      </c>
      <c r="C81" s="18" t="s">
        <v>72</v>
      </c>
      <c r="D81" s="19"/>
      <c r="E81" s="19">
        <v>1</v>
      </c>
      <c r="F81" s="10"/>
      <c r="G81" s="10">
        <f t="shared" si="0"/>
        <v>0</v>
      </c>
      <c r="H81" s="10"/>
      <c r="I81" s="10">
        <f t="shared" si="1"/>
        <v>0</v>
      </c>
      <c r="J81" s="10"/>
      <c r="K81" s="10">
        <f t="shared" si="2"/>
        <v>0</v>
      </c>
      <c r="L81" s="10">
        <f t="shared" si="3"/>
        <v>0</v>
      </c>
    </row>
    <row r="82" spans="1:12" x14ac:dyDescent="0.3">
      <c r="A82" s="2"/>
      <c r="B82" s="17" t="s">
        <v>599</v>
      </c>
      <c r="C82" s="18" t="s">
        <v>72</v>
      </c>
      <c r="D82" s="19"/>
      <c r="E82" s="19">
        <v>3</v>
      </c>
      <c r="F82" s="10"/>
      <c r="G82" s="10">
        <f t="shared" si="0"/>
        <v>0</v>
      </c>
      <c r="H82" s="10"/>
      <c r="I82" s="10">
        <f t="shared" si="1"/>
        <v>0</v>
      </c>
      <c r="J82" s="10"/>
      <c r="K82" s="10">
        <f t="shared" si="2"/>
        <v>0</v>
      </c>
      <c r="L82" s="10">
        <f t="shared" si="3"/>
        <v>0</v>
      </c>
    </row>
    <row r="83" spans="1:12" x14ac:dyDescent="0.3">
      <c r="A83" s="2"/>
      <c r="B83" s="17" t="s">
        <v>584</v>
      </c>
      <c r="C83" s="18" t="s">
        <v>72</v>
      </c>
      <c r="D83" s="19"/>
      <c r="E83" s="19">
        <v>2</v>
      </c>
      <c r="F83" s="10"/>
      <c r="G83" s="10">
        <f t="shared" ref="G83:G117" si="4">F83*E83</f>
        <v>0</v>
      </c>
      <c r="H83" s="10"/>
      <c r="I83" s="10">
        <f t="shared" ref="I83:I117" si="5">H83*E83</f>
        <v>0</v>
      </c>
      <c r="J83" s="10"/>
      <c r="K83" s="10">
        <f t="shared" ref="K83:K117" si="6">J83*E83</f>
        <v>0</v>
      </c>
      <c r="L83" s="10">
        <f t="shared" ref="L83:L117" si="7">K83+I83+G83</f>
        <v>0</v>
      </c>
    </row>
    <row r="84" spans="1:12" x14ac:dyDescent="0.3">
      <c r="A84" s="2"/>
      <c r="B84" s="17" t="s">
        <v>601</v>
      </c>
      <c r="C84" s="18" t="s">
        <v>72</v>
      </c>
      <c r="D84" s="19"/>
      <c r="E84" s="19">
        <v>1</v>
      </c>
      <c r="F84" s="10"/>
      <c r="G84" s="10">
        <f t="shared" si="4"/>
        <v>0</v>
      </c>
      <c r="H84" s="10"/>
      <c r="I84" s="10">
        <f t="shared" si="5"/>
        <v>0</v>
      </c>
      <c r="J84" s="10"/>
      <c r="K84" s="10">
        <f t="shared" si="6"/>
        <v>0</v>
      </c>
      <c r="L84" s="10">
        <f t="shared" si="7"/>
        <v>0</v>
      </c>
    </row>
    <row r="85" spans="1:12" x14ac:dyDescent="0.3">
      <c r="A85" s="2"/>
      <c r="B85" s="17" t="s">
        <v>570</v>
      </c>
      <c r="C85" s="18" t="s">
        <v>72</v>
      </c>
      <c r="D85" s="19"/>
      <c r="E85" s="19">
        <v>1</v>
      </c>
      <c r="F85" s="10"/>
      <c r="G85" s="10">
        <f t="shared" si="4"/>
        <v>0</v>
      </c>
      <c r="H85" s="10"/>
      <c r="I85" s="10">
        <f t="shared" si="5"/>
        <v>0</v>
      </c>
      <c r="J85" s="10"/>
      <c r="K85" s="10">
        <f t="shared" si="6"/>
        <v>0</v>
      </c>
      <c r="L85" s="10">
        <f t="shared" si="7"/>
        <v>0</v>
      </c>
    </row>
    <row r="86" spans="1:12" x14ac:dyDescent="0.3">
      <c r="A86" s="2"/>
      <c r="B86" s="17" t="s">
        <v>571</v>
      </c>
      <c r="C86" s="18" t="s">
        <v>72</v>
      </c>
      <c r="D86" s="19"/>
      <c r="E86" s="19">
        <v>3</v>
      </c>
      <c r="F86" s="10"/>
      <c r="G86" s="10">
        <f t="shared" si="4"/>
        <v>0</v>
      </c>
      <c r="H86" s="10"/>
      <c r="I86" s="10">
        <f t="shared" si="5"/>
        <v>0</v>
      </c>
      <c r="J86" s="10"/>
      <c r="K86" s="10">
        <f t="shared" si="6"/>
        <v>0</v>
      </c>
      <c r="L86" s="10">
        <f t="shared" si="7"/>
        <v>0</v>
      </c>
    </row>
    <row r="87" spans="1:12" x14ac:dyDescent="0.3">
      <c r="A87" s="2"/>
      <c r="B87" s="17" t="s">
        <v>589</v>
      </c>
      <c r="C87" s="18" t="s">
        <v>12</v>
      </c>
      <c r="D87" s="19"/>
      <c r="E87" s="19">
        <v>1</v>
      </c>
      <c r="F87" s="10"/>
      <c r="G87" s="10">
        <f t="shared" si="4"/>
        <v>0</v>
      </c>
      <c r="H87" s="10"/>
      <c r="I87" s="10">
        <f t="shared" si="5"/>
        <v>0</v>
      </c>
      <c r="J87" s="10"/>
      <c r="K87" s="10">
        <f t="shared" si="6"/>
        <v>0</v>
      </c>
      <c r="L87" s="10">
        <f t="shared" si="7"/>
        <v>0</v>
      </c>
    </row>
    <row r="88" spans="1:12" x14ac:dyDescent="0.3">
      <c r="A88" s="2"/>
      <c r="B88" s="17" t="s">
        <v>593</v>
      </c>
      <c r="C88" s="18" t="s">
        <v>72</v>
      </c>
      <c r="D88" s="27"/>
      <c r="E88" s="19">
        <v>1</v>
      </c>
      <c r="F88" s="10"/>
      <c r="G88" s="10">
        <f t="shared" si="4"/>
        <v>0</v>
      </c>
      <c r="H88" s="10"/>
      <c r="I88" s="10">
        <f t="shared" si="5"/>
        <v>0</v>
      </c>
      <c r="J88" s="10"/>
      <c r="K88" s="10">
        <f t="shared" si="6"/>
        <v>0</v>
      </c>
      <c r="L88" s="10">
        <f t="shared" si="7"/>
        <v>0</v>
      </c>
    </row>
    <row r="89" spans="1:12" x14ac:dyDescent="0.3">
      <c r="A89" s="2"/>
      <c r="B89" s="17" t="s">
        <v>594</v>
      </c>
      <c r="C89" s="18" t="s">
        <v>72</v>
      </c>
      <c r="D89" s="27"/>
      <c r="E89" s="19">
        <v>1</v>
      </c>
      <c r="F89" s="10"/>
      <c r="G89" s="10">
        <f t="shared" si="4"/>
        <v>0</v>
      </c>
      <c r="H89" s="10"/>
      <c r="I89" s="10">
        <f t="shared" si="5"/>
        <v>0</v>
      </c>
      <c r="J89" s="10"/>
      <c r="K89" s="10">
        <f t="shared" si="6"/>
        <v>0</v>
      </c>
      <c r="L89" s="10">
        <f t="shared" si="7"/>
        <v>0</v>
      </c>
    </row>
    <row r="90" spans="1:12" x14ac:dyDescent="0.3">
      <c r="A90" s="2"/>
      <c r="B90" s="17" t="s">
        <v>595</v>
      </c>
      <c r="C90" s="18" t="s">
        <v>12</v>
      </c>
      <c r="D90" s="27"/>
      <c r="E90" s="19">
        <v>2</v>
      </c>
      <c r="F90" s="10"/>
      <c r="G90" s="10">
        <f t="shared" si="4"/>
        <v>0</v>
      </c>
      <c r="H90" s="10"/>
      <c r="I90" s="10">
        <f t="shared" si="5"/>
        <v>0</v>
      </c>
      <c r="J90" s="10"/>
      <c r="K90" s="10">
        <f t="shared" si="6"/>
        <v>0</v>
      </c>
      <c r="L90" s="10">
        <f t="shared" si="7"/>
        <v>0</v>
      </c>
    </row>
    <row r="91" spans="1:12" x14ac:dyDescent="0.3">
      <c r="A91" s="2"/>
      <c r="B91" s="17" t="s">
        <v>603</v>
      </c>
      <c r="C91" s="18" t="s">
        <v>12</v>
      </c>
      <c r="D91" s="19"/>
      <c r="E91" s="19">
        <v>2</v>
      </c>
      <c r="F91" s="10"/>
      <c r="G91" s="10">
        <f t="shared" si="4"/>
        <v>0</v>
      </c>
      <c r="H91" s="10"/>
      <c r="I91" s="10">
        <f t="shared" si="5"/>
        <v>0</v>
      </c>
      <c r="J91" s="10"/>
      <c r="K91" s="10">
        <f t="shared" si="6"/>
        <v>0</v>
      </c>
      <c r="L91" s="10">
        <f t="shared" si="7"/>
        <v>0</v>
      </c>
    </row>
    <row r="92" spans="1:12" x14ac:dyDescent="0.3">
      <c r="A92" s="2">
        <v>7</v>
      </c>
      <c r="B92" s="14" t="s">
        <v>590</v>
      </c>
      <c r="C92" s="2" t="s">
        <v>72</v>
      </c>
      <c r="D92" s="15"/>
      <c r="E92" s="15">
        <v>2</v>
      </c>
      <c r="F92" s="10"/>
      <c r="G92" s="10">
        <f t="shared" si="4"/>
        <v>0</v>
      </c>
      <c r="H92" s="10"/>
      <c r="I92" s="10">
        <f t="shared" si="5"/>
        <v>0</v>
      </c>
      <c r="J92" s="10"/>
      <c r="K92" s="10">
        <f t="shared" si="6"/>
        <v>0</v>
      </c>
      <c r="L92" s="10">
        <f t="shared" si="7"/>
        <v>0</v>
      </c>
    </row>
    <row r="93" spans="1:12" x14ac:dyDescent="0.3">
      <c r="A93" s="2"/>
      <c r="B93" s="17" t="s">
        <v>605</v>
      </c>
      <c r="C93" s="18" t="s">
        <v>72</v>
      </c>
      <c r="D93" s="19"/>
      <c r="E93" s="19">
        <v>2</v>
      </c>
      <c r="F93" s="10"/>
      <c r="G93" s="10">
        <f t="shared" si="4"/>
        <v>0</v>
      </c>
      <c r="H93" s="10"/>
      <c r="I93" s="10">
        <f t="shared" si="5"/>
        <v>0</v>
      </c>
      <c r="J93" s="10"/>
      <c r="K93" s="10">
        <f t="shared" si="6"/>
        <v>0</v>
      </c>
      <c r="L93" s="10">
        <f t="shared" si="7"/>
        <v>0</v>
      </c>
    </row>
    <row r="94" spans="1:12" x14ac:dyDescent="0.3">
      <c r="A94" s="2"/>
      <c r="B94" s="17" t="s">
        <v>582</v>
      </c>
      <c r="C94" s="18" t="s">
        <v>72</v>
      </c>
      <c r="D94" s="19"/>
      <c r="E94" s="19">
        <v>2</v>
      </c>
      <c r="F94" s="10"/>
      <c r="G94" s="10">
        <f t="shared" si="4"/>
        <v>0</v>
      </c>
      <c r="H94" s="10"/>
      <c r="I94" s="10">
        <f t="shared" si="5"/>
        <v>0</v>
      </c>
      <c r="J94" s="10"/>
      <c r="K94" s="10">
        <f t="shared" si="6"/>
        <v>0</v>
      </c>
      <c r="L94" s="10">
        <f t="shared" si="7"/>
        <v>0</v>
      </c>
    </row>
    <row r="95" spans="1:12" x14ac:dyDescent="0.3">
      <c r="A95" s="2"/>
      <c r="B95" s="17" t="s">
        <v>606</v>
      </c>
      <c r="C95" s="18" t="s">
        <v>72</v>
      </c>
      <c r="D95" s="19"/>
      <c r="E95" s="19">
        <v>2</v>
      </c>
      <c r="F95" s="10"/>
      <c r="G95" s="10">
        <f t="shared" si="4"/>
        <v>0</v>
      </c>
      <c r="H95" s="10"/>
      <c r="I95" s="10">
        <f t="shared" si="5"/>
        <v>0</v>
      </c>
      <c r="J95" s="10"/>
      <c r="K95" s="10">
        <f t="shared" si="6"/>
        <v>0</v>
      </c>
      <c r="L95" s="10">
        <f t="shared" si="7"/>
        <v>0</v>
      </c>
    </row>
    <row r="96" spans="1:12" x14ac:dyDescent="0.3">
      <c r="A96" s="2"/>
      <c r="B96" s="17" t="s">
        <v>600</v>
      </c>
      <c r="C96" s="18" t="s">
        <v>72</v>
      </c>
      <c r="D96" s="19"/>
      <c r="E96" s="19">
        <v>4</v>
      </c>
      <c r="F96" s="10"/>
      <c r="G96" s="10">
        <f t="shared" si="4"/>
        <v>0</v>
      </c>
      <c r="H96" s="10"/>
      <c r="I96" s="10">
        <f t="shared" si="5"/>
        <v>0</v>
      </c>
      <c r="J96" s="10"/>
      <c r="K96" s="10">
        <f t="shared" si="6"/>
        <v>0</v>
      </c>
      <c r="L96" s="10">
        <f t="shared" si="7"/>
        <v>0</v>
      </c>
    </row>
    <row r="97" spans="1:14" x14ac:dyDescent="0.3">
      <c r="A97" s="2"/>
      <c r="B97" s="17" t="s">
        <v>601</v>
      </c>
      <c r="C97" s="18" t="s">
        <v>72</v>
      </c>
      <c r="D97" s="19"/>
      <c r="E97" s="19">
        <v>2</v>
      </c>
      <c r="F97" s="10"/>
      <c r="G97" s="10">
        <f t="shared" si="4"/>
        <v>0</v>
      </c>
      <c r="H97" s="10"/>
      <c r="I97" s="10">
        <f t="shared" si="5"/>
        <v>0</v>
      </c>
      <c r="J97" s="10"/>
      <c r="K97" s="10">
        <f t="shared" si="6"/>
        <v>0</v>
      </c>
      <c r="L97" s="10">
        <f t="shared" si="7"/>
        <v>0</v>
      </c>
    </row>
    <row r="98" spans="1:14" x14ac:dyDescent="0.3">
      <c r="A98" s="2"/>
      <c r="B98" s="17" t="s">
        <v>570</v>
      </c>
      <c r="C98" s="18" t="s">
        <v>72</v>
      </c>
      <c r="D98" s="19"/>
      <c r="E98" s="19">
        <v>2</v>
      </c>
      <c r="F98" s="10"/>
      <c r="G98" s="10">
        <f t="shared" si="4"/>
        <v>0</v>
      </c>
      <c r="H98" s="10"/>
      <c r="I98" s="10">
        <f t="shared" si="5"/>
        <v>0</v>
      </c>
      <c r="J98" s="10"/>
      <c r="K98" s="10">
        <f t="shared" si="6"/>
        <v>0</v>
      </c>
      <c r="L98" s="10">
        <f t="shared" si="7"/>
        <v>0</v>
      </c>
    </row>
    <row r="99" spans="1:14" x14ac:dyDescent="0.3">
      <c r="A99" s="2"/>
      <c r="B99" s="17" t="s">
        <v>571</v>
      </c>
      <c r="C99" s="18" t="s">
        <v>72</v>
      </c>
      <c r="D99" s="19"/>
      <c r="E99" s="19">
        <v>6</v>
      </c>
      <c r="F99" s="10"/>
      <c r="G99" s="10">
        <f t="shared" si="4"/>
        <v>0</v>
      </c>
      <c r="H99" s="10"/>
      <c r="I99" s="10">
        <f t="shared" si="5"/>
        <v>0</v>
      </c>
      <c r="J99" s="10"/>
      <c r="K99" s="10">
        <f t="shared" si="6"/>
        <v>0</v>
      </c>
      <c r="L99" s="10">
        <f t="shared" si="7"/>
        <v>0</v>
      </c>
    </row>
    <row r="100" spans="1:14" x14ac:dyDescent="0.3">
      <c r="A100" s="2"/>
      <c r="B100" s="17" t="s">
        <v>589</v>
      </c>
      <c r="C100" s="18" t="s">
        <v>12</v>
      </c>
      <c r="D100" s="19"/>
      <c r="E100" s="19">
        <v>1</v>
      </c>
      <c r="F100" s="10"/>
      <c r="G100" s="10">
        <f t="shared" si="4"/>
        <v>0</v>
      </c>
      <c r="H100" s="10"/>
      <c r="I100" s="10">
        <f t="shared" si="5"/>
        <v>0</v>
      </c>
      <c r="J100" s="10"/>
      <c r="K100" s="10">
        <f t="shared" si="6"/>
        <v>0</v>
      </c>
      <c r="L100" s="10">
        <f t="shared" si="7"/>
        <v>0</v>
      </c>
    </row>
    <row r="101" spans="1:14" x14ac:dyDescent="0.3">
      <c r="A101" s="2"/>
      <c r="B101" s="17" t="s">
        <v>607</v>
      </c>
      <c r="C101" s="18" t="s">
        <v>72</v>
      </c>
      <c r="D101" s="19"/>
      <c r="E101" s="19">
        <v>2</v>
      </c>
      <c r="F101" s="10"/>
      <c r="G101" s="10">
        <f t="shared" si="4"/>
        <v>0</v>
      </c>
      <c r="H101" s="10"/>
      <c r="I101" s="10">
        <f t="shared" si="5"/>
        <v>0</v>
      </c>
      <c r="J101" s="10"/>
      <c r="K101" s="10">
        <f t="shared" si="6"/>
        <v>0</v>
      </c>
      <c r="L101" s="10">
        <f t="shared" si="7"/>
        <v>0</v>
      </c>
    </row>
    <row r="102" spans="1:14" x14ac:dyDescent="0.3">
      <c r="A102" s="2"/>
      <c r="B102" s="17" t="s">
        <v>608</v>
      </c>
      <c r="C102" s="18" t="s">
        <v>72</v>
      </c>
      <c r="D102" s="19"/>
      <c r="E102" s="19">
        <v>2</v>
      </c>
      <c r="F102" s="10"/>
      <c r="G102" s="10">
        <f t="shared" si="4"/>
        <v>0</v>
      </c>
      <c r="H102" s="10"/>
      <c r="I102" s="10">
        <f t="shared" si="5"/>
        <v>0</v>
      </c>
      <c r="J102" s="10"/>
      <c r="K102" s="10">
        <f t="shared" si="6"/>
        <v>0</v>
      </c>
      <c r="L102" s="10">
        <f t="shared" si="7"/>
        <v>0</v>
      </c>
    </row>
    <row r="103" spans="1:14" x14ac:dyDescent="0.3">
      <c r="A103" s="2"/>
      <c r="B103" s="17" t="s">
        <v>595</v>
      </c>
      <c r="C103" s="18" t="s">
        <v>12</v>
      </c>
      <c r="D103" s="27"/>
      <c r="E103" s="19">
        <v>1</v>
      </c>
      <c r="F103" s="10"/>
      <c r="G103" s="10">
        <f t="shared" si="4"/>
        <v>0</v>
      </c>
      <c r="H103" s="10"/>
      <c r="I103" s="10">
        <f t="shared" si="5"/>
        <v>0</v>
      </c>
      <c r="J103" s="10"/>
      <c r="K103" s="10">
        <f t="shared" si="6"/>
        <v>0</v>
      </c>
      <c r="L103" s="10">
        <f t="shared" si="7"/>
        <v>0</v>
      </c>
    </row>
    <row r="104" spans="1:14" x14ac:dyDescent="0.3">
      <c r="A104" s="2"/>
      <c r="B104" s="17" t="s">
        <v>603</v>
      </c>
      <c r="C104" s="18" t="s">
        <v>12</v>
      </c>
      <c r="D104" s="19"/>
      <c r="E104" s="19">
        <v>3</v>
      </c>
      <c r="F104" s="10"/>
      <c r="G104" s="10">
        <f t="shared" si="4"/>
        <v>0</v>
      </c>
      <c r="H104" s="10"/>
      <c r="I104" s="10">
        <f t="shared" si="5"/>
        <v>0</v>
      </c>
      <c r="J104" s="10"/>
      <c r="K104" s="10">
        <f t="shared" si="6"/>
        <v>0</v>
      </c>
      <c r="L104" s="10">
        <f t="shared" si="7"/>
        <v>0</v>
      </c>
      <c r="N104" s="9"/>
    </row>
    <row r="105" spans="1:14" x14ac:dyDescent="0.3">
      <c r="A105" s="2">
        <v>8</v>
      </c>
      <c r="B105" s="14" t="s">
        <v>590</v>
      </c>
      <c r="C105" s="2" t="s">
        <v>72</v>
      </c>
      <c r="D105" s="32"/>
      <c r="E105" s="15">
        <v>1</v>
      </c>
      <c r="F105" s="10"/>
      <c r="G105" s="10">
        <f t="shared" si="4"/>
        <v>0</v>
      </c>
      <c r="H105" s="10"/>
      <c r="I105" s="10">
        <f t="shared" si="5"/>
        <v>0</v>
      </c>
      <c r="J105" s="10"/>
      <c r="K105" s="10">
        <f t="shared" si="6"/>
        <v>0</v>
      </c>
      <c r="L105" s="10">
        <f t="shared" si="7"/>
        <v>0</v>
      </c>
    </row>
    <row r="106" spans="1:14" x14ac:dyDescent="0.3">
      <c r="A106" s="2"/>
      <c r="B106" s="17" t="s">
        <v>605</v>
      </c>
      <c r="C106" s="18" t="s">
        <v>72</v>
      </c>
      <c r="D106" s="27"/>
      <c r="E106" s="19">
        <v>1</v>
      </c>
      <c r="F106" s="10"/>
      <c r="G106" s="10">
        <f t="shared" si="4"/>
        <v>0</v>
      </c>
      <c r="H106" s="10"/>
      <c r="I106" s="10">
        <f t="shared" si="5"/>
        <v>0</v>
      </c>
      <c r="J106" s="10"/>
      <c r="K106" s="10">
        <f t="shared" si="6"/>
        <v>0</v>
      </c>
      <c r="L106" s="10">
        <f t="shared" si="7"/>
        <v>0</v>
      </c>
    </row>
    <row r="107" spans="1:14" x14ac:dyDescent="0.3">
      <c r="A107" s="2"/>
      <c r="B107" s="17" t="s">
        <v>582</v>
      </c>
      <c r="C107" s="18" t="s">
        <v>72</v>
      </c>
      <c r="D107" s="27"/>
      <c r="E107" s="19">
        <v>1</v>
      </c>
      <c r="F107" s="10"/>
      <c r="G107" s="10">
        <f t="shared" si="4"/>
        <v>0</v>
      </c>
      <c r="H107" s="10"/>
      <c r="I107" s="10">
        <f t="shared" si="5"/>
        <v>0</v>
      </c>
      <c r="J107" s="10"/>
      <c r="K107" s="10">
        <f t="shared" si="6"/>
        <v>0</v>
      </c>
      <c r="L107" s="10">
        <f t="shared" si="7"/>
        <v>0</v>
      </c>
    </row>
    <row r="108" spans="1:14" x14ac:dyDescent="0.3">
      <c r="A108" s="2"/>
      <c r="B108" s="17" t="s">
        <v>606</v>
      </c>
      <c r="C108" s="18" t="s">
        <v>72</v>
      </c>
      <c r="D108" s="19"/>
      <c r="E108" s="19">
        <v>1</v>
      </c>
      <c r="F108" s="10"/>
      <c r="G108" s="10">
        <f t="shared" si="4"/>
        <v>0</v>
      </c>
      <c r="H108" s="10"/>
      <c r="I108" s="10">
        <f t="shared" si="5"/>
        <v>0</v>
      </c>
      <c r="J108" s="10"/>
      <c r="K108" s="10">
        <f t="shared" si="6"/>
        <v>0</v>
      </c>
      <c r="L108" s="10">
        <f t="shared" si="7"/>
        <v>0</v>
      </c>
    </row>
    <row r="109" spans="1:14" x14ac:dyDescent="0.3">
      <c r="A109" s="2"/>
      <c r="B109" s="17" t="s">
        <v>599</v>
      </c>
      <c r="C109" s="18" t="s">
        <v>72</v>
      </c>
      <c r="D109" s="19"/>
      <c r="E109" s="19">
        <v>1</v>
      </c>
      <c r="F109" s="10"/>
      <c r="G109" s="10">
        <f t="shared" si="4"/>
        <v>0</v>
      </c>
      <c r="H109" s="10"/>
      <c r="I109" s="10">
        <f t="shared" si="5"/>
        <v>0</v>
      </c>
      <c r="J109" s="10"/>
      <c r="K109" s="10">
        <f t="shared" si="6"/>
        <v>0</v>
      </c>
      <c r="L109" s="10">
        <f t="shared" si="7"/>
        <v>0</v>
      </c>
    </row>
    <row r="110" spans="1:14" x14ac:dyDescent="0.3">
      <c r="A110" s="2"/>
      <c r="B110" s="17" t="s">
        <v>609</v>
      </c>
      <c r="C110" s="18" t="s">
        <v>72</v>
      </c>
      <c r="D110" s="19"/>
      <c r="E110" s="19">
        <v>2</v>
      </c>
      <c r="F110" s="10"/>
      <c r="G110" s="10">
        <f t="shared" si="4"/>
        <v>0</v>
      </c>
      <c r="H110" s="10"/>
      <c r="I110" s="10">
        <f t="shared" si="5"/>
        <v>0</v>
      </c>
      <c r="J110" s="10"/>
      <c r="K110" s="10">
        <f t="shared" si="6"/>
        <v>0</v>
      </c>
      <c r="L110" s="10">
        <f t="shared" si="7"/>
        <v>0</v>
      </c>
    </row>
    <row r="111" spans="1:14" x14ac:dyDescent="0.3">
      <c r="A111" s="2"/>
      <c r="B111" s="17" t="s">
        <v>601</v>
      </c>
      <c r="C111" s="18" t="s">
        <v>72</v>
      </c>
      <c r="D111" s="19"/>
      <c r="E111" s="19">
        <v>1</v>
      </c>
      <c r="F111" s="10"/>
      <c r="G111" s="10">
        <f t="shared" si="4"/>
        <v>0</v>
      </c>
      <c r="H111" s="10"/>
      <c r="I111" s="10">
        <f t="shared" si="5"/>
        <v>0</v>
      </c>
      <c r="J111" s="10"/>
      <c r="K111" s="10">
        <f t="shared" si="6"/>
        <v>0</v>
      </c>
      <c r="L111" s="10">
        <f t="shared" si="7"/>
        <v>0</v>
      </c>
    </row>
    <row r="112" spans="1:14" x14ac:dyDescent="0.3">
      <c r="A112" s="2"/>
      <c r="B112" s="17" t="s">
        <v>570</v>
      </c>
      <c r="C112" s="18" t="s">
        <v>72</v>
      </c>
      <c r="D112" s="19"/>
      <c r="E112" s="19">
        <v>1</v>
      </c>
      <c r="F112" s="10"/>
      <c r="G112" s="10">
        <f t="shared" si="4"/>
        <v>0</v>
      </c>
      <c r="H112" s="10"/>
      <c r="I112" s="10">
        <f t="shared" si="5"/>
        <v>0</v>
      </c>
      <c r="J112" s="10"/>
      <c r="K112" s="10">
        <f t="shared" si="6"/>
        <v>0</v>
      </c>
      <c r="L112" s="10">
        <f t="shared" si="7"/>
        <v>0</v>
      </c>
    </row>
    <row r="113" spans="1:12" x14ac:dyDescent="0.3">
      <c r="A113" s="2"/>
      <c r="B113" s="17" t="s">
        <v>571</v>
      </c>
      <c r="C113" s="18" t="s">
        <v>72</v>
      </c>
      <c r="D113" s="19"/>
      <c r="E113" s="19">
        <v>3</v>
      </c>
      <c r="F113" s="10"/>
      <c r="G113" s="10">
        <f t="shared" si="4"/>
        <v>0</v>
      </c>
      <c r="H113" s="10"/>
      <c r="I113" s="10">
        <f t="shared" si="5"/>
        <v>0</v>
      </c>
      <c r="J113" s="10"/>
      <c r="K113" s="10">
        <f t="shared" si="6"/>
        <v>0</v>
      </c>
      <c r="L113" s="10">
        <f t="shared" si="7"/>
        <v>0</v>
      </c>
    </row>
    <row r="114" spans="1:12" x14ac:dyDescent="0.3">
      <c r="A114" s="2"/>
      <c r="B114" s="17" t="s">
        <v>589</v>
      </c>
      <c r="C114" s="18" t="s">
        <v>12</v>
      </c>
      <c r="D114" s="19"/>
      <c r="E114" s="19">
        <v>0.5</v>
      </c>
      <c r="F114" s="10"/>
      <c r="G114" s="10">
        <f t="shared" si="4"/>
        <v>0</v>
      </c>
      <c r="H114" s="10"/>
      <c r="I114" s="10">
        <f t="shared" si="5"/>
        <v>0</v>
      </c>
      <c r="J114" s="10"/>
      <c r="K114" s="10">
        <f t="shared" si="6"/>
        <v>0</v>
      </c>
      <c r="L114" s="10">
        <f t="shared" si="7"/>
        <v>0</v>
      </c>
    </row>
    <row r="115" spans="1:12" x14ac:dyDescent="0.3">
      <c r="A115" s="2"/>
      <c r="B115" s="17" t="s">
        <v>607</v>
      </c>
      <c r="C115" s="18" t="s">
        <v>72</v>
      </c>
      <c r="D115" s="19"/>
      <c r="E115" s="19">
        <v>1</v>
      </c>
      <c r="F115" s="10"/>
      <c r="G115" s="10">
        <f t="shared" si="4"/>
        <v>0</v>
      </c>
      <c r="H115" s="10"/>
      <c r="I115" s="10">
        <f t="shared" si="5"/>
        <v>0</v>
      </c>
      <c r="J115" s="10"/>
      <c r="K115" s="10">
        <f t="shared" si="6"/>
        <v>0</v>
      </c>
      <c r="L115" s="10">
        <f t="shared" si="7"/>
        <v>0</v>
      </c>
    </row>
    <row r="116" spans="1:12" x14ac:dyDescent="0.3">
      <c r="A116" s="2"/>
      <c r="B116" s="17" t="s">
        <v>608</v>
      </c>
      <c r="C116" s="18" t="s">
        <v>72</v>
      </c>
      <c r="D116" s="19"/>
      <c r="E116" s="19">
        <v>1</v>
      </c>
      <c r="F116" s="10"/>
      <c r="G116" s="10">
        <f t="shared" si="4"/>
        <v>0</v>
      </c>
      <c r="H116" s="10"/>
      <c r="I116" s="10">
        <f t="shared" si="5"/>
        <v>0</v>
      </c>
      <c r="J116" s="10"/>
      <c r="K116" s="10">
        <f t="shared" si="6"/>
        <v>0</v>
      </c>
      <c r="L116" s="10">
        <f t="shared" si="7"/>
        <v>0</v>
      </c>
    </row>
    <row r="117" spans="1:12" x14ac:dyDescent="0.3">
      <c r="A117" s="2"/>
      <c r="B117" s="17" t="s">
        <v>595</v>
      </c>
      <c r="C117" s="18" t="s">
        <v>12</v>
      </c>
      <c r="D117" s="19"/>
      <c r="E117" s="19">
        <v>0.5</v>
      </c>
      <c r="F117" s="10"/>
      <c r="G117" s="10">
        <f t="shared" si="4"/>
        <v>0</v>
      </c>
      <c r="H117" s="10"/>
      <c r="I117" s="10">
        <f t="shared" si="5"/>
        <v>0</v>
      </c>
      <c r="J117" s="10"/>
      <c r="K117" s="10">
        <f t="shared" si="6"/>
        <v>0</v>
      </c>
      <c r="L117" s="10">
        <f t="shared" si="7"/>
        <v>0</v>
      </c>
    </row>
    <row r="118" spans="1:12" x14ac:dyDescent="0.3">
      <c r="A118" s="2"/>
      <c r="B118" s="17" t="s">
        <v>603</v>
      </c>
      <c r="C118" s="18" t="s">
        <v>12</v>
      </c>
      <c r="D118" s="19"/>
      <c r="E118" s="19">
        <v>1.5</v>
      </c>
      <c r="F118" s="10"/>
      <c r="G118" s="10">
        <f t="shared" si="0"/>
        <v>0</v>
      </c>
      <c r="H118" s="10"/>
      <c r="I118" s="10">
        <f t="shared" si="1"/>
        <v>0</v>
      </c>
      <c r="J118" s="10"/>
      <c r="K118" s="10">
        <f t="shared" si="2"/>
        <v>0</v>
      </c>
      <c r="L118" s="10">
        <f t="shared" si="3"/>
        <v>0</v>
      </c>
    </row>
    <row r="119" spans="1:12" x14ac:dyDescent="0.3">
      <c r="A119" s="2">
        <v>9</v>
      </c>
      <c r="B119" s="14" t="s">
        <v>590</v>
      </c>
      <c r="C119" s="2" t="s">
        <v>72</v>
      </c>
      <c r="D119" s="15"/>
      <c r="E119" s="15">
        <v>1</v>
      </c>
      <c r="F119" s="10"/>
      <c r="G119" s="10">
        <f t="shared" si="0"/>
        <v>0</v>
      </c>
      <c r="H119" s="10"/>
      <c r="I119" s="10">
        <f t="shared" si="1"/>
        <v>0</v>
      </c>
      <c r="J119" s="10"/>
      <c r="K119" s="10">
        <f t="shared" si="2"/>
        <v>0</v>
      </c>
      <c r="L119" s="10">
        <f t="shared" si="3"/>
        <v>0</v>
      </c>
    </row>
    <row r="120" spans="1:12" x14ac:dyDescent="0.3">
      <c r="A120" s="2"/>
      <c r="B120" s="17" t="s">
        <v>591</v>
      </c>
      <c r="C120" s="18" t="s">
        <v>72</v>
      </c>
      <c r="D120" s="19"/>
      <c r="E120" s="19">
        <v>1</v>
      </c>
      <c r="F120" s="10"/>
      <c r="G120" s="10">
        <f t="shared" si="0"/>
        <v>0</v>
      </c>
      <c r="H120" s="10"/>
      <c r="I120" s="10">
        <f t="shared" si="1"/>
        <v>0</v>
      </c>
      <c r="J120" s="10"/>
      <c r="K120" s="10">
        <f t="shared" si="2"/>
        <v>0</v>
      </c>
      <c r="L120" s="10">
        <f t="shared" si="3"/>
        <v>0</v>
      </c>
    </row>
    <row r="121" spans="1:12" x14ac:dyDescent="0.3">
      <c r="A121" s="2"/>
      <c r="B121" s="17" t="s">
        <v>606</v>
      </c>
      <c r="C121" s="18" t="s">
        <v>72</v>
      </c>
      <c r="D121" s="19"/>
      <c r="E121" s="19">
        <v>1</v>
      </c>
      <c r="F121" s="10"/>
      <c r="G121" s="10">
        <f t="shared" si="0"/>
        <v>0</v>
      </c>
      <c r="H121" s="10"/>
      <c r="I121" s="10">
        <f t="shared" si="1"/>
        <v>0</v>
      </c>
      <c r="J121" s="10"/>
      <c r="K121" s="10">
        <f t="shared" si="2"/>
        <v>0</v>
      </c>
      <c r="L121" s="10">
        <f t="shared" si="3"/>
        <v>0</v>
      </c>
    </row>
    <row r="122" spans="1:12" x14ac:dyDescent="0.3">
      <c r="A122" s="2"/>
      <c r="B122" s="17" t="s">
        <v>597</v>
      </c>
      <c r="C122" s="18" t="s">
        <v>72</v>
      </c>
      <c r="D122" s="27"/>
      <c r="E122" s="19">
        <v>1</v>
      </c>
      <c r="F122" s="10"/>
      <c r="G122" s="10">
        <f t="shared" si="0"/>
        <v>0</v>
      </c>
      <c r="H122" s="10"/>
      <c r="I122" s="10">
        <f t="shared" si="1"/>
        <v>0</v>
      </c>
      <c r="J122" s="10"/>
      <c r="K122" s="10">
        <f t="shared" si="2"/>
        <v>0</v>
      </c>
      <c r="L122" s="10">
        <f t="shared" si="3"/>
        <v>0</v>
      </c>
    </row>
    <row r="123" spans="1:12" x14ac:dyDescent="0.3">
      <c r="A123" s="2"/>
      <c r="B123" s="17" t="s">
        <v>584</v>
      </c>
      <c r="C123" s="18" t="s">
        <v>72</v>
      </c>
      <c r="D123" s="27"/>
      <c r="E123" s="19">
        <v>2</v>
      </c>
      <c r="F123" s="10"/>
      <c r="G123" s="10">
        <f t="shared" si="0"/>
        <v>0</v>
      </c>
      <c r="H123" s="10"/>
      <c r="I123" s="10">
        <f t="shared" si="1"/>
        <v>0</v>
      </c>
      <c r="J123" s="10"/>
      <c r="K123" s="10">
        <f t="shared" si="2"/>
        <v>0</v>
      </c>
      <c r="L123" s="10">
        <f t="shared" si="3"/>
        <v>0</v>
      </c>
    </row>
    <row r="124" spans="1:12" x14ac:dyDescent="0.3">
      <c r="A124" s="2"/>
      <c r="B124" s="17" t="s">
        <v>601</v>
      </c>
      <c r="C124" s="18" t="s">
        <v>72</v>
      </c>
      <c r="D124" s="19"/>
      <c r="E124" s="19">
        <v>1</v>
      </c>
      <c r="F124" s="10"/>
      <c r="G124" s="10">
        <f t="shared" ref="G124:G325" si="8">F124*E124</f>
        <v>0</v>
      </c>
      <c r="H124" s="10"/>
      <c r="I124" s="10">
        <f t="shared" ref="I124:I325" si="9">H124*E124</f>
        <v>0</v>
      </c>
      <c r="J124" s="10"/>
      <c r="K124" s="10">
        <f t="shared" ref="K124:K325" si="10">J124*E124</f>
        <v>0</v>
      </c>
      <c r="L124" s="10">
        <f t="shared" ref="L124:L325" si="11">K124+I124+G124</f>
        <v>0</v>
      </c>
    </row>
    <row r="125" spans="1:12" x14ac:dyDescent="0.3">
      <c r="A125" s="2"/>
      <c r="B125" s="17" t="s">
        <v>610</v>
      </c>
      <c r="C125" s="18" t="s">
        <v>72</v>
      </c>
      <c r="D125" s="19"/>
      <c r="E125" s="19">
        <v>1</v>
      </c>
      <c r="F125" s="10"/>
      <c r="G125" s="10">
        <f t="shared" si="8"/>
        <v>0</v>
      </c>
      <c r="H125" s="10"/>
      <c r="I125" s="10">
        <f t="shared" si="9"/>
        <v>0</v>
      </c>
      <c r="J125" s="10"/>
      <c r="K125" s="10">
        <f t="shared" si="10"/>
        <v>0</v>
      </c>
      <c r="L125" s="10">
        <f t="shared" si="11"/>
        <v>0</v>
      </c>
    </row>
    <row r="126" spans="1:12" x14ac:dyDescent="0.3">
      <c r="A126" s="2"/>
      <c r="B126" s="17" t="s">
        <v>611</v>
      </c>
      <c r="C126" s="18" t="s">
        <v>72</v>
      </c>
      <c r="D126" s="19"/>
      <c r="E126" s="19">
        <v>1</v>
      </c>
      <c r="F126" s="10"/>
      <c r="G126" s="10">
        <f t="shared" si="8"/>
        <v>0</v>
      </c>
      <c r="H126" s="10"/>
      <c r="I126" s="10">
        <f t="shared" si="9"/>
        <v>0</v>
      </c>
      <c r="J126" s="10"/>
      <c r="K126" s="10">
        <f t="shared" si="10"/>
        <v>0</v>
      </c>
      <c r="L126" s="10">
        <f t="shared" si="11"/>
        <v>0</v>
      </c>
    </row>
    <row r="127" spans="1:12" x14ac:dyDescent="0.3">
      <c r="A127" s="2"/>
      <c r="B127" s="17" t="s">
        <v>612</v>
      </c>
      <c r="C127" s="18" t="s">
        <v>72</v>
      </c>
      <c r="D127" s="19"/>
      <c r="E127" s="19">
        <v>1</v>
      </c>
      <c r="F127" s="10"/>
      <c r="G127" s="10">
        <f t="shared" si="8"/>
        <v>0</v>
      </c>
      <c r="H127" s="10"/>
      <c r="I127" s="10">
        <f t="shared" si="9"/>
        <v>0</v>
      </c>
      <c r="J127" s="10"/>
      <c r="K127" s="10">
        <f t="shared" si="10"/>
        <v>0</v>
      </c>
      <c r="L127" s="10">
        <f t="shared" si="11"/>
        <v>0</v>
      </c>
    </row>
    <row r="128" spans="1:12" ht="28.8" x14ac:dyDescent="0.3">
      <c r="A128" s="2"/>
      <c r="B128" s="17" t="s">
        <v>588</v>
      </c>
      <c r="C128" s="18" t="s">
        <v>72</v>
      </c>
      <c r="D128" s="19"/>
      <c r="E128" s="19">
        <v>1</v>
      </c>
      <c r="F128" s="10"/>
      <c r="G128" s="10">
        <f t="shared" si="8"/>
        <v>0</v>
      </c>
      <c r="H128" s="10"/>
      <c r="I128" s="10">
        <f t="shared" si="9"/>
        <v>0</v>
      </c>
      <c r="J128" s="10"/>
      <c r="K128" s="10">
        <f t="shared" si="10"/>
        <v>0</v>
      </c>
      <c r="L128" s="10">
        <f t="shared" si="11"/>
        <v>0</v>
      </c>
    </row>
    <row r="129" spans="1:12" x14ac:dyDescent="0.3">
      <c r="A129" s="2"/>
      <c r="B129" s="17" t="s">
        <v>570</v>
      </c>
      <c r="C129" s="18" t="s">
        <v>72</v>
      </c>
      <c r="D129" s="27"/>
      <c r="E129" s="19">
        <v>1</v>
      </c>
      <c r="F129" s="10"/>
      <c r="G129" s="10">
        <f t="shared" si="8"/>
        <v>0</v>
      </c>
      <c r="H129" s="10"/>
      <c r="I129" s="10">
        <f t="shared" si="9"/>
        <v>0</v>
      </c>
      <c r="J129" s="10"/>
      <c r="K129" s="10">
        <f t="shared" si="10"/>
        <v>0</v>
      </c>
      <c r="L129" s="10">
        <f t="shared" si="11"/>
        <v>0</v>
      </c>
    </row>
    <row r="130" spans="1:12" x14ac:dyDescent="0.3">
      <c r="A130" s="2"/>
      <c r="B130" s="17" t="s">
        <v>571</v>
      </c>
      <c r="C130" s="18" t="s">
        <v>72</v>
      </c>
      <c r="D130" s="27"/>
      <c r="E130" s="19">
        <v>3</v>
      </c>
      <c r="F130" s="10"/>
      <c r="G130" s="10">
        <f t="shared" si="8"/>
        <v>0</v>
      </c>
      <c r="H130" s="10"/>
      <c r="I130" s="10">
        <f t="shared" si="9"/>
        <v>0</v>
      </c>
      <c r="J130" s="10"/>
      <c r="K130" s="10">
        <f t="shared" si="10"/>
        <v>0</v>
      </c>
      <c r="L130" s="10">
        <f t="shared" si="11"/>
        <v>0</v>
      </c>
    </row>
    <row r="131" spans="1:12" x14ac:dyDescent="0.3">
      <c r="A131" s="2"/>
      <c r="B131" s="17" t="s">
        <v>589</v>
      </c>
      <c r="C131" s="18" t="s">
        <v>12</v>
      </c>
      <c r="D131" s="27"/>
      <c r="E131" s="19">
        <v>0.5</v>
      </c>
      <c r="F131" s="10"/>
      <c r="G131" s="10">
        <f t="shared" si="8"/>
        <v>0</v>
      </c>
      <c r="H131" s="10"/>
      <c r="I131" s="10">
        <f t="shared" si="9"/>
        <v>0</v>
      </c>
      <c r="J131" s="10"/>
      <c r="K131" s="10">
        <f t="shared" si="10"/>
        <v>0</v>
      </c>
      <c r="L131" s="10">
        <f t="shared" si="11"/>
        <v>0</v>
      </c>
    </row>
    <row r="132" spans="1:12" x14ac:dyDescent="0.3">
      <c r="A132" s="2"/>
      <c r="B132" s="17" t="s">
        <v>593</v>
      </c>
      <c r="C132" s="18" t="s">
        <v>72</v>
      </c>
      <c r="D132" s="19"/>
      <c r="E132" s="19">
        <v>1</v>
      </c>
      <c r="F132" s="10"/>
      <c r="G132" s="10">
        <f t="shared" si="8"/>
        <v>0</v>
      </c>
      <c r="H132" s="10"/>
      <c r="I132" s="10">
        <f t="shared" si="9"/>
        <v>0</v>
      </c>
      <c r="J132" s="10"/>
      <c r="K132" s="10">
        <f t="shared" si="10"/>
        <v>0</v>
      </c>
      <c r="L132" s="10">
        <f t="shared" si="11"/>
        <v>0</v>
      </c>
    </row>
    <row r="133" spans="1:12" x14ac:dyDescent="0.3">
      <c r="A133" s="2"/>
      <c r="B133" s="17" t="s">
        <v>594</v>
      </c>
      <c r="C133" s="18" t="s">
        <v>72</v>
      </c>
      <c r="D133" s="19"/>
      <c r="E133" s="19">
        <v>1</v>
      </c>
      <c r="F133" s="10"/>
      <c r="G133" s="10">
        <f t="shared" si="8"/>
        <v>0</v>
      </c>
      <c r="H133" s="10"/>
      <c r="I133" s="10">
        <f t="shared" si="9"/>
        <v>0</v>
      </c>
      <c r="J133" s="10"/>
      <c r="K133" s="10">
        <f t="shared" si="10"/>
        <v>0</v>
      </c>
      <c r="L133" s="10">
        <f t="shared" si="11"/>
        <v>0</v>
      </c>
    </row>
    <row r="134" spans="1:12" x14ac:dyDescent="0.3">
      <c r="A134" s="2"/>
      <c r="B134" s="17" t="s">
        <v>595</v>
      </c>
      <c r="C134" s="18" t="s">
        <v>12</v>
      </c>
      <c r="D134" s="19"/>
      <c r="E134" s="19">
        <v>0.5</v>
      </c>
      <c r="F134" s="10"/>
      <c r="G134" s="10">
        <f t="shared" si="8"/>
        <v>0</v>
      </c>
      <c r="H134" s="10"/>
      <c r="I134" s="10">
        <f t="shared" si="9"/>
        <v>0</v>
      </c>
      <c r="J134" s="10"/>
      <c r="K134" s="10">
        <f t="shared" si="10"/>
        <v>0</v>
      </c>
      <c r="L134" s="10">
        <f t="shared" si="11"/>
        <v>0</v>
      </c>
    </row>
    <row r="135" spans="1:12" x14ac:dyDescent="0.3">
      <c r="A135" s="2"/>
      <c r="B135" s="17" t="s">
        <v>603</v>
      </c>
      <c r="C135" s="18" t="s">
        <v>12</v>
      </c>
      <c r="D135" s="19"/>
      <c r="E135" s="19">
        <v>2</v>
      </c>
      <c r="F135" s="10"/>
      <c r="G135" s="10">
        <f t="shared" si="8"/>
        <v>0</v>
      </c>
      <c r="H135" s="10"/>
      <c r="I135" s="10">
        <f t="shared" si="9"/>
        <v>0</v>
      </c>
      <c r="J135" s="10"/>
      <c r="K135" s="10">
        <f t="shared" si="10"/>
        <v>0</v>
      </c>
      <c r="L135" s="10">
        <f t="shared" si="11"/>
        <v>0</v>
      </c>
    </row>
    <row r="136" spans="1:12" x14ac:dyDescent="0.3">
      <c r="A136" s="2">
        <v>10</v>
      </c>
      <c r="B136" s="14" t="s">
        <v>590</v>
      </c>
      <c r="C136" s="2" t="s">
        <v>72</v>
      </c>
      <c r="D136" s="15"/>
      <c r="E136" s="15">
        <v>1</v>
      </c>
      <c r="F136" s="10"/>
      <c r="G136" s="10">
        <f t="shared" si="8"/>
        <v>0</v>
      </c>
      <c r="H136" s="10"/>
      <c r="I136" s="10">
        <f t="shared" si="9"/>
        <v>0</v>
      </c>
      <c r="J136" s="10"/>
      <c r="K136" s="10">
        <f t="shared" si="10"/>
        <v>0</v>
      </c>
      <c r="L136" s="10">
        <f t="shared" si="11"/>
        <v>0</v>
      </c>
    </row>
    <row r="137" spans="1:12" x14ac:dyDescent="0.3">
      <c r="A137" s="2"/>
      <c r="B137" s="17" t="s">
        <v>591</v>
      </c>
      <c r="C137" s="18" t="s">
        <v>72</v>
      </c>
      <c r="D137" s="19"/>
      <c r="E137" s="19">
        <v>1</v>
      </c>
      <c r="F137" s="10"/>
      <c r="G137" s="10">
        <f t="shared" si="8"/>
        <v>0</v>
      </c>
      <c r="H137" s="10"/>
      <c r="I137" s="10">
        <f t="shared" si="9"/>
        <v>0</v>
      </c>
      <c r="J137" s="10"/>
      <c r="K137" s="10">
        <f t="shared" si="10"/>
        <v>0</v>
      </c>
      <c r="L137" s="10">
        <f t="shared" si="11"/>
        <v>0</v>
      </c>
    </row>
    <row r="138" spans="1:12" x14ac:dyDescent="0.3">
      <c r="A138" s="2"/>
      <c r="B138" s="17" t="s">
        <v>606</v>
      </c>
      <c r="C138" s="18" t="s">
        <v>72</v>
      </c>
      <c r="D138" s="27"/>
      <c r="E138" s="19">
        <v>1</v>
      </c>
      <c r="F138" s="10"/>
      <c r="G138" s="10">
        <f t="shared" si="8"/>
        <v>0</v>
      </c>
      <c r="H138" s="10"/>
      <c r="I138" s="10">
        <f t="shared" si="9"/>
        <v>0</v>
      </c>
      <c r="J138" s="10"/>
      <c r="K138" s="10">
        <f t="shared" si="10"/>
        <v>0</v>
      </c>
      <c r="L138" s="10">
        <f t="shared" si="11"/>
        <v>0</v>
      </c>
    </row>
    <row r="139" spans="1:12" x14ac:dyDescent="0.3">
      <c r="A139" s="2"/>
      <c r="B139" s="17" t="s">
        <v>613</v>
      </c>
      <c r="C139" s="18" t="s">
        <v>72</v>
      </c>
      <c r="D139" s="27"/>
      <c r="E139" s="19">
        <v>1</v>
      </c>
      <c r="F139" s="10"/>
      <c r="G139" s="10">
        <f t="shared" si="8"/>
        <v>0</v>
      </c>
      <c r="H139" s="10"/>
      <c r="I139" s="10">
        <f t="shared" si="9"/>
        <v>0</v>
      </c>
      <c r="J139" s="10"/>
      <c r="K139" s="10">
        <f t="shared" si="10"/>
        <v>0</v>
      </c>
      <c r="L139" s="10">
        <f t="shared" si="11"/>
        <v>0</v>
      </c>
    </row>
    <row r="140" spans="1:12" x14ac:dyDescent="0.3">
      <c r="A140" s="2"/>
      <c r="B140" s="17" t="s">
        <v>584</v>
      </c>
      <c r="C140" s="18" t="s">
        <v>72</v>
      </c>
      <c r="D140" s="27"/>
      <c r="E140" s="19">
        <v>10</v>
      </c>
      <c r="F140" s="10"/>
      <c r="G140" s="10">
        <f t="shared" si="8"/>
        <v>0</v>
      </c>
      <c r="H140" s="10"/>
      <c r="I140" s="10">
        <f t="shared" si="9"/>
        <v>0</v>
      </c>
      <c r="J140" s="10"/>
      <c r="K140" s="10">
        <f t="shared" si="10"/>
        <v>0</v>
      </c>
      <c r="L140" s="10">
        <f t="shared" si="11"/>
        <v>0</v>
      </c>
    </row>
    <row r="141" spans="1:12" x14ac:dyDescent="0.3">
      <c r="A141" s="2"/>
      <c r="B141" s="17" t="s">
        <v>600</v>
      </c>
      <c r="C141" s="18" t="s">
        <v>72</v>
      </c>
      <c r="D141" s="19"/>
      <c r="E141" s="19">
        <v>1</v>
      </c>
      <c r="F141" s="10"/>
      <c r="G141" s="10">
        <f t="shared" si="8"/>
        <v>0</v>
      </c>
      <c r="H141" s="10"/>
      <c r="I141" s="10">
        <f t="shared" si="9"/>
        <v>0</v>
      </c>
      <c r="J141" s="10"/>
      <c r="K141" s="10">
        <f t="shared" si="10"/>
        <v>0</v>
      </c>
      <c r="L141" s="10">
        <f t="shared" si="11"/>
        <v>0</v>
      </c>
    </row>
    <row r="142" spans="1:12" x14ac:dyDescent="0.3">
      <c r="A142" s="2"/>
      <c r="B142" s="17" t="s">
        <v>601</v>
      </c>
      <c r="C142" s="18" t="s">
        <v>72</v>
      </c>
      <c r="D142" s="19"/>
      <c r="E142" s="19">
        <v>1</v>
      </c>
      <c r="F142" s="10"/>
      <c r="G142" s="10">
        <f t="shared" si="8"/>
        <v>0</v>
      </c>
      <c r="H142" s="10"/>
      <c r="I142" s="10">
        <f t="shared" si="9"/>
        <v>0</v>
      </c>
      <c r="J142" s="10"/>
      <c r="K142" s="10">
        <f t="shared" si="10"/>
        <v>0</v>
      </c>
      <c r="L142" s="10">
        <f t="shared" si="11"/>
        <v>0</v>
      </c>
    </row>
    <row r="143" spans="1:12" ht="28.8" x14ac:dyDescent="0.3">
      <c r="A143" s="2"/>
      <c r="B143" s="17" t="s">
        <v>588</v>
      </c>
      <c r="C143" s="18" t="s">
        <v>72</v>
      </c>
      <c r="D143" s="19"/>
      <c r="E143" s="19">
        <v>6</v>
      </c>
      <c r="F143" s="10"/>
      <c r="G143" s="10">
        <f t="shared" si="8"/>
        <v>0</v>
      </c>
      <c r="H143" s="10"/>
      <c r="I143" s="10">
        <f t="shared" si="9"/>
        <v>0</v>
      </c>
      <c r="J143" s="10"/>
      <c r="K143" s="10">
        <f t="shared" si="10"/>
        <v>0</v>
      </c>
      <c r="L143" s="10">
        <f t="shared" si="11"/>
        <v>0</v>
      </c>
    </row>
    <row r="144" spans="1:12" x14ac:dyDescent="0.3">
      <c r="A144" s="2"/>
      <c r="B144" s="17" t="s">
        <v>570</v>
      </c>
      <c r="C144" s="18" t="s">
        <v>72</v>
      </c>
      <c r="D144" s="19"/>
      <c r="E144" s="19">
        <v>1</v>
      </c>
      <c r="F144" s="10"/>
      <c r="G144" s="10">
        <f t="shared" si="8"/>
        <v>0</v>
      </c>
      <c r="H144" s="10"/>
      <c r="I144" s="10">
        <f t="shared" si="9"/>
        <v>0</v>
      </c>
      <c r="J144" s="10"/>
      <c r="K144" s="10">
        <f t="shared" si="10"/>
        <v>0</v>
      </c>
      <c r="L144" s="10">
        <f t="shared" si="11"/>
        <v>0</v>
      </c>
    </row>
    <row r="145" spans="1:14" x14ac:dyDescent="0.3">
      <c r="A145" s="2"/>
      <c r="B145" s="17" t="s">
        <v>571</v>
      </c>
      <c r="C145" s="18" t="s">
        <v>72</v>
      </c>
      <c r="D145" s="19"/>
      <c r="E145" s="19">
        <v>3</v>
      </c>
      <c r="F145" s="10"/>
      <c r="G145" s="10">
        <f t="shared" si="8"/>
        <v>0</v>
      </c>
      <c r="H145" s="10"/>
      <c r="I145" s="10">
        <f t="shared" si="9"/>
        <v>0</v>
      </c>
      <c r="J145" s="10"/>
      <c r="K145" s="10">
        <f t="shared" si="10"/>
        <v>0</v>
      </c>
      <c r="L145" s="10">
        <f t="shared" si="11"/>
        <v>0</v>
      </c>
    </row>
    <row r="146" spans="1:14" x14ac:dyDescent="0.3">
      <c r="A146" s="2"/>
      <c r="B146" s="17" t="s">
        <v>589</v>
      </c>
      <c r="C146" s="18" t="s">
        <v>12</v>
      </c>
      <c r="D146" s="19"/>
      <c r="E146" s="19">
        <v>0.5</v>
      </c>
      <c r="F146" s="10"/>
      <c r="G146" s="10">
        <f t="shared" si="8"/>
        <v>0</v>
      </c>
      <c r="H146" s="10"/>
      <c r="I146" s="10">
        <f t="shared" si="9"/>
        <v>0</v>
      </c>
      <c r="J146" s="10"/>
      <c r="K146" s="10">
        <f t="shared" si="10"/>
        <v>0</v>
      </c>
      <c r="L146" s="10">
        <f t="shared" si="11"/>
        <v>0</v>
      </c>
    </row>
    <row r="147" spans="1:14" x14ac:dyDescent="0.3">
      <c r="A147" s="2"/>
      <c r="B147" s="17" t="s">
        <v>593</v>
      </c>
      <c r="C147" s="18" t="s">
        <v>72</v>
      </c>
      <c r="D147" s="19"/>
      <c r="E147" s="19">
        <v>1</v>
      </c>
      <c r="F147" s="10"/>
      <c r="G147" s="10">
        <f t="shared" si="8"/>
        <v>0</v>
      </c>
      <c r="H147" s="10"/>
      <c r="I147" s="10">
        <f t="shared" si="9"/>
        <v>0</v>
      </c>
      <c r="J147" s="10"/>
      <c r="K147" s="10">
        <f t="shared" si="10"/>
        <v>0</v>
      </c>
      <c r="L147" s="10">
        <f t="shared" si="11"/>
        <v>0</v>
      </c>
    </row>
    <row r="148" spans="1:14" x14ac:dyDescent="0.3">
      <c r="A148" s="2"/>
      <c r="B148" s="17" t="s">
        <v>594</v>
      </c>
      <c r="C148" s="18" t="s">
        <v>72</v>
      </c>
      <c r="D148" s="19"/>
      <c r="E148" s="19">
        <v>1</v>
      </c>
      <c r="F148" s="10"/>
      <c r="G148" s="10">
        <f t="shared" si="8"/>
        <v>0</v>
      </c>
      <c r="H148" s="10"/>
      <c r="I148" s="10">
        <f t="shared" si="9"/>
        <v>0</v>
      </c>
      <c r="J148" s="10"/>
      <c r="K148" s="10">
        <f t="shared" si="10"/>
        <v>0</v>
      </c>
      <c r="L148" s="10">
        <f t="shared" si="11"/>
        <v>0</v>
      </c>
    </row>
    <row r="149" spans="1:14" x14ac:dyDescent="0.3">
      <c r="A149" s="2"/>
      <c r="B149" s="17" t="s">
        <v>595</v>
      </c>
      <c r="C149" s="18" t="s">
        <v>12</v>
      </c>
      <c r="D149" s="19"/>
      <c r="E149" s="19">
        <v>0.5</v>
      </c>
      <c r="F149" s="10"/>
      <c r="G149" s="10">
        <f t="shared" si="8"/>
        <v>0</v>
      </c>
      <c r="H149" s="10"/>
      <c r="I149" s="10">
        <f t="shared" si="9"/>
        <v>0</v>
      </c>
      <c r="J149" s="10"/>
      <c r="K149" s="10">
        <f t="shared" si="10"/>
        <v>0</v>
      </c>
      <c r="L149" s="10">
        <f t="shared" si="11"/>
        <v>0</v>
      </c>
    </row>
    <row r="150" spans="1:14" x14ac:dyDescent="0.3">
      <c r="A150" s="2"/>
      <c r="B150" s="17" t="s">
        <v>603</v>
      </c>
      <c r="C150" s="18" t="s">
        <v>12</v>
      </c>
      <c r="D150" s="19"/>
      <c r="E150" s="19">
        <v>2</v>
      </c>
      <c r="F150" s="10"/>
      <c r="G150" s="10">
        <f t="shared" si="8"/>
        <v>0</v>
      </c>
      <c r="H150" s="10"/>
      <c r="I150" s="10">
        <f t="shared" si="9"/>
        <v>0</v>
      </c>
      <c r="J150" s="10"/>
      <c r="K150" s="10">
        <f t="shared" si="10"/>
        <v>0</v>
      </c>
      <c r="L150" s="10">
        <f t="shared" si="11"/>
        <v>0</v>
      </c>
    </row>
    <row r="151" spans="1:14" x14ac:dyDescent="0.3">
      <c r="A151" s="2">
        <v>11</v>
      </c>
      <c r="B151" s="14" t="s">
        <v>590</v>
      </c>
      <c r="C151" s="2" t="s">
        <v>72</v>
      </c>
      <c r="D151" s="15"/>
      <c r="E151" s="15">
        <v>1</v>
      </c>
      <c r="F151" s="10"/>
      <c r="G151" s="10">
        <f t="shared" si="8"/>
        <v>0</v>
      </c>
      <c r="H151" s="10"/>
      <c r="I151" s="10">
        <f t="shared" si="9"/>
        <v>0</v>
      </c>
      <c r="J151" s="10"/>
      <c r="K151" s="10">
        <f t="shared" si="10"/>
        <v>0</v>
      </c>
      <c r="L151" s="10">
        <f t="shared" si="11"/>
        <v>0</v>
      </c>
    </row>
    <row r="152" spans="1:14" x14ac:dyDescent="0.3">
      <c r="A152" s="2"/>
      <c r="B152" s="17" t="s">
        <v>591</v>
      </c>
      <c r="C152" s="18" t="s">
        <v>72</v>
      </c>
      <c r="D152" s="19"/>
      <c r="E152" s="19">
        <v>1</v>
      </c>
      <c r="F152" s="10"/>
      <c r="G152" s="10">
        <f t="shared" si="8"/>
        <v>0</v>
      </c>
      <c r="H152" s="10"/>
      <c r="I152" s="10">
        <f t="shared" si="9"/>
        <v>0</v>
      </c>
      <c r="J152" s="10"/>
      <c r="K152" s="10">
        <f t="shared" si="10"/>
        <v>0</v>
      </c>
      <c r="L152" s="10">
        <f t="shared" si="11"/>
        <v>0</v>
      </c>
    </row>
    <row r="153" spans="1:14" x14ac:dyDescent="0.3">
      <c r="A153" s="2"/>
      <c r="B153" s="17" t="s">
        <v>582</v>
      </c>
      <c r="C153" s="18" t="s">
        <v>72</v>
      </c>
      <c r="D153" s="27"/>
      <c r="E153" s="19">
        <v>1</v>
      </c>
      <c r="F153" s="10"/>
      <c r="G153" s="10">
        <f t="shared" si="8"/>
        <v>0</v>
      </c>
      <c r="H153" s="10"/>
      <c r="I153" s="10">
        <f t="shared" si="9"/>
        <v>0</v>
      </c>
      <c r="J153" s="10"/>
      <c r="K153" s="10">
        <f t="shared" si="10"/>
        <v>0</v>
      </c>
      <c r="L153" s="10">
        <f t="shared" si="11"/>
        <v>0</v>
      </c>
    </row>
    <row r="154" spans="1:14" x14ac:dyDescent="0.3">
      <c r="A154" s="2"/>
      <c r="B154" s="17" t="s">
        <v>613</v>
      </c>
      <c r="C154" s="18" t="s">
        <v>72</v>
      </c>
      <c r="D154" s="19"/>
      <c r="E154" s="19">
        <v>4</v>
      </c>
      <c r="F154" s="10"/>
      <c r="G154" s="10">
        <f t="shared" si="8"/>
        <v>0</v>
      </c>
      <c r="H154" s="10"/>
      <c r="I154" s="10">
        <f t="shared" si="9"/>
        <v>0</v>
      </c>
      <c r="J154" s="10"/>
      <c r="K154" s="10">
        <f t="shared" si="10"/>
        <v>0</v>
      </c>
      <c r="L154" s="10">
        <f t="shared" si="11"/>
        <v>0</v>
      </c>
      <c r="N154" s="9"/>
    </row>
    <row r="155" spans="1:14" x14ac:dyDescent="0.3">
      <c r="A155" s="2"/>
      <c r="B155" s="17" t="s">
        <v>584</v>
      </c>
      <c r="C155" s="18" t="s">
        <v>72</v>
      </c>
      <c r="D155" s="27"/>
      <c r="E155" s="19">
        <v>7</v>
      </c>
      <c r="F155" s="10"/>
      <c r="G155" s="10">
        <f t="shared" si="8"/>
        <v>0</v>
      </c>
      <c r="H155" s="10"/>
      <c r="I155" s="10">
        <f t="shared" si="9"/>
        <v>0</v>
      </c>
      <c r="J155" s="10"/>
      <c r="K155" s="10">
        <f t="shared" si="10"/>
        <v>0</v>
      </c>
      <c r="L155" s="10">
        <f t="shared" si="11"/>
        <v>0</v>
      </c>
    </row>
    <row r="156" spans="1:14" x14ac:dyDescent="0.3">
      <c r="A156" s="2"/>
      <c r="B156" s="17" t="s">
        <v>600</v>
      </c>
      <c r="C156" s="18" t="s">
        <v>72</v>
      </c>
      <c r="D156" s="27"/>
      <c r="E156" s="19">
        <v>1</v>
      </c>
      <c r="F156" s="10"/>
      <c r="G156" s="10">
        <f t="shared" si="8"/>
        <v>0</v>
      </c>
      <c r="H156" s="10"/>
      <c r="I156" s="10">
        <f t="shared" si="9"/>
        <v>0</v>
      </c>
      <c r="J156" s="10"/>
      <c r="K156" s="10">
        <f t="shared" si="10"/>
        <v>0</v>
      </c>
      <c r="L156" s="10">
        <f t="shared" si="11"/>
        <v>0</v>
      </c>
    </row>
    <row r="157" spans="1:14" x14ac:dyDescent="0.3">
      <c r="A157" s="2"/>
      <c r="B157" s="17" t="s">
        <v>592</v>
      </c>
      <c r="C157" s="18" t="s">
        <v>72</v>
      </c>
      <c r="D157" s="19"/>
      <c r="E157" s="19">
        <v>1</v>
      </c>
      <c r="F157" s="10"/>
      <c r="G157" s="10">
        <f t="shared" si="8"/>
        <v>0</v>
      </c>
      <c r="H157" s="10"/>
      <c r="I157" s="10">
        <f t="shared" si="9"/>
        <v>0</v>
      </c>
      <c r="J157" s="10"/>
      <c r="K157" s="10">
        <f t="shared" si="10"/>
        <v>0</v>
      </c>
      <c r="L157" s="10">
        <f t="shared" si="11"/>
        <v>0</v>
      </c>
    </row>
    <row r="158" spans="1:14" x14ac:dyDescent="0.3">
      <c r="A158" s="2"/>
      <c r="B158" s="17" t="s">
        <v>614</v>
      </c>
      <c r="C158" s="18" t="s">
        <v>72</v>
      </c>
      <c r="D158" s="19"/>
      <c r="E158" s="19">
        <v>1</v>
      </c>
      <c r="F158" s="10"/>
      <c r="G158" s="10">
        <f t="shared" si="8"/>
        <v>0</v>
      </c>
      <c r="H158" s="10"/>
      <c r="I158" s="10">
        <f t="shared" si="9"/>
        <v>0</v>
      </c>
      <c r="J158" s="10"/>
      <c r="K158" s="10">
        <f t="shared" si="10"/>
        <v>0</v>
      </c>
      <c r="L158" s="10">
        <f t="shared" si="11"/>
        <v>0</v>
      </c>
    </row>
    <row r="159" spans="1:14" x14ac:dyDescent="0.3">
      <c r="A159" s="2"/>
      <c r="B159" s="17" t="s">
        <v>615</v>
      </c>
      <c r="C159" s="18" t="s">
        <v>72</v>
      </c>
      <c r="D159" s="27"/>
      <c r="E159" s="19">
        <v>1</v>
      </c>
      <c r="F159" s="10"/>
      <c r="G159" s="10">
        <f t="shared" si="8"/>
        <v>0</v>
      </c>
      <c r="H159" s="10"/>
      <c r="I159" s="10">
        <f t="shared" si="9"/>
        <v>0</v>
      </c>
      <c r="J159" s="10"/>
      <c r="K159" s="10">
        <f t="shared" si="10"/>
        <v>0</v>
      </c>
      <c r="L159" s="10">
        <f t="shared" si="11"/>
        <v>0</v>
      </c>
    </row>
    <row r="160" spans="1:14" x14ac:dyDescent="0.3">
      <c r="A160" s="2"/>
      <c r="B160" s="17" t="s">
        <v>612</v>
      </c>
      <c r="C160" s="18" t="s">
        <v>72</v>
      </c>
      <c r="D160" s="27"/>
      <c r="E160" s="19">
        <v>2</v>
      </c>
      <c r="F160" s="10"/>
      <c r="G160" s="10">
        <f t="shared" si="8"/>
        <v>0</v>
      </c>
      <c r="H160" s="10"/>
      <c r="I160" s="10">
        <f t="shared" si="9"/>
        <v>0</v>
      </c>
      <c r="J160" s="10"/>
      <c r="K160" s="10">
        <f t="shared" si="10"/>
        <v>0</v>
      </c>
      <c r="L160" s="10">
        <f t="shared" si="11"/>
        <v>0</v>
      </c>
    </row>
    <row r="161" spans="1:12" ht="28.8" x14ac:dyDescent="0.3">
      <c r="A161" s="2"/>
      <c r="B161" s="17" t="s">
        <v>616</v>
      </c>
      <c r="C161" s="18" t="s">
        <v>72</v>
      </c>
      <c r="D161" s="27"/>
      <c r="E161" s="19">
        <v>4</v>
      </c>
      <c r="F161" s="10"/>
      <c r="G161" s="10">
        <f t="shared" si="8"/>
        <v>0</v>
      </c>
      <c r="H161" s="10"/>
      <c r="I161" s="10">
        <f t="shared" si="9"/>
        <v>0</v>
      </c>
      <c r="J161" s="10"/>
      <c r="K161" s="10">
        <f t="shared" si="10"/>
        <v>0</v>
      </c>
      <c r="L161" s="10">
        <f t="shared" si="11"/>
        <v>0</v>
      </c>
    </row>
    <row r="162" spans="1:12" x14ac:dyDescent="0.3">
      <c r="A162" s="2"/>
      <c r="B162" s="17" t="s">
        <v>570</v>
      </c>
      <c r="C162" s="18" t="s">
        <v>72</v>
      </c>
      <c r="D162" s="19"/>
      <c r="E162" s="19">
        <v>1</v>
      </c>
      <c r="F162" s="10"/>
      <c r="G162" s="10">
        <f t="shared" si="8"/>
        <v>0</v>
      </c>
      <c r="H162" s="10"/>
      <c r="I162" s="10">
        <f t="shared" si="9"/>
        <v>0</v>
      </c>
      <c r="J162" s="10"/>
      <c r="K162" s="10">
        <f t="shared" si="10"/>
        <v>0</v>
      </c>
      <c r="L162" s="10">
        <f t="shared" si="11"/>
        <v>0</v>
      </c>
    </row>
    <row r="163" spans="1:12" x14ac:dyDescent="0.3">
      <c r="A163" s="2"/>
      <c r="B163" s="17" t="s">
        <v>571</v>
      </c>
      <c r="C163" s="18" t="s">
        <v>72</v>
      </c>
      <c r="D163" s="19"/>
      <c r="E163" s="19">
        <v>3</v>
      </c>
      <c r="F163" s="10"/>
      <c r="G163" s="10">
        <f t="shared" si="8"/>
        <v>0</v>
      </c>
      <c r="H163" s="10"/>
      <c r="I163" s="10">
        <f t="shared" si="9"/>
        <v>0</v>
      </c>
      <c r="J163" s="10"/>
      <c r="K163" s="10">
        <f t="shared" si="10"/>
        <v>0</v>
      </c>
      <c r="L163" s="10">
        <f t="shared" si="11"/>
        <v>0</v>
      </c>
    </row>
    <row r="164" spans="1:12" x14ac:dyDescent="0.3">
      <c r="A164" s="2"/>
      <c r="B164" s="17" t="s">
        <v>589</v>
      </c>
      <c r="C164" s="18" t="s">
        <v>12</v>
      </c>
      <c r="D164" s="19"/>
      <c r="E164" s="19">
        <v>0.5</v>
      </c>
      <c r="F164" s="10"/>
      <c r="G164" s="10">
        <f t="shared" si="8"/>
        <v>0</v>
      </c>
      <c r="H164" s="10"/>
      <c r="I164" s="10">
        <f t="shared" si="9"/>
        <v>0</v>
      </c>
      <c r="J164" s="10"/>
      <c r="K164" s="10">
        <f t="shared" si="10"/>
        <v>0</v>
      </c>
      <c r="L164" s="10">
        <f t="shared" si="11"/>
        <v>0</v>
      </c>
    </row>
    <row r="165" spans="1:12" x14ac:dyDescent="0.3">
      <c r="A165" s="2"/>
      <c r="B165" s="17" t="s">
        <v>593</v>
      </c>
      <c r="C165" s="18" t="s">
        <v>72</v>
      </c>
      <c r="D165" s="19"/>
      <c r="E165" s="19">
        <v>1</v>
      </c>
      <c r="F165" s="10"/>
      <c r="G165" s="10">
        <f t="shared" si="8"/>
        <v>0</v>
      </c>
      <c r="H165" s="10"/>
      <c r="I165" s="10">
        <f t="shared" si="9"/>
        <v>0</v>
      </c>
      <c r="J165" s="10"/>
      <c r="K165" s="10">
        <f t="shared" si="10"/>
        <v>0</v>
      </c>
      <c r="L165" s="10">
        <f t="shared" si="11"/>
        <v>0</v>
      </c>
    </row>
    <row r="166" spans="1:12" x14ac:dyDescent="0.3">
      <c r="A166" s="2"/>
      <c r="B166" s="17" t="s">
        <v>594</v>
      </c>
      <c r="C166" s="18" t="s">
        <v>72</v>
      </c>
      <c r="D166" s="19"/>
      <c r="E166" s="19">
        <v>1</v>
      </c>
      <c r="F166" s="10"/>
      <c r="G166" s="10">
        <f t="shared" si="8"/>
        <v>0</v>
      </c>
      <c r="H166" s="10"/>
      <c r="I166" s="10">
        <f t="shared" si="9"/>
        <v>0</v>
      </c>
      <c r="J166" s="10"/>
      <c r="K166" s="10">
        <f t="shared" si="10"/>
        <v>0</v>
      </c>
      <c r="L166" s="10">
        <f t="shared" si="11"/>
        <v>0</v>
      </c>
    </row>
    <row r="167" spans="1:12" x14ac:dyDescent="0.3">
      <c r="A167" s="2"/>
      <c r="B167" s="17" t="s">
        <v>595</v>
      </c>
      <c r="C167" s="18" t="s">
        <v>12</v>
      </c>
      <c r="D167" s="19"/>
      <c r="E167" s="19">
        <v>0.5</v>
      </c>
      <c r="F167" s="10"/>
      <c r="G167" s="10">
        <f t="shared" si="8"/>
        <v>0</v>
      </c>
      <c r="H167" s="10"/>
      <c r="I167" s="10">
        <f t="shared" si="9"/>
        <v>0</v>
      </c>
      <c r="J167" s="10"/>
      <c r="K167" s="10">
        <f t="shared" si="10"/>
        <v>0</v>
      </c>
      <c r="L167" s="10">
        <f t="shared" si="11"/>
        <v>0</v>
      </c>
    </row>
    <row r="168" spans="1:12" x14ac:dyDescent="0.3">
      <c r="A168" s="2"/>
      <c r="B168" s="17" t="s">
        <v>603</v>
      </c>
      <c r="C168" s="18" t="s">
        <v>12</v>
      </c>
      <c r="D168" s="27"/>
      <c r="E168" s="19">
        <v>2</v>
      </c>
      <c r="F168" s="10"/>
      <c r="G168" s="10">
        <f t="shared" si="8"/>
        <v>0</v>
      </c>
      <c r="H168" s="10"/>
      <c r="I168" s="10">
        <f t="shared" si="9"/>
        <v>0</v>
      </c>
      <c r="J168" s="10"/>
      <c r="K168" s="10">
        <f t="shared" si="10"/>
        <v>0</v>
      </c>
      <c r="L168" s="10">
        <f t="shared" si="11"/>
        <v>0</v>
      </c>
    </row>
    <row r="169" spans="1:12" x14ac:dyDescent="0.3">
      <c r="A169" s="2">
        <v>12</v>
      </c>
      <c r="B169" s="14" t="s">
        <v>590</v>
      </c>
      <c r="C169" s="2" t="s">
        <v>72</v>
      </c>
      <c r="D169" s="32"/>
      <c r="E169" s="15">
        <v>1</v>
      </c>
      <c r="F169" s="10"/>
      <c r="G169" s="10">
        <f t="shared" si="8"/>
        <v>0</v>
      </c>
      <c r="H169" s="10"/>
      <c r="I169" s="10">
        <f t="shared" si="9"/>
        <v>0</v>
      </c>
      <c r="J169" s="10"/>
      <c r="K169" s="10">
        <f t="shared" si="10"/>
        <v>0</v>
      </c>
      <c r="L169" s="10">
        <f t="shared" si="11"/>
        <v>0</v>
      </c>
    </row>
    <row r="170" spans="1:12" x14ac:dyDescent="0.3">
      <c r="A170" s="2"/>
      <c r="B170" s="17" t="s">
        <v>605</v>
      </c>
      <c r="C170" s="18" t="s">
        <v>72</v>
      </c>
      <c r="D170" s="27"/>
      <c r="E170" s="19">
        <v>1</v>
      </c>
      <c r="F170" s="10"/>
      <c r="G170" s="10">
        <f t="shared" si="8"/>
        <v>0</v>
      </c>
      <c r="H170" s="10"/>
      <c r="I170" s="10">
        <f t="shared" si="9"/>
        <v>0</v>
      </c>
      <c r="J170" s="10"/>
      <c r="K170" s="10">
        <f t="shared" si="10"/>
        <v>0</v>
      </c>
      <c r="L170" s="10">
        <f t="shared" si="11"/>
        <v>0</v>
      </c>
    </row>
    <row r="171" spans="1:12" x14ac:dyDescent="0.3">
      <c r="A171" s="2"/>
      <c r="B171" s="17" t="s">
        <v>606</v>
      </c>
      <c r="C171" s="18" t="s">
        <v>72</v>
      </c>
      <c r="D171" s="19"/>
      <c r="E171" s="19">
        <v>1</v>
      </c>
      <c r="F171" s="10"/>
      <c r="G171" s="10">
        <f t="shared" si="8"/>
        <v>0</v>
      </c>
      <c r="H171" s="10"/>
      <c r="I171" s="10">
        <f t="shared" si="9"/>
        <v>0</v>
      </c>
      <c r="J171" s="10"/>
      <c r="K171" s="10">
        <f t="shared" si="10"/>
        <v>0</v>
      </c>
      <c r="L171" s="10">
        <f t="shared" si="11"/>
        <v>0</v>
      </c>
    </row>
    <row r="172" spans="1:12" x14ac:dyDescent="0.3">
      <c r="A172" s="2"/>
      <c r="B172" s="17" t="s">
        <v>584</v>
      </c>
      <c r="C172" s="18" t="s">
        <v>72</v>
      </c>
      <c r="D172" s="19"/>
      <c r="E172" s="19">
        <v>11</v>
      </c>
      <c r="F172" s="10"/>
      <c r="G172" s="10">
        <f t="shared" si="8"/>
        <v>0</v>
      </c>
      <c r="H172" s="10"/>
      <c r="I172" s="10">
        <f t="shared" si="9"/>
        <v>0</v>
      </c>
      <c r="J172" s="10"/>
      <c r="K172" s="10">
        <f t="shared" si="10"/>
        <v>0</v>
      </c>
      <c r="L172" s="10">
        <f t="shared" si="11"/>
        <v>0</v>
      </c>
    </row>
    <row r="173" spans="1:12" x14ac:dyDescent="0.3">
      <c r="A173" s="2"/>
      <c r="B173" s="17" t="s">
        <v>592</v>
      </c>
      <c r="C173" s="18" t="s">
        <v>72</v>
      </c>
      <c r="D173" s="19"/>
      <c r="E173" s="19">
        <v>1</v>
      </c>
      <c r="F173" s="10"/>
      <c r="G173" s="10">
        <f t="shared" si="8"/>
        <v>0</v>
      </c>
      <c r="H173" s="10"/>
      <c r="I173" s="10">
        <f t="shared" si="9"/>
        <v>0</v>
      </c>
      <c r="J173" s="10"/>
      <c r="K173" s="10">
        <f t="shared" si="10"/>
        <v>0</v>
      </c>
      <c r="L173" s="10">
        <f t="shared" si="11"/>
        <v>0</v>
      </c>
    </row>
    <row r="174" spans="1:12" ht="28.8" x14ac:dyDescent="0.3">
      <c r="A174" s="2"/>
      <c r="B174" s="17" t="s">
        <v>616</v>
      </c>
      <c r="C174" s="18" t="s">
        <v>72</v>
      </c>
      <c r="D174" s="19"/>
      <c r="E174" s="19">
        <v>6</v>
      </c>
      <c r="F174" s="10"/>
      <c r="G174" s="10">
        <f t="shared" si="8"/>
        <v>0</v>
      </c>
      <c r="H174" s="10"/>
      <c r="I174" s="10">
        <f t="shared" si="9"/>
        <v>0</v>
      </c>
      <c r="J174" s="10"/>
      <c r="K174" s="10">
        <f t="shared" si="10"/>
        <v>0</v>
      </c>
      <c r="L174" s="10">
        <f t="shared" si="11"/>
        <v>0</v>
      </c>
    </row>
    <row r="175" spans="1:12" x14ac:dyDescent="0.3">
      <c r="A175" s="2"/>
      <c r="B175" s="17" t="s">
        <v>570</v>
      </c>
      <c r="C175" s="18" t="s">
        <v>72</v>
      </c>
      <c r="D175" s="19"/>
      <c r="E175" s="19">
        <v>1</v>
      </c>
      <c r="F175" s="10"/>
      <c r="G175" s="10">
        <f t="shared" si="8"/>
        <v>0</v>
      </c>
      <c r="H175" s="10"/>
      <c r="I175" s="10">
        <f t="shared" si="9"/>
        <v>0</v>
      </c>
      <c r="J175" s="10"/>
      <c r="K175" s="10">
        <f t="shared" si="10"/>
        <v>0</v>
      </c>
      <c r="L175" s="10">
        <f t="shared" si="11"/>
        <v>0</v>
      </c>
    </row>
    <row r="176" spans="1:12" x14ac:dyDescent="0.3">
      <c r="A176" s="2"/>
      <c r="B176" s="17" t="s">
        <v>571</v>
      </c>
      <c r="C176" s="18" t="s">
        <v>72</v>
      </c>
      <c r="D176" s="19"/>
      <c r="E176" s="19">
        <v>3</v>
      </c>
      <c r="F176" s="10"/>
      <c r="G176" s="10">
        <f t="shared" si="8"/>
        <v>0</v>
      </c>
      <c r="H176" s="10"/>
      <c r="I176" s="10">
        <f t="shared" si="9"/>
        <v>0</v>
      </c>
      <c r="J176" s="10"/>
      <c r="K176" s="10">
        <f t="shared" si="10"/>
        <v>0</v>
      </c>
      <c r="L176" s="10">
        <f t="shared" si="11"/>
        <v>0</v>
      </c>
    </row>
    <row r="177" spans="1:14" x14ac:dyDescent="0.3">
      <c r="A177" s="2"/>
      <c r="B177" s="17" t="s">
        <v>589</v>
      </c>
      <c r="C177" s="18" t="s">
        <v>12</v>
      </c>
      <c r="D177" s="19"/>
      <c r="E177" s="19">
        <v>0.5</v>
      </c>
      <c r="F177" s="10"/>
      <c r="G177" s="10">
        <f t="shared" si="8"/>
        <v>0</v>
      </c>
      <c r="H177" s="10"/>
      <c r="I177" s="10">
        <f t="shared" si="9"/>
        <v>0</v>
      </c>
      <c r="J177" s="10"/>
      <c r="K177" s="10">
        <f t="shared" si="10"/>
        <v>0</v>
      </c>
      <c r="L177" s="10">
        <f t="shared" si="11"/>
        <v>0</v>
      </c>
    </row>
    <row r="178" spans="1:14" x14ac:dyDescent="0.3">
      <c r="A178" s="2"/>
      <c r="B178" s="17" t="s">
        <v>593</v>
      </c>
      <c r="C178" s="18" t="s">
        <v>72</v>
      </c>
      <c r="D178" s="19"/>
      <c r="E178" s="19">
        <v>1</v>
      </c>
      <c r="F178" s="10"/>
      <c r="G178" s="10">
        <f t="shared" si="8"/>
        <v>0</v>
      </c>
      <c r="H178" s="10"/>
      <c r="I178" s="10">
        <f t="shared" si="9"/>
        <v>0</v>
      </c>
      <c r="J178" s="10"/>
      <c r="K178" s="10">
        <f t="shared" si="10"/>
        <v>0</v>
      </c>
      <c r="L178" s="10">
        <f t="shared" si="11"/>
        <v>0</v>
      </c>
    </row>
    <row r="179" spans="1:14" x14ac:dyDescent="0.3">
      <c r="A179" s="2"/>
      <c r="B179" s="17" t="s">
        <v>594</v>
      </c>
      <c r="C179" s="18" t="s">
        <v>72</v>
      </c>
      <c r="D179" s="19"/>
      <c r="E179" s="19">
        <v>1</v>
      </c>
      <c r="F179" s="10"/>
      <c r="G179" s="10">
        <f t="shared" si="8"/>
        <v>0</v>
      </c>
      <c r="H179" s="10"/>
      <c r="I179" s="10">
        <f t="shared" si="9"/>
        <v>0</v>
      </c>
      <c r="J179" s="10"/>
      <c r="K179" s="10">
        <f t="shared" si="10"/>
        <v>0</v>
      </c>
      <c r="L179" s="10">
        <f t="shared" si="11"/>
        <v>0</v>
      </c>
    </row>
    <row r="180" spans="1:14" x14ac:dyDescent="0.3">
      <c r="A180" s="2"/>
      <c r="B180" s="17" t="s">
        <v>595</v>
      </c>
      <c r="C180" s="18" t="s">
        <v>12</v>
      </c>
      <c r="D180" s="19"/>
      <c r="E180" s="19">
        <v>0.5</v>
      </c>
      <c r="F180" s="10"/>
      <c r="G180" s="10">
        <f t="shared" si="8"/>
        <v>0</v>
      </c>
      <c r="H180" s="10"/>
      <c r="I180" s="10">
        <f t="shared" si="9"/>
        <v>0</v>
      </c>
      <c r="J180" s="10"/>
      <c r="K180" s="10">
        <f t="shared" si="10"/>
        <v>0</v>
      </c>
      <c r="L180" s="10">
        <f t="shared" si="11"/>
        <v>0</v>
      </c>
    </row>
    <row r="181" spans="1:14" x14ac:dyDescent="0.3">
      <c r="A181" s="2"/>
      <c r="B181" s="17" t="s">
        <v>603</v>
      </c>
      <c r="C181" s="18" t="s">
        <v>12</v>
      </c>
      <c r="D181" s="19"/>
      <c r="E181" s="19">
        <v>2</v>
      </c>
      <c r="F181" s="10"/>
      <c r="G181" s="10">
        <f t="shared" si="8"/>
        <v>0</v>
      </c>
      <c r="H181" s="10"/>
      <c r="I181" s="10">
        <f t="shared" si="9"/>
        <v>0</v>
      </c>
      <c r="J181" s="10"/>
      <c r="K181" s="10">
        <f t="shared" si="10"/>
        <v>0</v>
      </c>
      <c r="L181" s="10">
        <f t="shared" si="11"/>
        <v>0</v>
      </c>
    </row>
    <row r="182" spans="1:14" x14ac:dyDescent="0.3">
      <c r="A182" s="2">
        <v>13</v>
      </c>
      <c r="B182" s="14" t="s">
        <v>590</v>
      </c>
      <c r="C182" s="2" t="s">
        <v>72</v>
      </c>
      <c r="D182" s="15"/>
      <c r="E182" s="15">
        <v>1</v>
      </c>
      <c r="F182" s="10"/>
      <c r="G182" s="10">
        <f t="shared" si="8"/>
        <v>0</v>
      </c>
      <c r="H182" s="10"/>
      <c r="I182" s="10">
        <f t="shared" si="9"/>
        <v>0</v>
      </c>
      <c r="J182" s="10"/>
      <c r="K182" s="10">
        <f t="shared" si="10"/>
        <v>0</v>
      </c>
      <c r="L182" s="10">
        <f t="shared" si="11"/>
        <v>0</v>
      </c>
    </row>
    <row r="183" spans="1:14" x14ac:dyDescent="0.3">
      <c r="A183" s="2"/>
      <c r="B183" s="17" t="s">
        <v>591</v>
      </c>
      <c r="C183" s="18" t="s">
        <v>72</v>
      </c>
      <c r="D183" s="27"/>
      <c r="E183" s="19">
        <v>1</v>
      </c>
      <c r="F183" s="10"/>
      <c r="G183" s="10">
        <f t="shared" si="8"/>
        <v>0</v>
      </c>
      <c r="H183" s="10"/>
      <c r="I183" s="10">
        <f t="shared" si="9"/>
        <v>0</v>
      </c>
      <c r="J183" s="10"/>
      <c r="K183" s="10">
        <f t="shared" si="10"/>
        <v>0</v>
      </c>
      <c r="L183" s="10">
        <f t="shared" si="11"/>
        <v>0</v>
      </c>
    </row>
    <row r="184" spans="1:14" x14ac:dyDescent="0.3">
      <c r="A184" s="2"/>
      <c r="B184" s="17" t="s">
        <v>580</v>
      </c>
      <c r="C184" s="18" t="s">
        <v>72</v>
      </c>
      <c r="D184" s="19"/>
      <c r="E184" s="19">
        <v>1</v>
      </c>
      <c r="F184" s="10"/>
      <c r="G184" s="10">
        <f t="shared" si="8"/>
        <v>0</v>
      </c>
      <c r="H184" s="10"/>
      <c r="I184" s="10">
        <f t="shared" si="9"/>
        <v>0</v>
      </c>
      <c r="J184" s="10"/>
      <c r="K184" s="10">
        <f t="shared" si="10"/>
        <v>0</v>
      </c>
      <c r="L184" s="10">
        <f t="shared" si="11"/>
        <v>0</v>
      </c>
      <c r="N184" s="9"/>
    </row>
    <row r="185" spans="1:14" x14ac:dyDescent="0.3">
      <c r="A185" s="2"/>
      <c r="B185" s="17" t="s">
        <v>582</v>
      </c>
      <c r="C185" s="18" t="s">
        <v>72</v>
      </c>
      <c r="D185" s="27"/>
      <c r="E185" s="19">
        <v>1</v>
      </c>
      <c r="F185" s="10"/>
      <c r="G185" s="10">
        <f t="shared" si="8"/>
        <v>0</v>
      </c>
      <c r="H185" s="10"/>
      <c r="I185" s="10">
        <f t="shared" si="9"/>
        <v>0</v>
      </c>
      <c r="J185" s="10"/>
      <c r="K185" s="10">
        <f t="shared" si="10"/>
        <v>0</v>
      </c>
      <c r="L185" s="10">
        <f t="shared" si="11"/>
        <v>0</v>
      </c>
    </row>
    <row r="186" spans="1:14" x14ac:dyDescent="0.3">
      <c r="A186" s="2"/>
      <c r="B186" s="17" t="s">
        <v>584</v>
      </c>
      <c r="C186" s="18" t="s">
        <v>72</v>
      </c>
      <c r="D186" s="27"/>
      <c r="E186" s="19">
        <v>9</v>
      </c>
      <c r="F186" s="10"/>
      <c r="G186" s="10">
        <f t="shared" si="8"/>
        <v>0</v>
      </c>
      <c r="H186" s="10"/>
      <c r="I186" s="10">
        <f t="shared" si="9"/>
        <v>0</v>
      </c>
      <c r="J186" s="10"/>
      <c r="K186" s="10">
        <f t="shared" si="10"/>
        <v>0</v>
      </c>
      <c r="L186" s="10">
        <f t="shared" si="11"/>
        <v>0</v>
      </c>
    </row>
    <row r="187" spans="1:14" x14ac:dyDescent="0.3">
      <c r="A187" s="2"/>
      <c r="B187" s="17" t="s">
        <v>592</v>
      </c>
      <c r="C187" s="18" t="s">
        <v>72</v>
      </c>
      <c r="D187" s="27"/>
      <c r="E187" s="19">
        <v>4</v>
      </c>
      <c r="F187" s="10"/>
      <c r="G187" s="10">
        <f t="shared" si="8"/>
        <v>0</v>
      </c>
      <c r="H187" s="10"/>
      <c r="I187" s="10">
        <f t="shared" si="9"/>
        <v>0</v>
      </c>
      <c r="J187" s="10"/>
      <c r="K187" s="10">
        <f t="shared" si="10"/>
        <v>0</v>
      </c>
      <c r="L187" s="10">
        <f t="shared" si="11"/>
        <v>0</v>
      </c>
    </row>
    <row r="188" spans="1:14" x14ac:dyDescent="0.3">
      <c r="A188" s="2"/>
      <c r="B188" s="17" t="s">
        <v>570</v>
      </c>
      <c r="C188" s="18" t="s">
        <v>72</v>
      </c>
      <c r="D188" s="19"/>
      <c r="E188" s="19">
        <v>1</v>
      </c>
      <c r="F188" s="10"/>
      <c r="G188" s="10">
        <f t="shared" si="8"/>
        <v>0</v>
      </c>
      <c r="H188" s="10"/>
      <c r="I188" s="10">
        <f t="shared" si="9"/>
        <v>0</v>
      </c>
      <c r="J188" s="10"/>
      <c r="K188" s="10">
        <f t="shared" si="10"/>
        <v>0</v>
      </c>
      <c r="L188" s="10">
        <f t="shared" si="11"/>
        <v>0</v>
      </c>
    </row>
    <row r="189" spans="1:14" x14ac:dyDescent="0.3">
      <c r="A189" s="2"/>
      <c r="B189" s="17" t="s">
        <v>571</v>
      </c>
      <c r="C189" s="18" t="s">
        <v>72</v>
      </c>
      <c r="D189" s="19"/>
      <c r="E189" s="19">
        <v>3</v>
      </c>
      <c r="F189" s="10"/>
      <c r="G189" s="10">
        <f t="shared" si="8"/>
        <v>0</v>
      </c>
      <c r="H189" s="10"/>
      <c r="I189" s="10">
        <f t="shared" si="9"/>
        <v>0</v>
      </c>
      <c r="J189" s="10"/>
      <c r="K189" s="10">
        <f t="shared" si="10"/>
        <v>0</v>
      </c>
      <c r="L189" s="10">
        <f t="shared" si="11"/>
        <v>0</v>
      </c>
    </row>
    <row r="190" spans="1:14" x14ac:dyDescent="0.3">
      <c r="A190" s="2"/>
      <c r="B190" s="17" t="s">
        <v>589</v>
      </c>
      <c r="C190" s="18" t="s">
        <v>12</v>
      </c>
      <c r="D190" s="19"/>
      <c r="E190" s="19">
        <v>0.5</v>
      </c>
      <c r="F190" s="10"/>
      <c r="G190" s="10">
        <f t="shared" si="8"/>
        <v>0</v>
      </c>
      <c r="H190" s="10"/>
      <c r="I190" s="10">
        <f t="shared" si="9"/>
        <v>0</v>
      </c>
      <c r="J190" s="10"/>
      <c r="K190" s="10">
        <f t="shared" si="10"/>
        <v>0</v>
      </c>
      <c r="L190" s="10">
        <f t="shared" si="11"/>
        <v>0</v>
      </c>
    </row>
    <row r="191" spans="1:14" x14ac:dyDescent="0.3">
      <c r="A191" s="2"/>
      <c r="B191" s="17" t="s">
        <v>593</v>
      </c>
      <c r="C191" s="18" t="s">
        <v>72</v>
      </c>
      <c r="D191" s="19"/>
      <c r="E191" s="19">
        <v>1</v>
      </c>
      <c r="F191" s="10"/>
      <c r="G191" s="10">
        <f t="shared" si="8"/>
        <v>0</v>
      </c>
      <c r="H191" s="10"/>
      <c r="I191" s="10">
        <f t="shared" si="9"/>
        <v>0</v>
      </c>
      <c r="J191" s="10"/>
      <c r="K191" s="10">
        <f t="shared" si="10"/>
        <v>0</v>
      </c>
      <c r="L191" s="10">
        <f t="shared" si="11"/>
        <v>0</v>
      </c>
    </row>
    <row r="192" spans="1:14" x14ac:dyDescent="0.3">
      <c r="A192" s="2"/>
      <c r="B192" s="17" t="s">
        <v>594</v>
      </c>
      <c r="C192" s="18" t="s">
        <v>72</v>
      </c>
      <c r="D192" s="19"/>
      <c r="E192" s="19">
        <v>1</v>
      </c>
      <c r="F192" s="10"/>
      <c r="G192" s="10">
        <f t="shared" si="8"/>
        <v>0</v>
      </c>
      <c r="H192" s="10"/>
      <c r="I192" s="10">
        <f t="shared" si="9"/>
        <v>0</v>
      </c>
      <c r="J192" s="10"/>
      <c r="K192" s="10">
        <f t="shared" si="10"/>
        <v>0</v>
      </c>
      <c r="L192" s="10">
        <f t="shared" si="11"/>
        <v>0</v>
      </c>
    </row>
    <row r="193" spans="1:12" x14ac:dyDescent="0.3">
      <c r="A193" s="2"/>
      <c r="B193" s="17" t="s">
        <v>595</v>
      </c>
      <c r="C193" s="18" t="s">
        <v>12</v>
      </c>
      <c r="D193" s="19"/>
      <c r="E193" s="19">
        <v>0.5</v>
      </c>
      <c r="F193" s="10"/>
      <c r="G193" s="10">
        <f t="shared" si="8"/>
        <v>0</v>
      </c>
      <c r="H193" s="10"/>
      <c r="I193" s="10">
        <f t="shared" si="9"/>
        <v>0</v>
      </c>
      <c r="J193" s="10"/>
      <c r="K193" s="10">
        <f t="shared" si="10"/>
        <v>0</v>
      </c>
      <c r="L193" s="10">
        <f t="shared" si="11"/>
        <v>0</v>
      </c>
    </row>
    <row r="194" spans="1:12" x14ac:dyDescent="0.3">
      <c r="A194" s="2"/>
      <c r="B194" s="17" t="s">
        <v>603</v>
      </c>
      <c r="C194" s="18" t="s">
        <v>12</v>
      </c>
      <c r="D194" s="19"/>
      <c r="E194" s="19">
        <v>2</v>
      </c>
      <c r="F194" s="10"/>
      <c r="G194" s="10">
        <f t="shared" si="8"/>
        <v>0</v>
      </c>
      <c r="H194" s="10"/>
      <c r="I194" s="10">
        <f t="shared" si="9"/>
        <v>0</v>
      </c>
      <c r="J194" s="10"/>
      <c r="K194" s="10">
        <f t="shared" si="10"/>
        <v>0</v>
      </c>
      <c r="L194" s="10">
        <f t="shared" si="11"/>
        <v>0</v>
      </c>
    </row>
    <row r="195" spans="1:12" x14ac:dyDescent="0.3">
      <c r="A195" s="2">
        <v>14</v>
      </c>
      <c r="B195" s="14" t="s">
        <v>590</v>
      </c>
      <c r="C195" s="2" t="s">
        <v>72</v>
      </c>
      <c r="D195" s="15"/>
      <c r="E195" s="15">
        <v>1</v>
      </c>
      <c r="F195" s="10"/>
      <c r="G195" s="10">
        <f t="shared" si="8"/>
        <v>0</v>
      </c>
      <c r="H195" s="10"/>
      <c r="I195" s="10">
        <f t="shared" si="9"/>
        <v>0</v>
      </c>
      <c r="J195" s="10"/>
      <c r="K195" s="10">
        <f t="shared" si="10"/>
        <v>0</v>
      </c>
      <c r="L195" s="10">
        <f t="shared" si="11"/>
        <v>0</v>
      </c>
    </row>
    <row r="196" spans="1:12" x14ac:dyDescent="0.3">
      <c r="A196" s="2"/>
      <c r="B196" s="17" t="s">
        <v>591</v>
      </c>
      <c r="C196" s="18" t="s">
        <v>72</v>
      </c>
      <c r="D196" s="19"/>
      <c r="E196" s="19">
        <v>1</v>
      </c>
      <c r="F196" s="10"/>
      <c r="G196" s="10">
        <f t="shared" si="8"/>
        <v>0</v>
      </c>
      <c r="H196" s="10"/>
      <c r="I196" s="10">
        <f t="shared" si="9"/>
        <v>0</v>
      </c>
      <c r="J196" s="10"/>
      <c r="K196" s="10">
        <f t="shared" si="10"/>
        <v>0</v>
      </c>
      <c r="L196" s="10">
        <f t="shared" si="11"/>
        <v>0</v>
      </c>
    </row>
    <row r="197" spans="1:12" x14ac:dyDescent="0.3">
      <c r="A197" s="2"/>
      <c r="B197" s="17" t="s">
        <v>604</v>
      </c>
      <c r="C197" s="18" t="s">
        <v>72</v>
      </c>
      <c r="D197" s="19"/>
      <c r="E197" s="19">
        <v>1</v>
      </c>
      <c r="F197" s="10"/>
      <c r="G197" s="10">
        <f t="shared" si="8"/>
        <v>0</v>
      </c>
      <c r="H197" s="10"/>
      <c r="I197" s="10">
        <f t="shared" si="9"/>
        <v>0</v>
      </c>
      <c r="J197" s="10"/>
      <c r="K197" s="10">
        <f t="shared" si="10"/>
        <v>0</v>
      </c>
      <c r="L197" s="10">
        <f t="shared" si="11"/>
        <v>0</v>
      </c>
    </row>
    <row r="198" spans="1:12" x14ac:dyDescent="0.3">
      <c r="A198" s="2"/>
      <c r="B198" s="17" t="s">
        <v>584</v>
      </c>
      <c r="C198" s="18" t="s">
        <v>72</v>
      </c>
      <c r="D198" s="19"/>
      <c r="E198" s="19">
        <v>1</v>
      </c>
      <c r="F198" s="10"/>
      <c r="G198" s="10">
        <f t="shared" si="8"/>
        <v>0</v>
      </c>
      <c r="H198" s="10"/>
      <c r="I198" s="10">
        <f t="shared" si="9"/>
        <v>0</v>
      </c>
      <c r="J198" s="10"/>
      <c r="K198" s="10">
        <f t="shared" si="10"/>
        <v>0</v>
      </c>
      <c r="L198" s="10">
        <f t="shared" si="11"/>
        <v>0</v>
      </c>
    </row>
    <row r="199" spans="1:12" x14ac:dyDescent="0.3">
      <c r="A199" s="2"/>
      <c r="B199" s="17" t="s">
        <v>600</v>
      </c>
      <c r="C199" s="18" t="s">
        <v>72</v>
      </c>
      <c r="D199" s="19"/>
      <c r="E199" s="19">
        <v>1</v>
      </c>
      <c r="F199" s="10"/>
      <c r="G199" s="10">
        <f t="shared" si="8"/>
        <v>0</v>
      </c>
      <c r="H199" s="10"/>
      <c r="I199" s="10">
        <f t="shared" si="9"/>
        <v>0</v>
      </c>
      <c r="J199" s="10"/>
      <c r="K199" s="10">
        <f t="shared" si="10"/>
        <v>0</v>
      </c>
      <c r="L199" s="10">
        <f t="shared" si="11"/>
        <v>0</v>
      </c>
    </row>
    <row r="200" spans="1:12" x14ac:dyDescent="0.3">
      <c r="A200" s="2"/>
      <c r="B200" s="17" t="s">
        <v>617</v>
      </c>
      <c r="C200" s="18" t="s">
        <v>72</v>
      </c>
      <c r="D200" s="19"/>
      <c r="E200" s="19">
        <v>4</v>
      </c>
      <c r="F200" s="10"/>
      <c r="G200" s="10">
        <f t="shared" si="8"/>
        <v>0</v>
      </c>
      <c r="H200" s="10"/>
      <c r="I200" s="10">
        <f t="shared" si="9"/>
        <v>0</v>
      </c>
      <c r="J200" s="10"/>
      <c r="K200" s="10">
        <f t="shared" si="10"/>
        <v>0</v>
      </c>
      <c r="L200" s="10">
        <f t="shared" si="11"/>
        <v>0</v>
      </c>
    </row>
    <row r="201" spans="1:12" x14ac:dyDescent="0.3">
      <c r="A201" s="2"/>
      <c r="B201" s="17" t="s">
        <v>615</v>
      </c>
      <c r="C201" s="18" t="s">
        <v>72</v>
      </c>
      <c r="D201" s="19"/>
      <c r="E201" s="19">
        <v>1</v>
      </c>
      <c r="F201" s="10"/>
      <c r="G201" s="10">
        <f t="shared" si="8"/>
        <v>0</v>
      </c>
      <c r="H201" s="10"/>
      <c r="I201" s="10">
        <f t="shared" si="9"/>
        <v>0</v>
      </c>
      <c r="J201" s="10"/>
      <c r="K201" s="10">
        <f t="shared" si="10"/>
        <v>0</v>
      </c>
      <c r="L201" s="10">
        <f t="shared" si="11"/>
        <v>0</v>
      </c>
    </row>
    <row r="202" spans="1:12" x14ac:dyDescent="0.3">
      <c r="A202" s="2"/>
      <c r="B202" s="17" t="s">
        <v>618</v>
      </c>
      <c r="C202" s="18" t="s">
        <v>72</v>
      </c>
      <c r="D202" s="19"/>
      <c r="E202" s="19">
        <v>4</v>
      </c>
      <c r="F202" s="10"/>
      <c r="G202" s="10">
        <f t="shared" si="8"/>
        <v>0</v>
      </c>
      <c r="H202" s="10"/>
      <c r="I202" s="10">
        <f t="shared" si="9"/>
        <v>0</v>
      </c>
      <c r="J202" s="10"/>
      <c r="K202" s="10">
        <f t="shared" si="10"/>
        <v>0</v>
      </c>
      <c r="L202" s="10">
        <f t="shared" si="11"/>
        <v>0</v>
      </c>
    </row>
    <row r="203" spans="1:12" ht="28.8" x14ac:dyDescent="0.3">
      <c r="A203" s="2"/>
      <c r="B203" s="17" t="s">
        <v>616</v>
      </c>
      <c r="C203" s="18" t="s">
        <v>72</v>
      </c>
      <c r="D203" s="19"/>
      <c r="E203" s="19">
        <v>1</v>
      </c>
      <c r="F203" s="10"/>
      <c r="G203" s="10">
        <f t="shared" si="8"/>
        <v>0</v>
      </c>
      <c r="H203" s="10"/>
      <c r="I203" s="10">
        <f t="shared" si="9"/>
        <v>0</v>
      </c>
      <c r="J203" s="10"/>
      <c r="K203" s="10">
        <f t="shared" si="10"/>
        <v>0</v>
      </c>
      <c r="L203" s="10">
        <f t="shared" si="11"/>
        <v>0</v>
      </c>
    </row>
    <row r="204" spans="1:12" x14ac:dyDescent="0.3">
      <c r="A204" s="2"/>
      <c r="B204" s="17" t="s">
        <v>570</v>
      </c>
      <c r="C204" s="18" t="s">
        <v>72</v>
      </c>
      <c r="D204" s="19"/>
      <c r="E204" s="19">
        <v>1</v>
      </c>
      <c r="F204" s="10"/>
      <c r="G204" s="10">
        <f t="shared" si="8"/>
        <v>0</v>
      </c>
      <c r="H204" s="10"/>
      <c r="I204" s="10">
        <f t="shared" si="9"/>
        <v>0</v>
      </c>
      <c r="J204" s="10"/>
      <c r="K204" s="10">
        <f t="shared" si="10"/>
        <v>0</v>
      </c>
      <c r="L204" s="10">
        <f t="shared" si="11"/>
        <v>0</v>
      </c>
    </row>
    <row r="205" spans="1:12" x14ac:dyDescent="0.3">
      <c r="A205" s="2"/>
      <c r="B205" s="17" t="s">
        <v>571</v>
      </c>
      <c r="C205" s="18" t="s">
        <v>72</v>
      </c>
      <c r="D205" s="19"/>
      <c r="E205" s="19">
        <v>3</v>
      </c>
      <c r="F205" s="10"/>
      <c r="G205" s="10">
        <f t="shared" si="8"/>
        <v>0</v>
      </c>
      <c r="H205" s="10"/>
      <c r="I205" s="10">
        <f t="shared" si="9"/>
        <v>0</v>
      </c>
      <c r="J205" s="10"/>
      <c r="K205" s="10">
        <f t="shared" si="10"/>
        <v>0</v>
      </c>
      <c r="L205" s="10">
        <f t="shared" si="11"/>
        <v>0</v>
      </c>
    </row>
    <row r="206" spans="1:12" x14ac:dyDescent="0.3">
      <c r="A206" s="2"/>
      <c r="B206" s="17" t="s">
        <v>589</v>
      </c>
      <c r="C206" s="18" t="s">
        <v>12</v>
      </c>
      <c r="D206" s="19"/>
      <c r="E206" s="19">
        <v>0.5</v>
      </c>
      <c r="F206" s="10"/>
      <c r="G206" s="10">
        <f t="shared" si="8"/>
        <v>0</v>
      </c>
      <c r="H206" s="10"/>
      <c r="I206" s="10">
        <f t="shared" si="9"/>
        <v>0</v>
      </c>
      <c r="J206" s="10"/>
      <c r="K206" s="10">
        <f t="shared" si="10"/>
        <v>0</v>
      </c>
      <c r="L206" s="10">
        <f t="shared" si="11"/>
        <v>0</v>
      </c>
    </row>
    <row r="207" spans="1:12" x14ac:dyDescent="0.3">
      <c r="A207" s="2"/>
      <c r="B207" s="17" t="s">
        <v>593</v>
      </c>
      <c r="C207" s="18" t="s">
        <v>72</v>
      </c>
      <c r="D207" s="19"/>
      <c r="E207" s="19">
        <v>1</v>
      </c>
      <c r="F207" s="10"/>
      <c r="G207" s="10">
        <f t="shared" si="8"/>
        <v>0</v>
      </c>
      <c r="H207" s="10"/>
      <c r="I207" s="10">
        <f t="shared" si="9"/>
        <v>0</v>
      </c>
      <c r="J207" s="10"/>
      <c r="K207" s="10">
        <f t="shared" si="10"/>
        <v>0</v>
      </c>
      <c r="L207" s="10">
        <f t="shared" si="11"/>
        <v>0</v>
      </c>
    </row>
    <row r="208" spans="1:12" x14ac:dyDescent="0.3">
      <c r="A208" s="2"/>
      <c r="B208" s="17" t="s">
        <v>594</v>
      </c>
      <c r="C208" s="18" t="s">
        <v>72</v>
      </c>
      <c r="D208" s="19"/>
      <c r="E208" s="19">
        <v>1</v>
      </c>
      <c r="F208" s="10"/>
      <c r="G208" s="10">
        <f t="shared" si="8"/>
        <v>0</v>
      </c>
      <c r="H208" s="10"/>
      <c r="I208" s="10">
        <f t="shared" si="9"/>
        <v>0</v>
      </c>
      <c r="J208" s="10"/>
      <c r="K208" s="10">
        <f t="shared" si="10"/>
        <v>0</v>
      </c>
      <c r="L208" s="10">
        <f t="shared" si="11"/>
        <v>0</v>
      </c>
    </row>
    <row r="209" spans="1:14" x14ac:dyDescent="0.3">
      <c r="A209" s="2"/>
      <c r="B209" s="17" t="s">
        <v>595</v>
      </c>
      <c r="C209" s="18" t="s">
        <v>12</v>
      </c>
      <c r="D209" s="27"/>
      <c r="E209" s="19">
        <v>0.5</v>
      </c>
      <c r="F209" s="10"/>
      <c r="G209" s="10">
        <f t="shared" si="8"/>
        <v>0</v>
      </c>
      <c r="H209" s="10"/>
      <c r="I209" s="10">
        <f t="shared" si="9"/>
        <v>0</v>
      </c>
      <c r="J209" s="10"/>
      <c r="K209" s="10">
        <f t="shared" si="10"/>
        <v>0</v>
      </c>
      <c r="L209" s="10">
        <f t="shared" si="11"/>
        <v>0</v>
      </c>
    </row>
    <row r="210" spans="1:14" x14ac:dyDescent="0.3">
      <c r="A210" s="2"/>
      <c r="B210" s="17" t="s">
        <v>603</v>
      </c>
      <c r="C210" s="18" t="s">
        <v>12</v>
      </c>
      <c r="D210" s="19"/>
      <c r="E210" s="19">
        <v>2</v>
      </c>
      <c r="F210" s="10"/>
      <c r="G210" s="10">
        <f t="shared" si="8"/>
        <v>0</v>
      </c>
      <c r="H210" s="10"/>
      <c r="I210" s="10">
        <f t="shared" si="9"/>
        <v>0</v>
      </c>
      <c r="J210" s="10"/>
      <c r="K210" s="10">
        <f t="shared" si="10"/>
        <v>0</v>
      </c>
      <c r="L210" s="10">
        <f t="shared" si="11"/>
        <v>0</v>
      </c>
      <c r="N210" s="9"/>
    </row>
    <row r="211" spans="1:14" x14ac:dyDescent="0.3">
      <c r="A211" s="2">
        <v>15</v>
      </c>
      <c r="B211" s="14" t="s">
        <v>590</v>
      </c>
      <c r="C211" s="2" t="s">
        <v>72</v>
      </c>
      <c r="D211" s="32"/>
      <c r="E211" s="15">
        <v>1</v>
      </c>
      <c r="F211" s="10"/>
      <c r="G211" s="10">
        <f t="shared" si="8"/>
        <v>0</v>
      </c>
      <c r="H211" s="10"/>
      <c r="I211" s="10">
        <f t="shared" si="9"/>
        <v>0</v>
      </c>
      <c r="J211" s="10"/>
      <c r="K211" s="10">
        <f t="shared" si="10"/>
        <v>0</v>
      </c>
      <c r="L211" s="10">
        <f t="shared" si="11"/>
        <v>0</v>
      </c>
    </row>
    <row r="212" spans="1:14" ht="28.8" x14ac:dyDescent="0.3">
      <c r="A212" s="2"/>
      <c r="B212" s="17" t="s">
        <v>619</v>
      </c>
      <c r="C212" s="18" t="s">
        <v>72</v>
      </c>
      <c r="D212" s="27"/>
      <c r="E212" s="19">
        <v>1</v>
      </c>
      <c r="F212" s="10"/>
      <c r="G212" s="10">
        <f t="shared" si="8"/>
        <v>0</v>
      </c>
      <c r="H212" s="10"/>
      <c r="I212" s="10">
        <f t="shared" si="9"/>
        <v>0</v>
      </c>
      <c r="J212" s="10"/>
      <c r="K212" s="10">
        <f t="shared" si="10"/>
        <v>0</v>
      </c>
      <c r="L212" s="10">
        <f t="shared" si="11"/>
        <v>0</v>
      </c>
    </row>
    <row r="213" spans="1:14" x14ac:dyDescent="0.3">
      <c r="A213" s="2"/>
      <c r="B213" s="17" t="s">
        <v>585</v>
      </c>
      <c r="C213" s="18" t="s">
        <v>72</v>
      </c>
      <c r="D213" s="27"/>
      <c r="E213" s="19">
        <v>1</v>
      </c>
      <c r="F213" s="10"/>
      <c r="G213" s="10">
        <f t="shared" si="8"/>
        <v>0</v>
      </c>
      <c r="H213" s="10"/>
      <c r="I213" s="10">
        <f t="shared" si="9"/>
        <v>0</v>
      </c>
      <c r="J213" s="10"/>
      <c r="K213" s="10">
        <f t="shared" si="10"/>
        <v>0</v>
      </c>
      <c r="L213" s="10">
        <f t="shared" si="11"/>
        <v>0</v>
      </c>
    </row>
    <row r="214" spans="1:14" x14ac:dyDescent="0.3">
      <c r="A214" s="2"/>
      <c r="B214" s="17" t="s">
        <v>600</v>
      </c>
      <c r="C214" s="18" t="s">
        <v>72</v>
      </c>
      <c r="D214" s="19"/>
      <c r="E214" s="19">
        <v>2</v>
      </c>
      <c r="F214" s="10"/>
      <c r="G214" s="10">
        <f t="shared" si="8"/>
        <v>0</v>
      </c>
      <c r="H214" s="10"/>
      <c r="I214" s="10">
        <f t="shared" si="9"/>
        <v>0</v>
      </c>
      <c r="J214" s="10"/>
      <c r="K214" s="10">
        <f t="shared" si="10"/>
        <v>0</v>
      </c>
      <c r="L214" s="10">
        <f t="shared" si="11"/>
        <v>0</v>
      </c>
    </row>
    <row r="215" spans="1:14" x14ac:dyDescent="0.3">
      <c r="A215" s="2"/>
      <c r="B215" s="17" t="s">
        <v>601</v>
      </c>
      <c r="C215" s="18" t="s">
        <v>72</v>
      </c>
      <c r="D215" s="19"/>
      <c r="E215" s="19">
        <v>1</v>
      </c>
      <c r="F215" s="10"/>
      <c r="G215" s="10">
        <f t="shared" si="8"/>
        <v>0</v>
      </c>
      <c r="H215" s="10"/>
      <c r="I215" s="10">
        <f t="shared" si="9"/>
        <v>0</v>
      </c>
      <c r="J215" s="10"/>
      <c r="K215" s="10">
        <f t="shared" si="10"/>
        <v>0</v>
      </c>
      <c r="L215" s="10">
        <f t="shared" si="11"/>
        <v>0</v>
      </c>
    </row>
    <row r="216" spans="1:14" x14ac:dyDescent="0.3">
      <c r="A216" s="2">
        <v>16</v>
      </c>
      <c r="B216" s="14" t="s">
        <v>590</v>
      </c>
      <c r="C216" s="2" t="s">
        <v>72</v>
      </c>
      <c r="D216" s="15"/>
      <c r="E216" s="15">
        <v>1</v>
      </c>
      <c r="F216" s="10"/>
      <c r="G216" s="10">
        <f t="shared" si="8"/>
        <v>0</v>
      </c>
      <c r="H216" s="10"/>
      <c r="I216" s="10">
        <f t="shared" si="9"/>
        <v>0</v>
      </c>
      <c r="J216" s="10"/>
      <c r="K216" s="10">
        <f t="shared" si="10"/>
        <v>0</v>
      </c>
      <c r="L216" s="10">
        <f t="shared" si="11"/>
        <v>0</v>
      </c>
    </row>
    <row r="217" spans="1:14" x14ac:dyDescent="0.3">
      <c r="A217" s="2"/>
      <c r="B217" s="17" t="s">
        <v>620</v>
      </c>
      <c r="C217" s="18" t="s">
        <v>72</v>
      </c>
      <c r="D217" s="19"/>
      <c r="E217" s="19">
        <v>1</v>
      </c>
      <c r="F217" s="10"/>
      <c r="G217" s="10">
        <f t="shared" si="8"/>
        <v>0</v>
      </c>
      <c r="H217" s="10"/>
      <c r="I217" s="10">
        <f t="shared" si="9"/>
        <v>0</v>
      </c>
      <c r="J217" s="10"/>
      <c r="K217" s="10">
        <f t="shared" si="10"/>
        <v>0</v>
      </c>
      <c r="L217" s="10">
        <f t="shared" si="11"/>
        <v>0</v>
      </c>
    </row>
    <row r="218" spans="1:14" x14ac:dyDescent="0.3">
      <c r="A218" s="2"/>
      <c r="B218" s="17" t="s">
        <v>604</v>
      </c>
      <c r="C218" s="18" t="s">
        <v>72</v>
      </c>
      <c r="D218" s="19"/>
      <c r="E218" s="19">
        <v>1</v>
      </c>
      <c r="F218" s="10"/>
      <c r="G218" s="10">
        <f t="shared" si="8"/>
        <v>0</v>
      </c>
      <c r="H218" s="10"/>
      <c r="I218" s="10">
        <f t="shared" si="9"/>
        <v>0</v>
      </c>
      <c r="J218" s="10"/>
      <c r="K218" s="10">
        <f t="shared" si="10"/>
        <v>0</v>
      </c>
      <c r="L218" s="10">
        <f t="shared" si="11"/>
        <v>0</v>
      </c>
    </row>
    <row r="219" spans="1:14" x14ac:dyDescent="0.3">
      <c r="A219" s="2"/>
      <c r="B219" s="17" t="s">
        <v>600</v>
      </c>
      <c r="C219" s="18" t="s">
        <v>72</v>
      </c>
      <c r="D219" s="19"/>
      <c r="E219" s="19">
        <v>2</v>
      </c>
      <c r="F219" s="10"/>
      <c r="G219" s="10">
        <f t="shared" si="8"/>
        <v>0</v>
      </c>
      <c r="H219" s="10"/>
      <c r="I219" s="10">
        <f t="shared" si="9"/>
        <v>0</v>
      </c>
      <c r="J219" s="10"/>
      <c r="K219" s="10">
        <f t="shared" si="10"/>
        <v>0</v>
      </c>
      <c r="L219" s="10">
        <f t="shared" si="11"/>
        <v>0</v>
      </c>
    </row>
    <row r="220" spans="1:14" x14ac:dyDescent="0.3">
      <c r="A220" s="2"/>
      <c r="B220" s="17" t="s">
        <v>621</v>
      </c>
      <c r="C220" s="18" t="s">
        <v>72</v>
      </c>
      <c r="D220" s="19"/>
      <c r="E220" s="19">
        <v>1</v>
      </c>
      <c r="F220" s="10"/>
      <c r="G220" s="10">
        <f t="shared" si="8"/>
        <v>0</v>
      </c>
      <c r="H220" s="10"/>
      <c r="I220" s="10">
        <f t="shared" si="9"/>
        <v>0</v>
      </c>
      <c r="J220" s="10"/>
      <c r="K220" s="10">
        <f t="shared" si="10"/>
        <v>0</v>
      </c>
      <c r="L220" s="10">
        <f t="shared" si="11"/>
        <v>0</v>
      </c>
    </row>
    <row r="221" spans="1:14" x14ac:dyDescent="0.3">
      <c r="A221" s="2"/>
      <c r="B221" s="17" t="s">
        <v>622</v>
      </c>
      <c r="C221" s="18" t="s">
        <v>72</v>
      </c>
      <c r="D221" s="19"/>
      <c r="E221" s="19">
        <v>1</v>
      </c>
      <c r="F221" s="10"/>
      <c r="G221" s="10">
        <f t="shared" si="8"/>
        <v>0</v>
      </c>
      <c r="H221" s="10"/>
      <c r="I221" s="10">
        <f t="shared" si="9"/>
        <v>0</v>
      </c>
      <c r="J221" s="10"/>
      <c r="K221" s="10">
        <f t="shared" si="10"/>
        <v>0</v>
      </c>
      <c r="L221" s="10">
        <f t="shared" si="11"/>
        <v>0</v>
      </c>
    </row>
    <row r="222" spans="1:14" x14ac:dyDescent="0.3">
      <c r="A222" s="2"/>
      <c r="B222" s="17" t="s">
        <v>623</v>
      </c>
      <c r="C222" s="18" t="s">
        <v>72</v>
      </c>
      <c r="D222" s="19"/>
      <c r="E222" s="19">
        <v>2</v>
      </c>
      <c r="F222" s="10"/>
      <c r="G222" s="10">
        <f t="shared" si="8"/>
        <v>0</v>
      </c>
      <c r="H222" s="10"/>
      <c r="I222" s="10">
        <f t="shared" si="9"/>
        <v>0</v>
      </c>
      <c r="J222" s="10"/>
      <c r="K222" s="10">
        <f t="shared" si="10"/>
        <v>0</v>
      </c>
      <c r="L222" s="10">
        <f t="shared" si="11"/>
        <v>0</v>
      </c>
    </row>
    <row r="223" spans="1:14" x14ac:dyDescent="0.3">
      <c r="A223" s="2"/>
      <c r="B223" s="17" t="s">
        <v>615</v>
      </c>
      <c r="C223" s="18" t="s">
        <v>72</v>
      </c>
      <c r="D223" s="19"/>
      <c r="E223" s="19">
        <v>1</v>
      </c>
      <c r="F223" s="10"/>
      <c r="G223" s="10">
        <f t="shared" si="8"/>
        <v>0</v>
      </c>
      <c r="H223" s="10"/>
      <c r="I223" s="10">
        <f t="shared" si="9"/>
        <v>0</v>
      </c>
      <c r="J223" s="10"/>
      <c r="K223" s="10">
        <f t="shared" si="10"/>
        <v>0</v>
      </c>
      <c r="L223" s="10">
        <f t="shared" si="11"/>
        <v>0</v>
      </c>
    </row>
    <row r="224" spans="1:14" x14ac:dyDescent="0.3">
      <c r="A224" s="2"/>
      <c r="B224" s="17" t="s">
        <v>618</v>
      </c>
      <c r="C224" s="18" t="s">
        <v>72</v>
      </c>
      <c r="D224" s="19"/>
      <c r="E224" s="19">
        <v>4</v>
      </c>
      <c r="F224" s="10"/>
      <c r="G224" s="10">
        <f t="shared" si="8"/>
        <v>0</v>
      </c>
      <c r="H224" s="10"/>
      <c r="I224" s="10">
        <f t="shared" si="9"/>
        <v>0</v>
      </c>
      <c r="J224" s="10"/>
      <c r="K224" s="10">
        <f t="shared" si="10"/>
        <v>0</v>
      </c>
      <c r="L224" s="10">
        <f t="shared" si="11"/>
        <v>0</v>
      </c>
    </row>
    <row r="225" spans="1:12" x14ac:dyDescent="0.3">
      <c r="A225" s="2"/>
      <c r="B225" s="17" t="s">
        <v>624</v>
      </c>
      <c r="C225" s="18" t="s">
        <v>72</v>
      </c>
      <c r="D225" s="19"/>
      <c r="E225" s="19">
        <v>1</v>
      </c>
      <c r="F225" s="10"/>
      <c r="G225" s="10">
        <f t="shared" si="8"/>
        <v>0</v>
      </c>
      <c r="H225" s="10"/>
      <c r="I225" s="10">
        <f t="shared" si="9"/>
        <v>0</v>
      </c>
      <c r="J225" s="10"/>
      <c r="K225" s="10">
        <f t="shared" si="10"/>
        <v>0</v>
      </c>
      <c r="L225" s="10">
        <f t="shared" si="11"/>
        <v>0</v>
      </c>
    </row>
    <row r="226" spans="1:12" x14ac:dyDescent="0.3">
      <c r="A226" s="2"/>
      <c r="B226" s="17" t="s">
        <v>625</v>
      </c>
      <c r="C226" s="18" t="s">
        <v>72</v>
      </c>
      <c r="D226" s="19"/>
      <c r="E226" s="19">
        <v>4</v>
      </c>
      <c r="F226" s="10"/>
      <c r="G226" s="10">
        <f t="shared" si="8"/>
        <v>0</v>
      </c>
      <c r="H226" s="10"/>
      <c r="I226" s="10">
        <f t="shared" si="9"/>
        <v>0</v>
      </c>
      <c r="J226" s="10"/>
      <c r="K226" s="10">
        <f t="shared" si="10"/>
        <v>0</v>
      </c>
      <c r="L226" s="10">
        <f t="shared" si="11"/>
        <v>0</v>
      </c>
    </row>
    <row r="227" spans="1:12" x14ac:dyDescent="0.3">
      <c r="A227" s="2"/>
      <c r="B227" s="17" t="s">
        <v>570</v>
      </c>
      <c r="C227" s="18" t="s">
        <v>72</v>
      </c>
      <c r="D227" s="19"/>
      <c r="E227" s="19">
        <v>1</v>
      </c>
      <c r="F227" s="10"/>
      <c r="G227" s="10">
        <f t="shared" si="8"/>
        <v>0</v>
      </c>
      <c r="H227" s="10"/>
      <c r="I227" s="10">
        <f t="shared" si="9"/>
        <v>0</v>
      </c>
      <c r="J227" s="10"/>
      <c r="K227" s="10">
        <f t="shared" si="10"/>
        <v>0</v>
      </c>
      <c r="L227" s="10">
        <f t="shared" si="11"/>
        <v>0</v>
      </c>
    </row>
    <row r="228" spans="1:12" x14ac:dyDescent="0.3">
      <c r="A228" s="2"/>
      <c r="B228" s="17" t="s">
        <v>571</v>
      </c>
      <c r="C228" s="18" t="s">
        <v>72</v>
      </c>
      <c r="D228" s="19"/>
      <c r="E228" s="19">
        <v>3</v>
      </c>
      <c r="F228" s="10"/>
      <c r="G228" s="10">
        <f t="shared" si="8"/>
        <v>0</v>
      </c>
      <c r="H228" s="10"/>
      <c r="I228" s="10">
        <f t="shared" si="9"/>
        <v>0</v>
      </c>
      <c r="J228" s="10"/>
      <c r="K228" s="10">
        <f t="shared" si="10"/>
        <v>0</v>
      </c>
      <c r="L228" s="10">
        <f t="shared" si="11"/>
        <v>0</v>
      </c>
    </row>
    <row r="229" spans="1:12" x14ac:dyDescent="0.3">
      <c r="A229" s="2"/>
      <c r="B229" s="17" t="s">
        <v>589</v>
      </c>
      <c r="C229" s="18" t="s">
        <v>12</v>
      </c>
      <c r="D229" s="27"/>
      <c r="E229" s="19">
        <v>0.5</v>
      </c>
      <c r="F229" s="10"/>
      <c r="G229" s="10">
        <f t="shared" si="8"/>
        <v>0</v>
      </c>
      <c r="H229" s="10"/>
      <c r="I229" s="10">
        <f t="shared" si="9"/>
        <v>0</v>
      </c>
      <c r="J229" s="10"/>
      <c r="K229" s="10">
        <f t="shared" si="10"/>
        <v>0</v>
      </c>
      <c r="L229" s="10">
        <f t="shared" si="11"/>
        <v>0</v>
      </c>
    </row>
    <row r="230" spans="1:12" x14ac:dyDescent="0.3">
      <c r="A230" s="2"/>
      <c r="B230" s="17" t="s">
        <v>593</v>
      </c>
      <c r="C230" s="18" t="s">
        <v>72</v>
      </c>
      <c r="D230" s="27"/>
      <c r="E230" s="19">
        <v>1</v>
      </c>
      <c r="F230" s="10"/>
      <c r="G230" s="10">
        <f t="shared" si="8"/>
        <v>0</v>
      </c>
      <c r="H230" s="10"/>
      <c r="I230" s="10">
        <f t="shared" si="9"/>
        <v>0</v>
      </c>
      <c r="J230" s="10"/>
      <c r="K230" s="10">
        <f t="shared" si="10"/>
        <v>0</v>
      </c>
      <c r="L230" s="10">
        <f t="shared" si="11"/>
        <v>0</v>
      </c>
    </row>
    <row r="231" spans="1:12" x14ac:dyDescent="0.3">
      <c r="A231" s="2"/>
      <c r="B231" s="17" t="s">
        <v>594</v>
      </c>
      <c r="C231" s="18" t="s">
        <v>72</v>
      </c>
      <c r="D231" s="27"/>
      <c r="E231" s="19">
        <v>1</v>
      </c>
      <c r="F231" s="10"/>
      <c r="G231" s="10">
        <f t="shared" si="8"/>
        <v>0</v>
      </c>
      <c r="H231" s="10"/>
      <c r="I231" s="10">
        <f t="shared" si="9"/>
        <v>0</v>
      </c>
      <c r="J231" s="10"/>
      <c r="K231" s="10">
        <f t="shared" si="10"/>
        <v>0</v>
      </c>
      <c r="L231" s="10">
        <f t="shared" si="11"/>
        <v>0</v>
      </c>
    </row>
    <row r="232" spans="1:12" x14ac:dyDescent="0.3">
      <c r="A232" s="2"/>
      <c r="B232" s="17" t="s">
        <v>595</v>
      </c>
      <c r="C232" s="18" t="s">
        <v>12</v>
      </c>
      <c r="D232" s="19"/>
      <c r="E232" s="19">
        <v>0.5</v>
      </c>
      <c r="F232" s="10"/>
      <c r="G232" s="10">
        <f t="shared" si="8"/>
        <v>0</v>
      </c>
      <c r="H232" s="10"/>
      <c r="I232" s="10">
        <f t="shared" si="9"/>
        <v>0</v>
      </c>
      <c r="J232" s="10"/>
      <c r="K232" s="10">
        <f t="shared" si="10"/>
        <v>0</v>
      </c>
      <c r="L232" s="10">
        <f t="shared" si="11"/>
        <v>0</v>
      </c>
    </row>
    <row r="233" spans="1:12" x14ac:dyDescent="0.3">
      <c r="A233" s="2"/>
      <c r="B233" s="17" t="s">
        <v>603</v>
      </c>
      <c r="C233" s="18" t="s">
        <v>12</v>
      </c>
      <c r="D233" s="19"/>
      <c r="E233" s="19">
        <v>2</v>
      </c>
      <c r="F233" s="10"/>
      <c r="G233" s="10">
        <f t="shared" si="8"/>
        <v>0</v>
      </c>
      <c r="H233" s="10"/>
      <c r="I233" s="10">
        <f t="shared" si="9"/>
        <v>0</v>
      </c>
      <c r="J233" s="10"/>
      <c r="K233" s="10">
        <f t="shared" si="10"/>
        <v>0</v>
      </c>
      <c r="L233" s="10">
        <f t="shared" si="11"/>
        <v>0</v>
      </c>
    </row>
    <row r="234" spans="1:12" x14ac:dyDescent="0.3">
      <c r="A234" s="2"/>
      <c r="B234" s="17" t="s">
        <v>626</v>
      </c>
      <c r="C234" s="18" t="s">
        <v>72</v>
      </c>
      <c r="D234" s="19"/>
      <c r="E234" s="19">
        <v>1</v>
      </c>
      <c r="F234" s="10"/>
      <c r="G234" s="10">
        <f t="shared" si="8"/>
        <v>0</v>
      </c>
      <c r="H234" s="10"/>
      <c r="I234" s="10">
        <f t="shared" si="9"/>
        <v>0</v>
      </c>
      <c r="J234" s="10"/>
      <c r="K234" s="10">
        <f t="shared" si="10"/>
        <v>0</v>
      </c>
      <c r="L234" s="10">
        <f t="shared" si="11"/>
        <v>0</v>
      </c>
    </row>
    <row r="235" spans="1:12" x14ac:dyDescent="0.3">
      <c r="A235" s="2">
        <v>17</v>
      </c>
      <c r="B235" s="14" t="s">
        <v>590</v>
      </c>
      <c r="C235" s="2" t="s">
        <v>72</v>
      </c>
      <c r="D235" s="15"/>
      <c r="E235" s="15">
        <v>1</v>
      </c>
      <c r="F235" s="10"/>
      <c r="G235" s="10">
        <f t="shared" si="8"/>
        <v>0</v>
      </c>
      <c r="H235" s="10"/>
      <c r="I235" s="10">
        <f t="shared" si="9"/>
        <v>0</v>
      </c>
      <c r="J235" s="10"/>
      <c r="K235" s="10">
        <f t="shared" si="10"/>
        <v>0</v>
      </c>
      <c r="L235" s="10">
        <f t="shared" si="11"/>
        <v>0</v>
      </c>
    </row>
    <row r="236" spans="1:12" x14ac:dyDescent="0.3">
      <c r="A236" s="2"/>
      <c r="B236" s="17" t="s">
        <v>627</v>
      </c>
      <c r="C236" s="18" t="s">
        <v>72</v>
      </c>
      <c r="D236" s="19"/>
      <c r="E236" s="19">
        <v>1</v>
      </c>
      <c r="F236" s="10"/>
      <c r="G236" s="10">
        <f t="shared" si="8"/>
        <v>0</v>
      </c>
      <c r="H236" s="10"/>
      <c r="I236" s="10">
        <f t="shared" si="9"/>
        <v>0</v>
      </c>
      <c r="J236" s="10"/>
      <c r="K236" s="10">
        <f t="shared" si="10"/>
        <v>0</v>
      </c>
      <c r="L236" s="10">
        <f t="shared" si="11"/>
        <v>0</v>
      </c>
    </row>
    <row r="237" spans="1:12" x14ac:dyDescent="0.3">
      <c r="A237" s="2"/>
      <c r="B237" s="17" t="s">
        <v>604</v>
      </c>
      <c r="C237" s="18" t="s">
        <v>72</v>
      </c>
      <c r="D237" s="19"/>
      <c r="E237" s="19">
        <v>1</v>
      </c>
      <c r="F237" s="10"/>
      <c r="G237" s="10">
        <f t="shared" si="8"/>
        <v>0</v>
      </c>
      <c r="H237" s="10"/>
      <c r="I237" s="10">
        <f t="shared" si="9"/>
        <v>0</v>
      </c>
      <c r="J237" s="10"/>
      <c r="K237" s="10">
        <f t="shared" si="10"/>
        <v>0</v>
      </c>
      <c r="L237" s="10">
        <f t="shared" si="11"/>
        <v>0</v>
      </c>
    </row>
    <row r="238" spans="1:12" x14ac:dyDescent="0.3">
      <c r="A238" s="2"/>
      <c r="B238" s="17" t="s">
        <v>598</v>
      </c>
      <c r="C238" s="18" t="s">
        <v>72</v>
      </c>
      <c r="D238" s="19"/>
      <c r="E238" s="19">
        <v>6</v>
      </c>
      <c r="F238" s="10"/>
      <c r="G238" s="10">
        <f t="shared" si="8"/>
        <v>0</v>
      </c>
      <c r="H238" s="10"/>
      <c r="I238" s="10">
        <f t="shared" si="9"/>
        <v>0</v>
      </c>
      <c r="J238" s="10"/>
      <c r="K238" s="10">
        <f t="shared" si="10"/>
        <v>0</v>
      </c>
      <c r="L238" s="10">
        <f t="shared" si="11"/>
        <v>0</v>
      </c>
    </row>
    <row r="239" spans="1:12" x14ac:dyDescent="0.3">
      <c r="A239" s="2"/>
      <c r="B239" s="17" t="s">
        <v>583</v>
      </c>
      <c r="C239" s="18" t="s">
        <v>72</v>
      </c>
      <c r="D239" s="19"/>
      <c r="E239" s="19">
        <v>1</v>
      </c>
      <c r="F239" s="10"/>
      <c r="G239" s="10">
        <f t="shared" si="8"/>
        <v>0</v>
      </c>
      <c r="H239" s="10"/>
      <c r="I239" s="10">
        <f t="shared" si="9"/>
        <v>0</v>
      </c>
      <c r="J239" s="10"/>
      <c r="K239" s="10">
        <f t="shared" si="10"/>
        <v>0</v>
      </c>
      <c r="L239" s="10">
        <f t="shared" si="11"/>
        <v>0</v>
      </c>
    </row>
    <row r="240" spans="1:12" x14ac:dyDescent="0.3">
      <c r="A240" s="2"/>
      <c r="B240" s="17" t="s">
        <v>599</v>
      </c>
      <c r="C240" s="18" t="s">
        <v>72</v>
      </c>
      <c r="D240" s="19"/>
      <c r="E240" s="19">
        <v>1</v>
      </c>
      <c r="F240" s="10"/>
      <c r="G240" s="10">
        <f t="shared" si="8"/>
        <v>0</v>
      </c>
      <c r="H240" s="10"/>
      <c r="I240" s="10">
        <f t="shared" si="9"/>
        <v>0</v>
      </c>
      <c r="J240" s="10"/>
      <c r="K240" s="10">
        <f t="shared" si="10"/>
        <v>0</v>
      </c>
      <c r="L240" s="10">
        <f t="shared" si="11"/>
        <v>0</v>
      </c>
    </row>
    <row r="241" spans="1:14" x14ac:dyDescent="0.3">
      <c r="A241" s="2"/>
      <c r="B241" s="17" t="s">
        <v>584</v>
      </c>
      <c r="C241" s="18" t="s">
        <v>72</v>
      </c>
      <c r="D241" s="19"/>
      <c r="E241" s="19">
        <v>9</v>
      </c>
      <c r="F241" s="10"/>
      <c r="G241" s="10">
        <f t="shared" si="8"/>
        <v>0</v>
      </c>
      <c r="H241" s="10"/>
      <c r="I241" s="10">
        <f t="shared" si="9"/>
        <v>0</v>
      </c>
      <c r="J241" s="10"/>
      <c r="K241" s="10">
        <f t="shared" si="10"/>
        <v>0</v>
      </c>
      <c r="L241" s="10">
        <f t="shared" si="11"/>
        <v>0</v>
      </c>
    </row>
    <row r="242" spans="1:14" x14ac:dyDescent="0.3">
      <c r="A242" s="2"/>
      <c r="B242" s="17" t="s">
        <v>592</v>
      </c>
      <c r="C242" s="18" t="s">
        <v>72</v>
      </c>
      <c r="D242" s="19"/>
      <c r="E242" s="19">
        <v>3</v>
      </c>
      <c r="F242" s="10"/>
      <c r="G242" s="10">
        <f t="shared" si="8"/>
        <v>0</v>
      </c>
      <c r="H242" s="10"/>
      <c r="I242" s="10">
        <f t="shared" si="9"/>
        <v>0</v>
      </c>
      <c r="J242" s="10"/>
      <c r="K242" s="10">
        <f t="shared" si="10"/>
        <v>0</v>
      </c>
      <c r="L242" s="10">
        <f t="shared" si="11"/>
        <v>0</v>
      </c>
    </row>
    <row r="243" spans="1:14" x14ac:dyDescent="0.3">
      <c r="A243" s="2"/>
      <c r="B243" s="17" t="s">
        <v>617</v>
      </c>
      <c r="C243" s="18" t="s">
        <v>72</v>
      </c>
      <c r="D243" s="19"/>
      <c r="E243" s="19">
        <v>2</v>
      </c>
      <c r="F243" s="10"/>
      <c r="G243" s="10">
        <f t="shared" si="8"/>
        <v>0</v>
      </c>
      <c r="H243" s="10"/>
      <c r="I243" s="10">
        <f t="shared" si="9"/>
        <v>0</v>
      </c>
      <c r="J243" s="10"/>
      <c r="K243" s="10">
        <f t="shared" si="10"/>
        <v>0</v>
      </c>
      <c r="L243" s="10">
        <f t="shared" si="11"/>
        <v>0</v>
      </c>
    </row>
    <row r="244" spans="1:14" x14ac:dyDescent="0.3">
      <c r="A244" s="2"/>
      <c r="B244" s="17" t="s">
        <v>615</v>
      </c>
      <c r="C244" s="18" t="s">
        <v>72</v>
      </c>
      <c r="D244" s="27"/>
      <c r="E244" s="19">
        <v>1</v>
      </c>
      <c r="F244" s="10"/>
      <c r="G244" s="10">
        <f t="shared" si="8"/>
        <v>0</v>
      </c>
      <c r="H244" s="10"/>
      <c r="I244" s="10">
        <f t="shared" si="9"/>
        <v>0</v>
      </c>
      <c r="J244" s="10"/>
      <c r="K244" s="10">
        <f t="shared" si="10"/>
        <v>0</v>
      </c>
      <c r="L244" s="10">
        <f t="shared" si="11"/>
        <v>0</v>
      </c>
    </row>
    <row r="245" spans="1:14" x14ac:dyDescent="0.3">
      <c r="A245" s="2"/>
      <c r="B245" s="17" t="s">
        <v>618</v>
      </c>
      <c r="C245" s="18" t="s">
        <v>72</v>
      </c>
      <c r="D245" s="19"/>
      <c r="E245" s="19">
        <v>2</v>
      </c>
      <c r="F245" s="10"/>
      <c r="G245" s="10">
        <f t="shared" si="8"/>
        <v>0</v>
      </c>
      <c r="H245" s="10"/>
      <c r="I245" s="10">
        <f t="shared" si="9"/>
        <v>0</v>
      </c>
      <c r="J245" s="10"/>
      <c r="K245" s="10">
        <f t="shared" si="10"/>
        <v>0</v>
      </c>
      <c r="L245" s="10">
        <f t="shared" si="11"/>
        <v>0</v>
      </c>
      <c r="N245" s="9"/>
    </row>
    <row r="246" spans="1:14" ht="28.8" x14ac:dyDescent="0.3">
      <c r="A246" s="2"/>
      <c r="B246" s="17" t="s">
        <v>616</v>
      </c>
      <c r="C246" s="18" t="s">
        <v>72</v>
      </c>
      <c r="D246" s="27"/>
      <c r="E246" s="19">
        <v>7</v>
      </c>
      <c r="F246" s="10"/>
      <c r="G246" s="10">
        <f t="shared" si="8"/>
        <v>0</v>
      </c>
      <c r="H246" s="10"/>
      <c r="I246" s="10">
        <f t="shared" si="9"/>
        <v>0</v>
      </c>
      <c r="J246" s="10"/>
      <c r="K246" s="10">
        <f t="shared" si="10"/>
        <v>0</v>
      </c>
      <c r="L246" s="10">
        <f t="shared" si="11"/>
        <v>0</v>
      </c>
    </row>
    <row r="247" spans="1:14" x14ac:dyDescent="0.3">
      <c r="A247" s="2"/>
      <c r="B247" s="17" t="s">
        <v>570</v>
      </c>
      <c r="C247" s="18" t="s">
        <v>72</v>
      </c>
      <c r="D247" s="27"/>
      <c r="E247" s="19">
        <v>1</v>
      </c>
      <c r="F247" s="10"/>
      <c r="G247" s="10">
        <f t="shared" si="8"/>
        <v>0</v>
      </c>
      <c r="H247" s="10"/>
      <c r="I247" s="10">
        <f t="shared" si="9"/>
        <v>0</v>
      </c>
      <c r="J247" s="10"/>
      <c r="K247" s="10">
        <f t="shared" si="10"/>
        <v>0</v>
      </c>
      <c r="L247" s="10">
        <f t="shared" si="11"/>
        <v>0</v>
      </c>
    </row>
    <row r="248" spans="1:14" x14ac:dyDescent="0.3">
      <c r="A248" s="2"/>
      <c r="B248" s="17" t="s">
        <v>571</v>
      </c>
      <c r="C248" s="18" t="s">
        <v>72</v>
      </c>
      <c r="D248" s="27"/>
      <c r="E248" s="19">
        <v>3</v>
      </c>
      <c r="F248" s="10"/>
      <c r="G248" s="10">
        <f t="shared" si="8"/>
        <v>0</v>
      </c>
      <c r="H248" s="10"/>
      <c r="I248" s="10">
        <f t="shared" si="9"/>
        <v>0</v>
      </c>
      <c r="J248" s="10"/>
      <c r="K248" s="10">
        <f t="shared" si="10"/>
        <v>0</v>
      </c>
      <c r="L248" s="10">
        <f t="shared" si="11"/>
        <v>0</v>
      </c>
    </row>
    <row r="249" spans="1:14" x14ac:dyDescent="0.3">
      <c r="A249" s="2"/>
      <c r="B249" s="17" t="s">
        <v>589</v>
      </c>
      <c r="C249" s="18" t="s">
        <v>12</v>
      </c>
      <c r="D249" s="19"/>
      <c r="E249" s="19">
        <v>0.5</v>
      </c>
      <c r="F249" s="10"/>
      <c r="G249" s="10">
        <f t="shared" si="8"/>
        <v>0</v>
      </c>
      <c r="H249" s="10"/>
      <c r="I249" s="10">
        <f t="shared" si="9"/>
        <v>0</v>
      </c>
      <c r="J249" s="10"/>
      <c r="K249" s="10">
        <f t="shared" si="10"/>
        <v>0</v>
      </c>
      <c r="L249" s="10">
        <f t="shared" si="11"/>
        <v>0</v>
      </c>
    </row>
    <row r="250" spans="1:14" x14ac:dyDescent="0.3">
      <c r="A250" s="2"/>
      <c r="B250" s="17" t="s">
        <v>593</v>
      </c>
      <c r="C250" s="18" t="s">
        <v>72</v>
      </c>
      <c r="D250" s="19"/>
      <c r="E250" s="19">
        <v>1</v>
      </c>
      <c r="F250" s="10"/>
      <c r="G250" s="10">
        <f t="shared" si="8"/>
        <v>0</v>
      </c>
      <c r="H250" s="10"/>
      <c r="I250" s="10">
        <f t="shared" si="9"/>
        <v>0</v>
      </c>
      <c r="J250" s="10"/>
      <c r="K250" s="10">
        <f t="shared" si="10"/>
        <v>0</v>
      </c>
      <c r="L250" s="10">
        <f t="shared" si="11"/>
        <v>0</v>
      </c>
    </row>
    <row r="251" spans="1:14" x14ac:dyDescent="0.3">
      <c r="A251" s="2"/>
      <c r="B251" s="17" t="s">
        <v>594</v>
      </c>
      <c r="C251" s="18" t="s">
        <v>72</v>
      </c>
      <c r="D251" s="19"/>
      <c r="E251" s="19">
        <v>1</v>
      </c>
      <c r="F251" s="10"/>
      <c r="G251" s="10">
        <f t="shared" si="8"/>
        <v>0</v>
      </c>
      <c r="H251" s="10"/>
      <c r="I251" s="10">
        <f t="shared" si="9"/>
        <v>0</v>
      </c>
      <c r="J251" s="10"/>
      <c r="K251" s="10">
        <f t="shared" si="10"/>
        <v>0</v>
      </c>
      <c r="L251" s="10">
        <f t="shared" si="11"/>
        <v>0</v>
      </c>
    </row>
    <row r="252" spans="1:14" x14ac:dyDescent="0.3">
      <c r="A252" s="2"/>
      <c r="B252" s="17" t="s">
        <v>595</v>
      </c>
      <c r="C252" s="18" t="s">
        <v>12</v>
      </c>
      <c r="D252" s="19"/>
      <c r="E252" s="19">
        <v>0.5</v>
      </c>
      <c r="F252" s="10"/>
      <c r="G252" s="10">
        <f t="shared" si="8"/>
        <v>0</v>
      </c>
      <c r="H252" s="10"/>
      <c r="I252" s="10">
        <f t="shared" si="9"/>
        <v>0</v>
      </c>
      <c r="J252" s="10"/>
      <c r="K252" s="10">
        <f t="shared" si="10"/>
        <v>0</v>
      </c>
      <c r="L252" s="10">
        <f t="shared" si="11"/>
        <v>0</v>
      </c>
    </row>
    <row r="253" spans="1:14" x14ac:dyDescent="0.3">
      <c r="A253" s="2"/>
      <c r="B253" s="17" t="s">
        <v>603</v>
      </c>
      <c r="C253" s="18" t="s">
        <v>12</v>
      </c>
      <c r="D253" s="19"/>
      <c r="E253" s="19">
        <v>2</v>
      </c>
      <c r="F253" s="10"/>
      <c r="G253" s="10">
        <f t="shared" si="8"/>
        <v>0</v>
      </c>
      <c r="H253" s="10"/>
      <c r="I253" s="10">
        <f t="shared" si="9"/>
        <v>0</v>
      </c>
      <c r="J253" s="10"/>
      <c r="K253" s="10">
        <f t="shared" si="10"/>
        <v>0</v>
      </c>
      <c r="L253" s="10">
        <f t="shared" si="11"/>
        <v>0</v>
      </c>
    </row>
    <row r="254" spans="1:14" x14ac:dyDescent="0.3">
      <c r="A254" s="2">
        <v>18</v>
      </c>
      <c r="B254" s="14" t="s">
        <v>590</v>
      </c>
      <c r="C254" s="2" t="s">
        <v>72</v>
      </c>
      <c r="D254" s="15"/>
      <c r="E254" s="15">
        <v>1</v>
      </c>
      <c r="F254" s="10"/>
      <c r="G254" s="10">
        <f t="shared" si="8"/>
        <v>0</v>
      </c>
      <c r="H254" s="10"/>
      <c r="I254" s="10">
        <f t="shared" si="9"/>
        <v>0</v>
      </c>
      <c r="J254" s="10"/>
      <c r="K254" s="10">
        <f t="shared" si="10"/>
        <v>0</v>
      </c>
      <c r="L254" s="10">
        <f t="shared" si="11"/>
        <v>0</v>
      </c>
    </row>
    <row r="255" spans="1:14" ht="28.8" x14ac:dyDescent="0.3">
      <c r="A255" s="2"/>
      <c r="B255" s="17" t="s">
        <v>619</v>
      </c>
      <c r="C255" s="18" t="s">
        <v>72</v>
      </c>
      <c r="D255" s="19"/>
      <c r="E255" s="19">
        <v>1</v>
      </c>
      <c r="F255" s="10"/>
      <c r="G255" s="10">
        <f t="shared" si="8"/>
        <v>0</v>
      </c>
      <c r="H255" s="10"/>
      <c r="I255" s="10">
        <f t="shared" si="9"/>
        <v>0</v>
      </c>
      <c r="J255" s="10"/>
      <c r="K255" s="10">
        <f t="shared" si="10"/>
        <v>0</v>
      </c>
      <c r="L255" s="10">
        <f t="shared" si="11"/>
        <v>0</v>
      </c>
    </row>
    <row r="256" spans="1:14" x14ac:dyDescent="0.3">
      <c r="A256" s="2"/>
      <c r="B256" s="17" t="s">
        <v>585</v>
      </c>
      <c r="C256" s="18" t="s">
        <v>72</v>
      </c>
      <c r="D256" s="19"/>
      <c r="E256" s="19">
        <v>1</v>
      </c>
      <c r="F256" s="10"/>
      <c r="G256" s="10">
        <f t="shared" si="8"/>
        <v>0</v>
      </c>
      <c r="H256" s="10"/>
      <c r="I256" s="10">
        <f t="shared" si="9"/>
        <v>0</v>
      </c>
      <c r="J256" s="10"/>
      <c r="K256" s="10">
        <f t="shared" si="10"/>
        <v>0</v>
      </c>
      <c r="L256" s="10">
        <f t="shared" si="11"/>
        <v>0</v>
      </c>
    </row>
    <row r="257" spans="1:12" x14ac:dyDescent="0.3">
      <c r="A257" s="2"/>
      <c r="B257" s="17" t="s">
        <v>600</v>
      </c>
      <c r="C257" s="18" t="s">
        <v>72</v>
      </c>
      <c r="D257" s="19"/>
      <c r="E257" s="19">
        <v>2</v>
      </c>
      <c r="F257" s="10"/>
      <c r="G257" s="10">
        <f t="shared" si="8"/>
        <v>0</v>
      </c>
      <c r="H257" s="10"/>
      <c r="I257" s="10">
        <f t="shared" si="9"/>
        <v>0</v>
      </c>
      <c r="J257" s="10"/>
      <c r="K257" s="10">
        <f t="shared" si="10"/>
        <v>0</v>
      </c>
      <c r="L257" s="10">
        <f t="shared" si="11"/>
        <v>0</v>
      </c>
    </row>
    <row r="258" spans="1:12" x14ac:dyDescent="0.3">
      <c r="A258" s="2"/>
      <c r="B258" s="17" t="s">
        <v>601</v>
      </c>
      <c r="C258" s="18" t="s">
        <v>72</v>
      </c>
      <c r="D258" s="19"/>
      <c r="E258" s="19">
        <v>1</v>
      </c>
      <c r="F258" s="10"/>
      <c r="G258" s="10">
        <f t="shared" si="8"/>
        <v>0</v>
      </c>
      <c r="H258" s="10"/>
      <c r="I258" s="10">
        <f t="shared" si="9"/>
        <v>0</v>
      </c>
      <c r="J258" s="10"/>
      <c r="K258" s="10">
        <f t="shared" si="10"/>
        <v>0</v>
      </c>
      <c r="L258" s="10">
        <f t="shared" si="11"/>
        <v>0</v>
      </c>
    </row>
    <row r="259" spans="1:12" x14ac:dyDescent="0.3">
      <c r="A259" s="2">
        <v>19</v>
      </c>
      <c r="B259" s="14" t="s">
        <v>590</v>
      </c>
      <c r="C259" s="2" t="s">
        <v>72</v>
      </c>
      <c r="D259" s="15"/>
      <c r="E259" s="15">
        <v>1</v>
      </c>
      <c r="F259" s="10"/>
      <c r="G259" s="10">
        <f t="shared" si="8"/>
        <v>0</v>
      </c>
      <c r="H259" s="10"/>
      <c r="I259" s="10">
        <f t="shared" si="9"/>
        <v>0</v>
      </c>
      <c r="J259" s="10"/>
      <c r="K259" s="10">
        <f t="shared" si="10"/>
        <v>0</v>
      </c>
      <c r="L259" s="10">
        <f t="shared" si="11"/>
        <v>0</v>
      </c>
    </row>
    <row r="260" spans="1:12" x14ac:dyDescent="0.3">
      <c r="A260" s="2"/>
      <c r="B260" s="17" t="s">
        <v>628</v>
      </c>
      <c r="C260" s="18" t="s">
        <v>72</v>
      </c>
      <c r="D260" s="19"/>
      <c r="E260" s="19">
        <v>1</v>
      </c>
      <c r="F260" s="10"/>
      <c r="G260" s="10">
        <f t="shared" si="8"/>
        <v>0</v>
      </c>
      <c r="H260" s="10"/>
      <c r="I260" s="10">
        <f t="shared" si="9"/>
        <v>0</v>
      </c>
      <c r="J260" s="10"/>
      <c r="K260" s="10">
        <f t="shared" si="10"/>
        <v>0</v>
      </c>
      <c r="L260" s="10">
        <f t="shared" si="11"/>
        <v>0</v>
      </c>
    </row>
    <row r="261" spans="1:12" x14ac:dyDescent="0.3">
      <c r="A261" s="2"/>
      <c r="B261" s="17" t="s">
        <v>582</v>
      </c>
      <c r="C261" s="18" t="s">
        <v>72</v>
      </c>
      <c r="D261" s="19"/>
      <c r="E261" s="19">
        <v>2</v>
      </c>
      <c r="F261" s="10"/>
      <c r="G261" s="10">
        <f t="shared" si="8"/>
        <v>0</v>
      </c>
      <c r="H261" s="10"/>
      <c r="I261" s="10">
        <f t="shared" si="9"/>
        <v>0</v>
      </c>
      <c r="J261" s="10"/>
      <c r="K261" s="10">
        <f t="shared" si="10"/>
        <v>0</v>
      </c>
      <c r="L261" s="10">
        <f t="shared" si="11"/>
        <v>0</v>
      </c>
    </row>
    <row r="262" spans="1:12" x14ac:dyDescent="0.3">
      <c r="A262" s="2"/>
      <c r="B262" s="17" t="s">
        <v>600</v>
      </c>
      <c r="C262" s="18" t="s">
        <v>72</v>
      </c>
      <c r="D262" s="19"/>
      <c r="E262" s="19">
        <v>2</v>
      </c>
      <c r="F262" s="10"/>
      <c r="G262" s="10">
        <f t="shared" si="8"/>
        <v>0</v>
      </c>
      <c r="H262" s="10"/>
      <c r="I262" s="10">
        <f t="shared" si="9"/>
        <v>0</v>
      </c>
      <c r="J262" s="10"/>
      <c r="K262" s="10">
        <f t="shared" si="10"/>
        <v>0</v>
      </c>
      <c r="L262" s="10">
        <f t="shared" si="11"/>
        <v>0</v>
      </c>
    </row>
    <row r="263" spans="1:12" x14ac:dyDescent="0.3">
      <c r="A263" s="2"/>
      <c r="B263" s="17" t="s">
        <v>601</v>
      </c>
      <c r="C263" s="18" t="s">
        <v>72</v>
      </c>
      <c r="D263" s="27"/>
      <c r="E263" s="19">
        <v>1</v>
      </c>
      <c r="F263" s="10"/>
      <c r="G263" s="10">
        <f t="shared" si="8"/>
        <v>0</v>
      </c>
      <c r="H263" s="10"/>
      <c r="I263" s="10">
        <f t="shared" si="9"/>
        <v>0</v>
      </c>
      <c r="J263" s="10"/>
      <c r="K263" s="10">
        <f t="shared" si="10"/>
        <v>0</v>
      </c>
      <c r="L263" s="10">
        <f t="shared" si="11"/>
        <v>0</v>
      </c>
    </row>
    <row r="264" spans="1:12" x14ac:dyDescent="0.3">
      <c r="A264" s="2"/>
      <c r="B264" s="17" t="s">
        <v>570</v>
      </c>
      <c r="C264" s="18" t="s">
        <v>72</v>
      </c>
      <c r="D264" s="27"/>
      <c r="E264" s="19">
        <v>1</v>
      </c>
      <c r="F264" s="10"/>
      <c r="G264" s="10">
        <f t="shared" si="8"/>
        <v>0</v>
      </c>
      <c r="H264" s="10"/>
      <c r="I264" s="10">
        <f t="shared" si="9"/>
        <v>0</v>
      </c>
      <c r="J264" s="10"/>
      <c r="K264" s="10">
        <f t="shared" si="10"/>
        <v>0</v>
      </c>
      <c r="L264" s="10">
        <f t="shared" si="11"/>
        <v>0</v>
      </c>
    </row>
    <row r="265" spans="1:12" x14ac:dyDescent="0.3">
      <c r="A265" s="2"/>
      <c r="B265" s="17" t="s">
        <v>571</v>
      </c>
      <c r="C265" s="18" t="s">
        <v>72</v>
      </c>
      <c r="D265" s="19"/>
      <c r="E265" s="19">
        <v>3</v>
      </c>
      <c r="F265" s="10"/>
      <c r="G265" s="10">
        <f t="shared" ref="G265:G295" si="12">F265*E265</f>
        <v>0</v>
      </c>
      <c r="H265" s="10"/>
      <c r="I265" s="10">
        <f t="shared" ref="I265:I295" si="13">H265*E265</f>
        <v>0</v>
      </c>
      <c r="J265" s="10"/>
      <c r="K265" s="10">
        <f t="shared" ref="K265:K295" si="14">J265*E265</f>
        <v>0</v>
      </c>
      <c r="L265" s="10">
        <f t="shared" ref="L265:L295" si="15">K265+I265+G265</f>
        <v>0</v>
      </c>
    </row>
    <row r="266" spans="1:12" x14ac:dyDescent="0.3">
      <c r="A266" s="2"/>
      <c r="B266" s="17" t="s">
        <v>589</v>
      </c>
      <c r="C266" s="18" t="s">
        <v>12</v>
      </c>
      <c r="D266" s="19"/>
      <c r="E266" s="19">
        <v>0.5</v>
      </c>
      <c r="F266" s="10"/>
      <c r="G266" s="10">
        <f t="shared" si="12"/>
        <v>0</v>
      </c>
      <c r="H266" s="10"/>
      <c r="I266" s="10">
        <f t="shared" si="13"/>
        <v>0</v>
      </c>
      <c r="J266" s="10"/>
      <c r="K266" s="10">
        <f t="shared" si="14"/>
        <v>0</v>
      </c>
      <c r="L266" s="10">
        <f t="shared" si="15"/>
        <v>0</v>
      </c>
    </row>
    <row r="267" spans="1:12" x14ac:dyDescent="0.3">
      <c r="A267" s="2"/>
      <c r="B267" s="17" t="s">
        <v>607</v>
      </c>
      <c r="C267" s="18" t="s">
        <v>72</v>
      </c>
      <c r="D267" s="19"/>
      <c r="E267" s="19">
        <v>1</v>
      </c>
      <c r="F267" s="10"/>
      <c r="G267" s="10">
        <f t="shared" si="12"/>
        <v>0</v>
      </c>
      <c r="H267" s="10"/>
      <c r="I267" s="10">
        <f t="shared" si="13"/>
        <v>0</v>
      </c>
      <c r="J267" s="10"/>
      <c r="K267" s="10">
        <f t="shared" si="14"/>
        <v>0</v>
      </c>
      <c r="L267" s="10">
        <f t="shared" si="15"/>
        <v>0</v>
      </c>
    </row>
    <row r="268" spans="1:12" x14ac:dyDescent="0.3">
      <c r="A268" s="2"/>
      <c r="B268" s="17" t="s">
        <v>608</v>
      </c>
      <c r="C268" s="18" t="s">
        <v>72</v>
      </c>
      <c r="D268" s="19"/>
      <c r="E268" s="19">
        <v>1</v>
      </c>
      <c r="F268" s="10"/>
      <c r="G268" s="10">
        <f t="shared" si="12"/>
        <v>0</v>
      </c>
      <c r="H268" s="10"/>
      <c r="I268" s="10">
        <f t="shared" si="13"/>
        <v>0</v>
      </c>
      <c r="J268" s="10"/>
      <c r="K268" s="10">
        <f t="shared" si="14"/>
        <v>0</v>
      </c>
      <c r="L268" s="10">
        <f t="shared" si="15"/>
        <v>0</v>
      </c>
    </row>
    <row r="269" spans="1:12" x14ac:dyDescent="0.3">
      <c r="A269" s="2"/>
      <c r="B269" s="17" t="s">
        <v>595</v>
      </c>
      <c r="C269" s="18" t="s">
        <v>12</v>
      </c>
      <c r="D269" s="19"/>
      <c r="E269" s="19">
        <v>0.5</v>
      </c>
      <c r="F269" s="10"/>
      <c r="G269" s="10">
        <f t="shared" si="12"/>
        <v>0</v>
      </c>
      <c r="H269" s="10"/>
      <c r="I269" s="10">
        <f t="shared" si="13"/>
        <v>0</v>
      </c>
      <c r="J269" s="10"/>
      <c r="K269" s="10">
        <f t="shared" si="14"/>
        <v>0</v>
      </c>
      <c r="L269" s="10">
        <f t="shared" si="15"/>
        <v>0</v>
      </c>
    </row>
    <row r="270" spans="1:12" x14ac:dyDescent="0.3">
      <c r="A270" s="2"/>
      <c r="B270" s="17" t="s">
        <v>603</v>
      </c>
      <c r="C270" s="18" t="s">
        <v>12</v>
      </c>
      <c r="D270" s="27"/>
      <c r="E270" s="19">
        <v>2</v>
      </c>
      <c r="F270" s="10"/>
      <c r="G270" s="10">
        <f t="shared" si="12"/>
        <v>0</v>
      </c>
      <c r="H270" s="10"/>
      <c r="I270" s="10">
        <f t="shared" si="13"/>
        <v>0</v>
      </c>
      <c r="J270" s="10"/>
      <c r="K270" s="10">
        <f t="shared" si="14"/>
        <v>0</v>
      </c>
      <c r="L270" s="10">
        <f t="shared" si="15"/>
        <v>0</v>
      </c>
    </row>
    <row r="271" spans="1:12" x14ac:dyDescent="0.3">
      <c r="A271" s="2">
        <v>20</v>
      </c>
      <c r="B271" s="14" t="s">
        <v>629</v>
      </c>
      <c r="C271" s="2" t="s">
        <v>72</v>
      </c>
      <c r="D271" s="32"/>
      <c r="E271" s="15">
        <v>10</v>
      </c>
      <c r="F271" s="10"/>
      <c r="G271" s="10">
        <f t="shared" si="12"/>
        <v>0</v>
      </c>
      <c r="H271" s="10"/>
      <c r="I271" s="10">
        <f t="shared" si="13"/>
        <v>0</v>
      </c>
      <c r="J271" s="10"/>
      <c r="K271" s="10">
        <f t="shared" si="14"/>
        <v>0</v>
      </c>
      <c r="L271" s="10">
        <f t="shared" si="15"/>
        <v>0</v>
      </c>
    </row>
    <row r="272" spans="1:12" x14ac:dyDescent="0.3">
      <c r="A272" s="2"/>
      <c r="B272" s="17" t="s">
        <v>630</v>
      </c>
      <c r="C272" s="18" t="s">
        <v>72</v>
      </c>
      <c r="D272" s="27"/>
      <c r="E272" s="19">
        <v>10</v>
      </c>
      <c r="F272" s="10"/>
      <c r="G272" s="10">
        <f t="shared" si="12"/>
        <v>0</v>
      </c>
      <c r="H272" s="10"/>
      <c r="I272" s="10">
        <f t="shared" si="13"/>
        <v>0</v>
      </c>
      <c r="J272" s="10"/>
      <c r="K272" s="10">
        <f t="shared" si="14"/>
        <v>0</v>
      </c>
      <c r="L272" s="10">
        <f t="shared" si="15"/>
        <v>0</v>
      </c>
    </row>
    <row r="273" spans="1:12" x14ac:dyDescent="0.3">
      <c r="A273" s="2"/>
      <c r="B273" s="17" t="s">
        <v>631</v>
      </c>
      <c r="C273" s="18" t="s">
        <v>72</v>
      </c>
      <c r="D273" s="19"/>
      <c r="E273" s="19">
        <v>10</v>
      </c>
      <c r="F273" s="10"/>
      <c r="G273" s="10">
        <f t="shared" si="12"/>
        <v>0</v>
      </c>
      <c r="H273" s="10"/>
      <c r="I273" s="10">
        <f t="shared" si="13"/>
        <v>0</v>
      </c>
      <c r="J273" s="10"/>
      <c r="K273" s="10">
        <f t="shared" si="14"/>
        <v>0</v>
      </c>
      <c r="L273" s="10">
        <f t="shared" si="15"/>
        <v>0</v>
      </c>
    </row>
    <row r="274" spans="1:12" x14ac:dyDescent="0.3">
      <c r="A274" s="2"/>
      <c r="B274" s="17" t="s">
        <v>632</v>
      </c>
      <c r="C274" s="18" t="s">
        <v>72</v>
      </c>
      <c r="D274" s="19"/>
      <c r="E274" s="19">
        <v>10</v>
      </c>
      <c r="F274" s="10"/>
      <c r="G274" s="10">
        <f t="shared" si="12"/>
        <v>0</v>
      </c>
      <c r="H274" s="10"/>
      <c r="I274" s="10">
        <f t="shared" si="13"/>
        <v>0</v>
      </c>
      <c r="J274" s="10"/>
      <c r="K274" s="10">
        <f t="shared" si="14"/>
        <v>0</v>
      </c>
      <c r="L274" s="10">
        <f t="shared" si="15"/>
        <v>0</v>
      </c>
    </row>
    <row r="275" spans="1:12" x14ac:dyDescent="0.3">
      <c r="A275" s="2"/>
      <c r="B275" s="17" t="s">
        <v>633</v>
      </c>
      <c r="C275" s="18" t="s">
        <v>72</v>
      </c>
      <c r="D275" s="19"/>
      <c r="E275" s="19">
        <v>20</v>
      </c>
      <c r="F275" s="10"/>
      <c r="G275" s="10">
        <f t="shared" si="12"/>
        <v>0</v>
      </c>
      <c r="H275" s="10"/>
      <c r="I275" s="10">
        <f t="shared" si="13"/>
        <v>0</v>
      </c>
      <c r="J275" s="10"/>
      <c r="K275" s="10">
        <f t="shared" si="14"/>
        <v>0</v>
      </c>
      <c r="L275" s="10">
        <f t="shared" si="15"/>
        <v>0</v>
      </c>
    </row>
    <row r="276" spans="1:12" x14ac:dyDescent="0.3">
      <c r="A276" s="2"/>
      <c r="B276" s="17" t="s">
        <v>634</v>
      </c>
      <c r="C276" s="18" t="s">
        <v>72</v>
      </c>
      <c r="D276" s="19"/>
      <c r="E276" s="19">
        <v>210</v>
      </c>
      <c r="F276" s="10"/>
      <c r="G276" s="10">
        <f t="shared" si="12"/>
        <v>0</v>
      </c>
      <c r="H276" s="10"/>
      <c r="I276" s="10">
        <f t="shared" si="13"/>
        <v>0</v>
      </c>
      <c r="J276" s="10"/>
      <c r="K276" s="10">
        <f t="shared" si="14"/>
        <v>0</v>
      </c>
      <c r="L276" s="10">
        <f t="shared" si="15"/>
        <v>0</v>
      </c>
    </row>
    <row r="277" spans="1:12" x14ac:dyDescent="0.3">
      <c r="A277" s="2"/>
      <c r="B277" s="17" t="s">
        <v>595</v>
      </c>
      <c r="C277" s="18" t="s">
        <v>12</v>
      </c>
      <c r="D277" s="19"/>
      <c r="E277" s="19">
        <v>5</v>
      </c>
      <c r="F277" s="10"/>
      <c r="G277" s="10">
        <f t="shared" si="12"/>
        <v>0</v>
      </c>
      <c r="H277" s="10"/>
      <c r="I277" s="10">
        <f t="shared" si="13"/>
        <v>0</v>
      </c>
      <c r="J277" s="10"/>
      <c r="K277" s="10">
        <f t="shared" si="14"/>
        <v>0</v>
      </c>
      <c r="L277" s="10">
        <f t="shared" si="15"/>
        <v>0</v>
      </c>
    </row>
    <row r="278" spans="1:12" x14ac:dyDescent="0.3">
      <c r="A278" s="2"/>
      <c r="B278" s="17" t="s">
        <v>635</v>
      </c>
      <c r="C278" s="18" t="s">
        <v>12</v>
      </c>
      <c r="D278" s="19"/>
      <c r="E278" s="19">
        <v>10</v>
      </c>
      <c r="F278" s="10"/>
      <c r="G278" s="10">
        <f t="shared" si="12"/>
        <v>0</v>
      </c>
      <c r="H278" s="10"/>
      <c r="I278" s="10">
        <f t="shared" si="13"/>
        <v>0</v>
      </c>
      <c r="J278" s="10"/>
      <c r="K278" s="10">
        <f t="shared" si="14"/>
        <v>0</v>
      </c>
      <c r="L278" s="10">
        <f t="shared" si="15"/>
        <v>0</v>
      </c>
    </row>
    <row r="279" spans="1:12" x14ac:dyDescent="0.3">
      <c r="A279" s="11"/>
      <c r="B279" s="11" t="s">
        <v>636</v>
      </c>
      <c r="C279" s="4"/>
      <c r="D279" s="12"/>
      <c r="E279" s="12"/>
      <c r="F279" s="13"/>
      <c r="G279" s="13">
        <f t="shared" si="12"/>
        <v>0</v>
      </c>
      <c r="H279" s="13"/>
      <c r="I279" s="13">
        <f t="shared" si="13"/>
        <v>0</v>
      </c>
      <c r="J279" s="13"/>
      <c r="K279" s="13">
        <f t="shared" si="14"/>
        <v>0</v>
      </c>
      <c r="L279" s="13">
        <f t="shared" si="15"/>
        <v>0</v>
      </c>
    </row>
    <row r="280" spans="1:12" ht="28.8" x14ac:dyDescent="0.3">
      <c r="A280" s="2">
        <f>A271+1</f>
        <v>21</v>
      </c>
      <c r="B280" s="17" t="s">
        <v>637</v>
      </c>
      <c r="C280" s="18" t="s">
        <v>12</v>
      </c>
      <c r="D280" s="27"/>
      <c r="E280" s="19">
        <v>250</v>
      </c>
      <c r="F280" s="10"/>
      <c r="G280" s="10">
        <f t="shared" si="12"/>
        <v>0</v>
      </c>
      <c r="H280" s="10"/>
      <c r="I280" s="10">
        <f t="shared" si="13"/>
        <v>0</v>
      </c>
      <c r="J280" s="10"/>
      <c r="K280" s="10">
        <f t="shared" si="14"/>
        <v>0</v>
      </c>
      <c r="L280" s="10">
        <f t="shared" si="15"/>
        <v>0</v>
      </c>
    </row>
    <row r="281" spans="1:12" ht="28.8" x14ac:dyDescent="0.3">
      <c r="A281" s="2">
        <f t="shared" ref="A281:A292" si="16">A280+1</f>
        <v>22</v>
      </c>
      <c r="B281" s="17" t="s">
        <v>638</v>
      </c>
      <c r="C281" s="18" t="s">
        <v>12</v>
      </c>
      <c r="D281" s="19"/>
      <c r="E281" s="19">
        <v>2000</v>
      </c>
      <c r="F281" s="10"/>
      <c r="G281" s="10">
        <f t="shared" si="12"/>
        <v>0</v>
      </c>
      <c r="H281" s="10"/>
      <c r="I281" s="10">
        <f t="shared" si="13"/>
        <v>0</v>
      </c>
      <c r="J281" s="10"/>
      <c r="K281" s="10">
        <f t="shared" si="14"/>
        <v>0</v>
      </c>
      <c r="L281" s="10">
        <f t="shared" si="15"/>
        <v>0</v>
      </c>
    </row>
    <row r="282" spans="1:12" ht="28.8" x14ac:dyDescent="0.3">
      <c r="A282" s="2">
        <f t="shared" si="16"/>
        <v>23</v>
      </c>
      <c r="B282" s="17" t="s">
        <v>639</v>
      </c>
      <c r="C282" s="18" t="s">
        <v>12</v>
      </c>
      <c r="D282" s="19"/>
      <c r="E282" s="19">
        <v>800</v>
      </c>
      <c r="F282" s="10"/>
      <c r="G282" s="10">
        <f t="shared" si="12"/>
        <v>0</v>
      </c>
      <c r="H282" s="10"/>
      <c r="I282" s="10">
        <f t="shared" si="13"/>
        <v>0</v>
      </c>
      <c r="J282" s="10"/>
      <c r="K282" s="10">
        <f t="shared" si="14"/>
        <v>0</v>
      </c>
      <c r="L282" s="10">
        <f t="shared" si="15"/>
        <v>0</v>
      </c>
    </row>
    <row r="283" spans="1:12" ht="28.8" x14ac:dyDescent="0.3">
      <c r="A283" s="2">
        <f t="shared" si="16"/>
        <v>24</v>
      </c>
      <c r="B283" s="17" t="s">
        <v>640</v>
      </c>
      <c r="C283" s="18" t="s">
        <v>12</v>
      </c>
      <c r="D283" s="19"/>
      <c r="E283" s="19">
        <v>500</v>
      </c>
      <c r="F283" s="10"/>
      <c r="G283" s="10">
        <f t="shared" si="12"/>
        <v>0</v>
      </c>
      <c r="H283" s="10"/>
      <c r="I283" s="10">
        <f t="shared" si="13"/>
        <v>0</v>
      </c>
      <c r="J283" s="10"/>
      <c r="K283" s="10">
        <f t="shared" si="14"/>
        <v>0</v>
      </c>
      <c r="L283" s="10">
        <f t="shared" si="15"/>
        <v>0</v>
      </c>
    </row>
    <row r="284" spans="1:12" ht="28.8" x14ac:dyDescent="0.3">
      <c r="A284" s="2">
        <f t="shared" si="16"/>
        <v>25</v>
      </c>
      <c r="B284" s="17" t="s">
        <v>641</v>
      </c>
      <c r="C284" s="18" t="s">
        <v>12</v>
      </c>
      <c r="D284" s="19"/>
      <c r="E284" s="19">
        <v>100</v>
      </c>
      <c r="F284" s="10"/>
      <c r="G284" s="10">
        <f t="shared" si="12"/>
        <v>0</v>
      </c>
      <c r="H284" s="10"/>
      <c r="I284" s="10">
        <f t="shared" si="13"/>
        <v>0</v>
      </c>
      <c r="J284" s="10"/>
      <c r="K284" s="10">
        <f t="shared" si="14"/>
        <v>0</v>
      </c>
      <c r="L284" s="10">
        <f t="shared" si="15"/>
        <v>0</v>
      </c>
    </row>
    <row r="285" spans="1:12" ht="28.8" x14ac:dyDescent="0.3">
      <c r="A285" s="2">
        <f t="shared" si="16"/>
        <v>26</v>
      </c>
      <c r="B285" s="17" t="s">
        <v>642</v>
      </c>
      <c r="C285" s="18" t="s">
        <v>12</v>
      </c>
      <c r="D285" s="19"/>
      <c r="E285" s="19">
        <v>800</v>
      </c>
      <c r="F285" s="10"/>
      <c r="G285" s="10">
        <f t="shared" si="12"/>
        <v>0</v>
      </c>
      <c r="H285" s="10"/>
      <c r="I285" s="10">
        <f t="shared" si="13"/>
        <v>0</v>
      </c>
      <c r="J285" s="10"/>
      <c r="K285" s="10">
        <f t="shared" si="14"/>
        <v>0</v>
      </c>
      <c r="L285" s="10">
        <f t="shared" si="15"/>
        <v>0</v>
      </c>
    </row>
    <row r="286" spans="1:12" ht="28.8" x14ac:dyDescent="0.3">
      <c r="A286" s="2">
        <f t="shared" si="16"/>
        <v>27</v>
      </c>
      <c r="B286" s="17" t="s">
        <v>643</v>
      </c>
      <c r="C286" s="18" t="s">
        <v>12</v>
      </c>
      <c r="D286" s="19"/>
      <c r="E286" s="19">
        <v>100</v>
      </c>
      <c r="F286" s="10"/>
      <c r="G286" s="10">
        <f t="shared" si="12"/>
        <v>0</v>
      </c>
      <c r="H286" s="10"/>
      <c r="I286" s="10">
        <f t="shared" si="13"/>
        <v>0</v>
      </c>
      <c r="J286" s="10"/>
      <c r="K286" s="10">
        <f t="shared" si="14"/>
        <v>0</v>
      </c>
      <c r="L286" s="10">
        <f t="shared" si="15"/>
        <v>0</v>
      </c>
    </row>
    <row r="287" spans="1:12" ht="28.8" x14ac:dyDescent="0.3">
      <c r="A287" s="2">
        <f t="shared" si="16"/>
        <v>28</v>
      </c>
      <c r="B287" s="17" t="s">
        <v>644</v>
      </c>
      <c r="C287" s="18" t="s">
        <v>12</v>
      </c>
      <c r="D287" s="19"/>
      <c r="E287" s="19">
        <v>80</v>
      </c>
      <c r="F287" s="10"/>
      <c r="G287" s="10">
        <f t="shared" si="12"/>
        <v>0</v>
      </c>
      <c r="H287" s="10"/>
      <c r="I287" s="10">
        <f t="shared" si="13"/>
        <v>0</v>
      </c>
      <c r="J287" s="10"/>
      <c r="K287" s="10">
        <f t="shared" si="14"/>
        <v>0</v>
      </c>
      <c r="L287" s="10">
        <f t="shared" si="15"/>
        <v>0</v>
      </c>
    </row>
    <row r="288" spans="1:12" ht="28.8" x14ac:dyDescent="0.3">
      <c r="A288" s="2">
        <f t="shared" si="16"/>
        <v>29</v>
      </c>
      <c r="B288" s="17" t="s">
        <v>645</v>
      </c>
      <c r="C288" s="18" t="s">
        <v>12</v>
      </c>
      <c r="D288" s="19"/>
      <c r="E288" s="19">
        <v>50</v>
      </c>
      <c r="F288" s="10"/>
      <c r="G288" s="10">
        <f t="shared" si="12"/>
        <v>0</v>
      </c>
      <c r="H288" s="10"/>
      <c r="I288" s="10">
        <f t="shared" si="13"/>
        <v>0</v>
      </c>
      <c r="J288" s="10"/>
      <c r="K288" s="10">
        <f t="shared" si="14"/>
        <v>0</v>
      </c>
      <c r="L288" s="10">
        <f t="shared" si="15"/>
        <v>0</v>
      </c>
    </row>
    <row r="289" spans="1:12" ht="28.8" x14ac:dyDescent="0.3">
      <c r="A289" s="2">
        <f t="shared" si="16"/>
        <v>30</v>
      </c>
      <c r="B289" s="17" t="s">
        <v>646</v>
      </c>
      <c r="C289" s="18" t="s">
        <v>12</v>
      </c>
      <c r="D289" s="19"/>
      <c r="E289" s="19">
        <v>25</v>
      </c>
      <c r="F289" s="10"/>
      <c r="G289" s="10">
        <f t="shared" si="12"/>
        <v>0</v>
      </c>
      <c r="H289" s="10"/>
      <c r="I289" s="10">
        <f t="shared" si="13"/>
        <v>0</v>
      </c>
      <c r="J289" s="10"/>
      <c r="K289" s="10">
        <f t="shared" si="14"/>
        <v>0</v>
      </c>
      <c r="L289" s="10">
        <f t="shared" si="15"/>
        <v>0</v>
      </c>
    </row>
    <row r="290" spans="1:12" ht="28.8" x14ac:dyDescent="0.3">
      <c r="A290" s="2">
        <f t="shared" si="16"/>
        <v>31</v>
      </c>
      <c r="B290" s="17" t="s">
        <v>647</v>
      </c>
      <c r="C290" s="18" t="s">
        <v>12</v>
      </c>
      <c r="D290" s="19"/>
      <c r="E290" s="19">
        <v>800</v>
      </c>
      <c r="F290" s="10"/>
      <c r="G290" s="10">
        <f t="shared" si="12"/>
        <v>0</v>
      </c>
      <c r="H290" s="10"/>
      <c r="I290" s="10">
        <f t="shared" si="13"/>
        <v>0</v>
      </c>
      <c r="J290" s="10"/>
      <c r="K290" s="10">
        <f t="shared" si="14"/>
        <v>0</v>
      </c>
      <c r="L290" s="10">
        <f t="shared" si="15"/>
        <v>0</v>
      </c>
    </row>
    <row r="291" spans="1:12" ht="28.8" x14ac:dyDescent="0.3">
      <c r="A291" s="2">
        <f t="shared" si="16"/>
        <v>32</v>
      </c>
      <c r="B291" s="17" t="s">
        <v>648</v>
      </c>
      <c r="C291" s="18" t="s">
        <v>12</v>
      </c>
      <c r="D291" s="19"/>
      <c r="E291" s="19">
        <v>50</v>
      </c>
      <c r="F291" s="10"/>
      <c r="G291" s="10">
        <f t="shared" si="12"/>
        <v>0</v>
      </c>
      <c r="H291" s="10"/>
      <c r="I291" s="10">
        <f t="shared" si="13"/>
        <v>0</v>
      </c>
      <c r="J291" s="10"/>
      <c r="K291" s="10">
        <f t="shared" si="14"/>
        <v>0</v>
      </c>
      <c r="L291" s="10">
        <f t="shared" si="15"/>
        <v>0</v>
      </c>
    </row>
    <row r="292" spans="1:12" ht="28.8" x14ac:dyDescent="0.3">
      <c r="A292" s="2">
        <f t="shared" si="16"/>
        <v>33</v>
      </c>
      <c r="B292" s="17" t="s">
        <v>649</v>
      </c>
      <c r="C292" s="18" t="s">
        <v>12</v>
      </c>
      <c r="D292" s="19"/>
      <c r="E292" s="19">
        <v>300</v>
      </c>
      <c r="F292" s="10"/>
      <c r="G292" s="10">
        <f t="shared" si="12"/>
        <v>0</v>
      </c>
      <c r="H292" s="10"/>
      <c r="I292" s="10">
        <f t="shared" si="13"/>
        <v>0</v>
      </c>
      <c r="J292" s="10"/>
      <c r="K292" s="10">
        <f t="shared" si="14"/>
        <v>0</v>
      </c>
      <c r="L292" s="10">
        <f t="shared" si="15"/>
        <v>0</v>
      </c>
    </row>
    <row r="293" spans="1:12" x14ac:dyDescent="0.3">
      <c r="A293" s="11"/>
      <c r="B293" s="11" t="s">
        <v>650</v>
      </c>
      <c r="C293" s="4"/>
      <c r="D293" s="12"/>
      <c r="E293" s="12"/>
      <c r="F293" s="13"/>
      <c r="G293" s="13">
        <f t="shared" si="12"/>
        <v>0</v>
      </c>
      <c r="H293" s="13"/>
      <c r="I293" s="13">
        <f t="shared" si="13"/>
        <v>0</v>
      </c>
      <c r="J293" s="13"/>
      <c r="K293" s="13">
        <f t="shared" si="14"/>
        <v>0</v>
      </c>
      <c r="L293" s="13">
        <f t="shared" si="15"/>
        <v>0</v>
      </c>
    </row>
    <row r="294" spans="1:12" ht="28.8" x14ac:dyDescent="0.3">
      <c r="A294" s="2">
        <f>A292+1</f>
        <v>34</v>
      </c>
      <c r="B294" s="17" t="s">
        <v>651</v>
      </c>
      <c r="C294" s="18" t="s">
        <v>12</v>
      </c>
      <c r="D294" s="27"/>
      <c r="E294" s="19">
        <v>450</v>
      </c>
      <c r="F294" s="10"/>
      <c r="G294" s="10">
        <f t="shared" si="12"/>
        <v>0</v>
      </c>
      <c r="H294" s="10"/>
      <c r="I294" s="10">
        <f t="shared" si="13"/>
        <v>0</v>
      </c>
      <c r="J294" s="10"/>
      <c r="K294" s="10">
        <f t="shared" si="14"/>
        <v>0</v>
      </c>
      <c r="L294" s="10">
        <f t="shared" si="15"/>
        <v>0</v>
      </c>
    </row>
    <row r="295" spans="1:12" x14ac:dyDescent="0.3">
      <c r="A295" s="11"/>
      <c r="B295" s="11" t="s">
        <v>652</v>
      </c>
      <c r="C295" s="4"/>
      <c r="D295" s="12"/>
      <c r="E295" s="12"/>
      <c r="F295" s="13"/>
      <c r="G295" s="13">
        <f t="shared" si="12"/>
        <v>0</v>
      </c>
      <c r="H295" s="13"/>
      <c r="I295" s="13">
        <f t="shared" si="13"/>
        <v>0</v>
      </c>
      <c r="J295" s="13"/>
      <c r="K295" s="13">
        <f t="shared" si="14"/>
        <v>0</v>
      </c>
      <c r="L295" s="13">
        <f t="shared" si="15"/>
        <v>0</v>
      </c>
    </row>
    <row r="296" spans="1:12" x14ac:dyDescent="0.3">
      <c r="A296" s="2">
        <f>A294+1</f>
        <v>35</v>
      </c>
      <c r="B296" s="17" t="s">
        <v>653</v>
      </c>
      <c r="C296" s="18" t="s">
        <v>12</v>
      </c>
      <c r="D296" s="27"/>
      <c r="E296" s="19">
        <v>600</v>
      </c>
      <c r="F296" s="10"/>
      <c r="G296" s="10">
        <f t="shared" si="8"/>
        <v>0</v>
      </c>
      <c r="H296" s="10"/>
      <c r="I296" s="10">
        <f t="shared" si="9"/>
        <v>0</v>
      </c>
      <c r="J296" s="10"/>
      <c r="K296" s="10">
        <f t="shared" si="10"/>
        <v>0</v>
      </c>
      <c r="L296" s="10">
        <f t="shared" si="11"/>
        <v>0</v>
      </c>
    </row>
    <row r="297" spans="1:12" x14ac:dyDescent="0.3">
      <c r="A297" s="2">
        <f>A296+1</f>
        <v>36</v>
      </c>
      <c r="B297" s="17" t="s">
        <v>654</v>
      </c>
      <c r="C297" s="18" t="s">
        <v>12</v>
      </c>
      <c r="D297" s="19"/>
      <c r="E297" s="19">
        <v>150</v>
      </c>
      <c r="F297" s="10"/>
      <c r="G297" s="10">
        <f t="shared" si="8"/>
        <v>0</v>
      </c>
      <c r="H297" s="10"/>
      <c r="I297" s="10">
        <f t="shared" si="9"/>
        <v>0</v>
      </c>
      <c r="J297" s="10"/>
      <c r="K297" s="10">
        <f t="shared" si="10"/>
        <v>0</v>
      </c>
      <c r="L297" s="10">
        <f t="shared" si="11"/>
        <v>0</v>
      </c>
    </row>
    <row r="298" spans="1:12" x14ac:dyDescent="0.3">
      <c r="A298" s="2">
        <f>A297+1</f>
        <v>37</v>
      </c>
      <c r="B298" s="17" t="s">
        <v>655</v>
      </c>
      <c r="C298" s="18" t="s">
        <v>12</v>
      </c>
      <c r="D298" s="19"/>
      <c r="E298" s="19">
        <v>500</v>
      </c>
      <c r="F298" s="10"/>
      <c r="G298" s="10">
        <f t="shared" si="8"/>
        <v>0</v>
      </c>
      <c r="H298" s="10"/>
      <c r="I298" s="10">
        <f t="shared" si="9"/>
        <v>0</v>
      </c>
      <c r="J298" s="10"/>
      <c r="K298" s="10">
        <f t="shared" si="10"/>
        <v>0</v>
      </c>
      <c r="L298" s="10">
        <f t="shared" si="11"/>
        <v>0</v>
      </c>
    </row>
    <row r="299" spans="1:12" x14ac:dyDescent="0.3">
      <c r="A299" s="11"/>
      <c r="B299" s="11" t="s">
        <v>652</v>
      </c>
      <c r="C299" s="4"/>
      <c r="D299" s="12"/>
      <c r="E299" s="12"/>
      <c r="F299" s="13"/>
      <c r="G299" s="13">
        <f t="shared" si="8"/>
        <v>0</v>
      </c>
      <c r="H299" s="13"/>
      <c r="I299" s="13">
        <f t="shared" si="9"/>
        <v>0</v>
      </c>
      <c r="J299" s="13"/>
      <c r="K299" s="13">
        <f t="shared" si="10"/>
        <v>0</v>
      </c>
      <c r="L299" s="13">
        <f t="shared" si="11"/>
        <v>0</v>
      </c>
    </row>
    <row r="300" spans="1:12" x14ac:dyDescent="0.3">
      <c r="A300" s="2">
        <f>A298+1</f>
        <v>38</v>
      </c>
      <c r="B300" s="17" t="s">
        <v>656</v>
      </c>
      <c r="C300" s="18" t="s">
        <v>12</v>
      </c>
      <c r="D300" s="19"/>
      <c r="E300" s="19">
        <v>100</v>
      </c>
      <c r="F300" s="10"/>
      <c r="G300" s="10">
        <f t="shared" si="8"/>
        <v>0</v>
      </c>
      <c r="H300" s="10"/>
      <c r="I300" s="10">
        <f t="shared" si="9"/>
        <v>0</v>
      </c>
      <c r="J300" s="10"/>
      <c r="K300" s="10">
        <f t="shared" si="10"/>
        <v>0</v>
      </c>
      <c r="L300" s="10">
        <f t="shared" si="11"/>
        <v>0</v>
      </c>
    </row>
    <row r="301" spans="1:12" x14ac:dyDescent="0.3">
      <c r="A301" s="11"/>
      <c r="B301" s="11" t="s">
        <v>657</v>
      </c>
      <c r="C301" s="4"/>
      <c r="D301" s="12"/>
      <c r="E301" s="12"/>
      <c r="F301" s="13"/>
      <c r="G301" s="13">
        <f t="shared" si="8"/>
        <v>0</v>
      </c>
      <c r="H301" s="13"/>
      <c r="I301" s="13">
        <f t="shared" si="9"/>
        <v>0</v>
      </c>
      <c r="J301" s="13"/>
      <c r="K301" s="13">
        <f t="shared" si="10"/>
        <v>0</v>
      </c>
      <c r="L301" s="13">
        <f t="shared" si="11"/>
        <v>0</v>
      </c>
    </row>
    <row r="302" spans="1:12" x14ac:dyDescent="0.3">
      <c r="A302" s="2">
        <f>A300+1</f>
        <v>39</v>
      </c>
      <c r="B302" s="17" t="s">
        <v>658</v>
      </c>
      <c r="C302" s="18" t="s">
        <v>12</v>
      </c>
      <c r="D302" s="19"/>
      <c r="E302" s="19">
        <v>550</v>
      </c>
      <c r="F302" s="10"/>
      <c r="G302" s="10">
        <f t="shared" si="8"/>
        <v>0</v>
      </c>
      <c r="H302" s="10"/>
      <c r="I302" s="10">
        <f t="shared" si="9"/>
        <v>0</v>
      </c>
      <c r="J302" s="10"/>
      <c r="K302" s="10">
        <f t="shared" si="10"/>
        <v>0</v>
      </c>
      <c r="L302" s="10">
        <f t="shared" si="11"/>
        <v>0</v>
      </c>
    </row>
    <row r="303" spans="1:12" x14ac:dyDescent="0.3">
      <c r="A303" s="2">
        <f>A302+1</f>
        <v>40</v>
      </c>
      <c r="B303" s="17" t="s">
        <v>659</v>
      </c>
      <c r="C303" s="18" t="s">
        <v>12</v>
      </c>
      <c r="D303" s="19"/>
      <c r="E303" s="19">
        <v>50</v>
      </c>
      <c r="F303" s="10"/>
      <c r="G303" s="10">
        <f t="shared" si="8"/>
        <v>0</v>
      </c>
      <c r="H303" s="10"/>
      <c r="I303" s="10">
        <f t="shared" si="9"/>
        <v>0</v>
      </c>
      <c r="J303" s="10"/>
      <c r="K303" s="10">
        <f t="shared" si="10"/>
        <v>0</v>
      </c>
      <c r="L303" s="10">
        <f t="shared" si="11"/>
        <v>0</v>
      </c>
    </row>
    <row r="304" spans="1:12" x14ac:dyDescent="0.3">
      <c r="A304" s="2">
        <f>A303+1</f>
        <v>41</v>
      </c>
      <c r="B304" s="17" t="s">
        <v>660</v>
      </c>
      <c r="C304" s="18" t="s">
        <v>12</v>
      </c>
      <c r="D304" s="19"/>
      <c r="E304" s="19">
        <v>550</v>
      </c>
      <c r="F304" s="10"/>
      <c r="G304" s="10">
        <f t="shared" si="8"/>
        <v>0</v>
      </c>
      <c r="H304" s="10"/>
      <c r="I304" s="10">
        <f t="shared" si="9"/>
        <v>0</v>
      </c>
      <c r="J304" s="10"/>
      <c r="K304" s="10">
        <f t="shared" si="10"/>
        <v>0</v>
      </c>
      <c r="L304" s="10">
        <f t="shared" si="11"/>
        <v>0</v>
      </c>
    </row>
    <row r="305" spans="1:14" x14ac:dyDescent="0.3">
      <c r="A305" s="11"/>
      <c r="B305" s="11" t="s">
        <v>661</v>
      </c>
      <c r="C305" s="4"/>
      <c r="D305" s="12"/>
      <c r="E305" s="12"/>
      <c r="F305" s="13"/>
      <c r="G305" s="13">
        <f t="shared" si="8"/>
        <v>0</v>
      </c>
      <c r="H305" s="13"/>
      <c r="I305" s="13">
        <f t="shared" si="9"/>
        <v>0</v>
      </c>
      <c r="J305" s="13"/>
      <c r="K305" s="13">
        <f t="shared" si="10"/>
        <v>0</v>
      </c>
      <c r="L305" s="13">
        <f t="shared" si="11"/>
        <v>0</v>
      </c>
    </row>
    <row r="306" spans="1:14" ht="28.8" x14ac:dyDescent="0.3">
      <c r="A306" s="2">
        <f>A304+1</f>
        <v>42</v>
      </c>
      <c r="B306" s="17" t="s">
        <v>662</v>
      </c>
      <c r="C306" s="18" t="s">
        <v>72</v>
      </c>
      <c r="D306" s="19"/>
      <c r="E306" s="19">
        <v>62</v>
      </c>
      <c r="F306" s="10"/>
      <c r="G306" s="10">
        <f t="shared" si="8"/>
        <v>0</v>
      </c>
      <c r="H306" s="10"/>
      <c r="I306" s="10">
        <f t="shared" si="9"/>
        <v>0</v>
      </c>
      <c r="J306" s="10"/>
      <c r="K306" s="10">
        <f t="shared" si="10"/>
        <v>0</v>
      </c>
      <c r="L306" s="10">
        <f t="shared" si="11"/>
        <v>0</v>
      </c>
    </row>
    <row r="307" spans="1:14" ht="28.8" x14ac:dyDescent="0.3">
      <c r="A307" s="2">
        <f>A306+1</f>
        <v>43</v>
      </c>
      <c r="B307" s="17" t="s">
        <v>663</v>
      </c>
      <c r="C307" s="18" t="s">
        <v>72</v>
      </c>
      <c r="D307" s="19"/>
      <c r="E307" s="19">
        <v>26</v>
      </c>
      <c r="F307" s="10"/>
      <c r="G307" s="10">
        <f t="shared" si="8"/>
        <v>0</v>
      </c>
      <c r="H307" s="10"/>
      <c r="I307" s="10">
        <f t="shared" si="9"/>
        <v>0</v>
      </c>
      <c r="J307" s="10"/>
      <c r="K307" s="10">
        <f t="shared" si="10"/>
        <v>0</v>
      </c>
      <c r="L307" s="10">
        <f t="shared" si="11"/>
        <v>0</v>
      </c>
    </row>
    <row r="308" spans="1:14" x14ac:dyDescent="0.3">
      <c r="A308" s="2">
        <f>A307+1</f>
        <v>44</v>
      </c>
      <c r="B308" s="17" t="s">
        <v>664</v>
      </c>
      <c r="C308" s="18" t="s">
        <v>72</v>
      </c>
      <c r="D308" s="19"/>
      <c r="E308" s="19">
        <v>47</v>
      </c>
      <c r="F308" s="10"/>
      <c r="G308" s="10">
        <f t="shared" si="8"/>
        <v>0</v>
      </c>
      <c r="H308" s="10"/>
      <c r="I308" s="10">
        <f t="shared" si="9"/>
        <v>0</v>
      </c>
      <c r="J308" s="10"/>
      <c r="K308" s="10">
        <f t="shared" si="10"/>
        <v>0</v>
      </c>
      <c r="L308" s="10">
        <f t="shared" si="11"/>
        <v>0</v>
      </c>
    </row>
    <row r="309" spans="1:14" x14ac:dyDescent="0.3">
      <c r="A309" s="2">
        <f>A308+1</f>
        <v>45</v>
      </c>
      <c r="B309" s="17" t="s">
        <v>665</v>
      </c>
      <c r="C309" s="18" t="s">
        <v>72</v>
      </c>
      <c r="D309" s="19"/>
      <c r="E309" s="19">
        <v>5</v>
      </c>
      <c r="F309" s="10"/>
      <c r="G309" s="10">
        <f t="shared" si="8"/>
        <v>0</v>
      </c>
      <c r="H309" s="10"/>
      <c r="I309" s="10">
        <f t="shared" si="9"/>
        <v>0</v>
      </c>
      <c r="J309" s="10"/>
      <c r="K309" s="10">
        <f t="shared" si="10"/>
        <v>0</v>
      </c>
      <c r="L309" s="10">
        <f t="shared" si="11"/>
        <v>0</v>
      </c>
    </row>
    <row r="310" spans="1:14" x14ac:dyDescent="0.3">
      <c r="A310" s="11"/>
      <c r="B310" s="11" t="s">
        <v>666</v>
      </c>
      <c r="C310" s="4"/>
      <c r="D310" s="12"/>
      <c r="E310" s="12"/>
      <c r="F310" s="13"/>
      <c r="G310" s="13">
        <f t="shared" si="8"/>
        <v>0</v>
      </c>
      <c r="H310" s="13"/>
      <c r="I310" s="13">
        <f t="shared" si="9"/>
        <v>0</v>
      </c>
      <c r="J310" s="13"/>
      <c r="K310" s="13">
        <f t="shared" si="10"/>
        <v>0</v>
      </c>
      <c r="L310" s="13">
        <f t="shared" si="11"/>
        <v>0</v>
      </c>
    </row>
    <row r="311" spans="1:14" x14ac:dyDescent="0.3">
      <c r="A311" s="2">
        <f>A309+1</f>
        <v>46</v>
      </c>
      <c r="B311" s="17" t="s">
        <v>667</v>
      </c>
      <c r="C311" s="18" t="s">
        <v>72</v>
      </c>
      <c r="D311" s="19"/>
      <c r="E311" s="19">
        <v>15</v>
      </c>
      <c r="F311" s="10"/>
      <c r="G311" s="10">
        <f t="shared" si="8"/>
        <v>0</v>
      </c>
      <c r="H311" s="10"/>
      <c r="I311" s="10">
        <f t="shared" si="9"/>
        <v>0</v>
      </c>
      <c r="J311" s="10"/>
      <c r="K311" s="10">
        <f t="shared" si="10"/>
        <v>0</v>
      </c>
      <c r="L311" s="10">
        <f t="shared" si="11"/>
        <v>0</v>
      </c>
    </row>
    <row r="312" spans="1:14" x14ac:dyDescent="0.3">
      <c r="A312" s="2">
        <f t="shared" ref="A312:A323" si="17">A311+1</f>
        <v>47</v>
      </c>
      <c r="B312" s="17" t="s">
        <v>668</v>
      </c>
      <c r="C312" s="18" t="s">
        <v>72</v>
      </c>
      <c r="D312" s="19"/>
      <c r="E312" s="19">
        <v>15</v>
      </c>
      <c r="F312" s="10"/>
      <c r="G312" s="10">
        <f t="shared" si="8"/>
        <v>0</v>
      </c>
      <c r="H312" s="10"/>
      <c r="I312" s="10">
        <f t="shared" si="9"/>
        <v>0</v>
      </c>
      <c r="J312" s="10"/>
      <c r="K312" s="10">
        <f t="shared" si="10"/>
        <v>0</v>
      </c>
      <c r="L312" s="10">
        <f t="shared" si="11"/>
        <v>0</v>
      </c>
    </row>
    <row r="313" spans="1:14" x14ac:dyDescent="0.3">
      <c r="A313" s="2">
        <f t="shared" si="17"/>
        <v>48</v>
      </c>
      <c r="B313" s="17" t="s">
        <v>669</v>
      </c>
      <c r="C313" s="18" t="s">
        <v>72</v>
      </c>
      <c r="D313" s="19"/>
      <c r="E313" s="19">
        <v>15</v>
      </c>
      <c r="F313" s="10"/>
      <c r="G313" s="10">
        <f t="shared" si="8"/>
        <v>0</v>
      </c>
      <c r="H313" s="10"/>
      <c r="I313" s="10">
        <f t="shared" si="9"/>
        <v>0</v>
      </c>
      <c r="J313" s="10"/>
      <c r="K313" s="10">
        <f t="shared" si="10"/>
        <v>0</v>
      </c>
      <c r="L313" s="10">
        <f t="shared" si="11"/>
        <v>0</v>
      </c>
    </row>
    <row r="314" spans="1:14" x14ac:dyDescent="0.3">
      <c r="A314" s="2">
        <f t="shared" si="17"/>
        <v>49</v>
      </c>
      <c r="B314" s="17" t="s">
        <v>670</v>
      </c>
      <c r="C314" s="18" t="s">
        <v>72</v>
      </c>
      <c r="D314" s="19"/>
      <c r="E314" s="19">
        <v>15</v>
      </c>
      <c r="F314" s="10"/>
      <c r="G314" s="10">
        <f t="shared" si="8"/>
        <v>0</v>
      </c>
      <c r="H314" s="10"/>
      <c r="I314" s="10">
        <f t="shared" si="9"/>
        <v>0</v>
      </c>
      <c r="J314" s="10"/>
      <c r="K314" s="10">
        <f t="shared" si="10"/>
        <v>0</v>
      </c>
      <c r="L314" s="10">
        <f t="shared" si="11"/>
        <v>0</v>
      </c>
    </row>
    <row r="315" spans="1:14" x14ac:dyDescent="0.3">
      <c r="A315" s="2">
        <f t="shared" si="17"/>
        <v>50</v>
      </c>
      <c r="B315" s="17" t="s">
        <v>671</v>
      </c>
      <c r="C315" s="18" t="s">
        <v>72</v>
      </c>
      <c r="D315" s="19"/>
      <c r="E315" s="19">
        <v>4</v>
      </c>
      <c r="F315" s="10"/>
      <c r="G315" s="10">
        <f t="shared" si="8"/>
        <v>0</v>
      </c>
      <c r="H315" s="10"/>
      <c r="I315" s="10">
        <f t="shared" si="9"/>
        <v>0</v>
      </c>
      <c r="J315" s="10"/>
      <c r="K315" s="10">
        <f t="shared" si="10"/>
        <v>0</v>
      </c>
      <c r="L315" s="10">
        <f t="shared" si="11"/>
        <v>0</v>
      </c>
    </row>
    <row r="316" spans="1:14" ht="28.8" x14ac:dyDescent="0.3">
      <c r="A316" s="2">
        <f t="shared" si="17"/>
        <v>51</v>
      </c>
      <c r="B316" s="17" t="s">
        <v>672</v>
      </c>
      <c r="C316" s="18" t="s">
        <v>72</v>
      </c>
      <c r="D316" s="19"/>
      <c r="E316" s="19">
        <v>176</v>
      </c>
      <c r="F316" s="10"/>
      <c r="G316" s="10">
        <f t="shared" si="8"/>
        <v>0</v>
      </c>
      <c r="H316" s="10"/>
      <c r="I316" s="10">
        <f t="shared" si="9"/>
        <v>0</v>
      </c>
      <c r="J316" s="10"/>
      <c r="K316" s="10">
        <f t="shared" si="10"/>
        <v>0</v>
      </c>
      <c r="L316" s="10">
        <f t="shared" si="11"/>
        <v>0</v>
      </c>
    </row>
    <row r="317" spans="1:14" ht="28.8" x14ac:dyDescent="0.3">
      <c r="A317" s="2">
        <f t="shared" si="17"/>
        <v>52</v>
      </c>
      <c r="B317" s="17" t="s">
        <v>673</v>
      </c>
      <c r="C317" s="18" t="s">
        <v>72</v>
      </c>
      <c r="D317" s="19"/>
      <c r="E317" s="19">
        <v>37</v>
      </c>
      <c r="F317" s="10"/>
      <c r="G317" s="10">
        <f t="shared" si="8"/>
        <v>0</v>
      </c>
      <c r="H317" s="10"/>
      <c r="I317" s="10">
        <f t="shared" si="9"/>
        <v>0</v>
      </c>
      <c r="J317" s="10"/>
      <c r="K317" s="10">
        <f t="shared" si="10"/>
        <v>0</v>
      </c>
      <c r="L317" s="10">
        <f t="shared" si="11"/>
        <v>0</v>
      </c>
    </row>
    <row r="318" spans="1:14" ht="28.8" x14ac:dyDescent="0.3">
      <c r="A318" s="2">
        <f t="shared" si="17"/>
        <v>53</v>
      </c>
      <c r="B318" s="17" t="s">
        <v>674</v>
      </c>
      <c r="C318" s="18" t="s">
        <v>72</v>
      </c>
      <c r="D318" s="27"/>
      <c r="E318" s="19">
        <v>9</v>
      </c>
      <c r="F318" s="10"/>
      <c r="G318" s="10">
        <f t="shared" si="8"/>
        <v>0</v>
      </c>
      <c r="H318" s="10"/>
      <c r="I318" s="10">
        <f t="shared" si="9"/>
        <v>0</v>
      </c>
      <c r="J318" s="10"/>
      <c r="K318" s="10">
        <f t="shared" si="10"/>
        <v>0</v>
      </c>
      <c r="L318" s="10">
        <f t="shared" si="11"/>
        <v>0</v>
      </c>
    </row>
    <row r="319" spans="1:14" x14ac:dyDescent="0.3">
      <c r="A319" s="2">
        <f t="shared" si="17"/>
        <v>54</v>
      </c>
      <c r="B319" s="17" t="s">
        <v>675</v>
      </c>
      <c r="C319" s="18" t="s">
        <v>72</v>
      </c>
      <c r="D319" s="19"/>
      <c r="E319" s="19">
        <v>57</v>
      </c>
      <c r="F319" s="10"/>
      <c r="G319" s="10">
        <f t="shared" si="8"/>
        <v>0</v>
      </c>
      <c r="H319" s="10"/>
      <c r="I319" s="10">
        <f t="shared" si="9"/>
        <v>0</v>
      </c>
      <c r="J319" s="10"/>
      <c r="K319" s="10">
        <f t="shared" si="10"/>
        <v>0</v>
      </c>
      <c r="L319" s="10">
        <f t="shared" si="11"/>
        <v>0</v>
      </c>
      <c r="N319" s="9"/>
    </row>
    <row r="320" spans="1:14" x14ac:dyDescent="0.3">
      <c r="A320" s="2">
        <f t="shared" si="17"/>
        <v>55</v>
      </c>
      <c r="B320" s="17" t="s">
        <v>676</v>
      </c>
      <c r="C320" s="18" t="s">
        <v>72</v>
      </c>
      <c r="D320" s="27"/>
      <c r="E320" s="19">
        <v>16</v>
      </c>
      <c r="F320" s="10"/>
      <c r="G320" s="10">
        <f t="shared" si="8"/>
        <v>0</v>
      </c>
      <c r="H320" s="10"/>
      <c r="I320" s="10">
        <f t="shared" si="9"/>
        <v>0</v>
      </c>
      <c r="J320" s="10"/>
      <c r="K320" s="10">
        <f t="shared" si="10"/>
        <v>0</v>
      </c>
      <c r="L320" s="10">
        <f t="shared" si="11"/>
        <v>0</v>
      </c>
    </row>
    <row r="321" spans="1:12" ht="28.8" x14ac:dyDescent="0.3">
      <c r="A321" s="2">
        <f t="shared" si="17"/>
        <v>56</v>
      </c>
      <c r="B321" s="17" t="s">
        <v>677</v>
      </c>
      <c r="C321" s="18" t="s">
        <v>72</v>
      </c>
      <c r="D321" s="27"/>
      <c r="E321" s="19">
        <v>12</v>
      </c>
      <c r="F321" s="10"/>
      <c r="G321" s="10">
        <f t="shared" si="8"/>
        <v>0</v>
      </c>
      <c r="H321" s="10"/>
      <c r="I321" s="10">
        <f t="shared" si="9"/>
        <v>0</v>
      </c>
      <c r="J321" s="10"/>
      <c r="K321" s="10">
        <f t="shared" si="10"/>
        <v>0</v>
      </c>
      <c r="L321" s="10">
        <f t="shared" si="11"/>
        <v>0</v>
      </c>
    </row>
    <row r="322" spans="1:12" x14ac:dyDescent="0.3">
      <c r="A322" s="2">
        <f t="shared" si="17"/>
        <v>57</v>
      </c>
      <c r="B322" s="17" t="s">
        <v>678</v>
      </c>
      <c r="C322" s="18" t="s">
        <v>72</v>
      </c>
      <c r="D322" s="27"/>
      <c r="E322" s="19">
        <v>8</v>
      </c>
      <c r="F322" s="10"/>
      <c r="G322" s="10">
        <f t="shared" si="8"/>
        <v>0</v>
      </c>
      <c r="H322" s="10"/>
      <c r="I322" s="10">
        <f t="shared" si="9"/>
        <v>0</v>
      </c>
      <c r="J322" s="10"/>
      <c r="K322" s="10">
        <f t="shared" si="10"/>
        <v>0</v>
      </c>
      <c r="L322" s="10">
        <f t="shared" si="11"/>
        <v>0</v>
      </c>
    </row>
    <row r="323" spans="1:12" x14ac:dyDescent="0.3">
      <c r="A323" s="2">
        <f t="shared" si="17"/>
        <v>58</v>
      </c>
      <c r="B323" s="17" t="s">
        <v>679</v>
      </c>
      <c r="C323" s="18" t="s">
        <v>72</v>
      </c>
      <c r="D323" s="19"/>
      <c r="E323" s="19">
        <v>14</v>
      </c>
      <c r="F323" s="10"/>
      <c r="G323" s="10">
        <f t="shared" si="8"/>
        <v>0</v>
      </c>
      <c r="H323" s="10"/>
      <c r="I323" s="10">
        <f t="shared" si="9"/>
        <v>0</v>
      </c>
      <c r="J323" s="10"/>
      <c r="K323" s="10">
        <f t="shared" si="10"/>
        <v>0</v>
      </c>
      <c r="L323" s="10">
        <f t="shared" si="11"/>
        <v>0</v>
      </c>
    </row>
    <row r="324" spans="1:12" x14ac:dyDescent="0.3">
      <c r="A324" s="11"/>
      <c r="B324" s="11" t="s">
        <v>680</v>
      </c>
      <c r="C324" s="4"/>
      <c r="D324" s="12"/>
      <c r="E324" s="12"/>
      <c r="F324" s="13"/>
      <c r="G324" s="13">
        <f t="shared" si="8"/>
        <v>0</v>
      </c>
      <c r="H324" s="13"/>
      <c r="I324" s="13">
        <f t="shared" si="9"/>
        <v>0</v>
      </c>
      <c r="J324" s="13"/>
      <c r="K324" s="13">
        <f t="shared" si="10"/>
        <v>0</v>
      </c>
      <c r="L324" s="13">
        <f t="shared" si="11"/>
        <v>0</v>
      </c>
    </row>
    <row r="325" spans="1:12" x14ac:dyDescent="0.3">
      <c r="A325" s="2">
        <f>A323+1</f>
        <v>59</v>
      </c>
      <c r="B325" s="17" t="s">
        <v>681</v>
      </c>
      <c r="C325" s="18" t="s">
        <v>72</v>
      </c>
      <c r="D325" s="19"/>
      <c r="E325" s="19">
        <v>1</v>
      </c>
      <c r="F325" s="10"/>
      <c r="G325" s="10">
        <f t="shared" si="8"/>
        <v>0</v>
      </c>
      <c r="H325" s="10"/>
      <c r="I325" s="10">
        <f t="shared" si="9"/>
        <v>0</v>
      </c>
      <c r="J325" s="10"/>
      <c r="K325" s="10">
        <f t="shared" si="10"/>
        <v>0</v>
      </c>
      <c r="L325" s="10">
        <f t="shared" si="11"/>
        <v>0</v>
      </c>
    </row>
    <row r="326" spans="1:12" x14ac:dyDescent="0.3">
      <c r="A326" s="11"/>
      <c r="B326" s="11" t="s">
        <v>214</v>
      </c>
      <c r="C326" s="4"/>
      <c r="D326" s="12"/>
      <c r="E326" s="12"/>
      <c r="F326" s="13"/>
      <c r="G326" s="13">
        <f t="shared" si="0"/>
        <v>0</v>
      </c>
      <c r="H326" s="13"/>
      <c r="I326" s="13">
        <f t="shared" si="1"/>
        <v>0</v>
      </c>
      <c r="J326" s="13"/>
      <c r="K326" s="13">
        <f t="shared" si="2"/>
        <v>0</v>
      </c>
      <c r="L326" s="13">
        <f t="shared" si="3"/>
        <v>0</v>
      </c>
    </row>
    <row r="327" spans="1:12" x14ac:dyDescent="0.3">
      <c r="A327" s="2">
        <f>A325+1</f>
        <v>60</v>
      </c>
      <c r="B327" s="17" t="s">
        <v>215</v>
      </c>
      <c r="C327" s="18" t="s">
        <v>216</v>
      </c>
      <c r="D327" s="19"/>
      <c r="E327" s="19">
        <v>120</v>
      </c>
      <c r="F327" s="10"/>
      <c r="G327" s="10">
        <f t="shared" si="0"/>
        <v>0</v>
      </c>
      <c r="H327" s="10"/>
      <c r="I327" s="10">
        <f t="shared" si="1"/>
        <v>0</v>
      </c>
      <c r="J327" s="10"/>
      <c r="K327" s="10">
        <f t="shared" si="2"/>
        <v>0</v>
      </c>
      <c r="L327" s="10">
        <f t="shared" si="3"/>
        <v>0</v>
      </c>
    </row>
    <row r="328" spans="1:12" x14ac:dyDescent="0.3">
      <c r="A328" s="2">
        <f>A327+1</f>
        <v>61</v>
      </c>
      <c r="B328" s="17" t="s">
        <v>1084</v>
      </c>
      <c r="C328" s="18" t="s">
        <v>25</v>
      </c>
      <c r="D328" s="19"/>
      <c r="E328" s="19">
        <v>1</v>
      </c>
      <c r="F328" s="10"/>
      <c r="G328" s="10">
        <f t="shared" si="0"/>
        <v>0</v>
      </c>
      <c r="H328" s="10"/>
      <c r="I328" s="10">
        <f t="shared" si="1"/>
        <v>0</v>
      </c>
      <c r="J328" s="10"/>
      <c r="K328" s="10">
        <f t="shared" si="2"/>
        <v>0</v>
      </c>
      <c r="L328" s="10">
        <f t="shared" si="3"/>
        <v>0</v>
      </c>
    </row>
    <row r="329" spans="1:12" x14ac:dyDescent="0.3">
      <c r="A329" s="3"/>
      <c r="B329" s="3" t="s">
        <v>7</v>
      </c>
      <c r="C329" s="3"/>
      <c r="D329" s="24"/>
      <c r="E329" s="24"/>
      <c r="F329" s="25"/>
      <c r="G329" s="25">
        <f>SUM(G10:G328)</f>
        <v>0</v>
      </c>
      <c r="H329" s="25"/>
      <c r="I329" s="25">
        <f>SUM(I10:I328)</f>
        <v>0</v>
      </c>
      <c r="J329" s="25"/>
      <c r="K329" s="25">
        <f>SUM(K10:K328)</f>
        <v>0</v>
      </c>
      <c r="L329" s="25">
        <f>SUM(L10:L328)</f>
        <v>0</v>
      </c>
    </row>
    <row r="330" spans="1:12" x14ac:dyDescent="0.3">
      <c r="A330" s="2"/>
      <c r="B330" s="5" t="s">
        <v>226</v>
      </c>
      <c r="C330" s="1"/>
      <c r="D330" s="8"/>
      <c r="E330" s="26">
        <v>0.03</v>
      </c>
      <c r="F330" s="10"/>
      <c r="G330" s="10"/>
      <c r="H330" s="10"/>
      <c r="I330" s="10"/>
      <c r="J330" s="10"/>
      <c r="K330" s="10"/>
      <c r="L330" s="10">
        <f>G329*E330</f>
        <v>0</v>
      </c>
    </row>
    <row r="331" spans="1:12" x14ac:dyDescent="0.3">
      <c r="A331" s="2"/>
      <c r="B331" s="2" t="s">
        <v>7</v>
      </c>
      <c r="C331" s="1"/>
      <c r="D331" s="8"/>
      <c r="E331" s="26"/>
      <c r="F331" s="10"/>
      <c r="G331" s="10"/>
      <c r="H331" s="10"/>
      <c r="I331" s="10"/>
      <c r="J331" s="10"/>
      <c r="K331" s="10"/>
      <c r="L331" s="10">
        <f>L330+L329</f>
        <v>0</v>
      </c>
    </row>
    <row r="332" spans="1:12" x14ac:dyDescent="0.3">
      <c r="A332" s="2"/>
      <c r="B332" s="5" t="s">
        <v>227</v>
      </c>
      <c r="C332" s="1"/>
      <c r="D332" s="8"/>
      <c r="E332" s="26">
        <v>0.1</v>
      </c>
      <c r="F332" s="10"/>
      <c r="G332" s="10"/>
      <c r="H332" s="10"/>
      <c r="I332" s="10"/>
      <c r="J332" s="10"/>
      <c r="K332" s="10"/>
      <c r="L332" s="10">
        <f>L331*E332</f>
        <v>0</v>
      </c>
    </row>
    <row r="333" spans="1:12" x14ac:dyDescent="0.3">
      <c r="A333" s="2"/>
      <c r="B333" s="2" t="s">
        <v>7</v>
      </c>
      <c r="C333" s="1"/>
      <c r="D333" s="8"/>
      <c r="E333" s="26"/>
      <c r="F333" s="10"/>
      <c r="G333" s="10"/>
      <c r="H333" s="10"/>
      <c r="I333" s="10"/>
      <c r="J333" s="10"/>
      <c r="K333" s="10"/>
      <c r="L333" s="10">
        <f>L332+L331</f>
        <v>0</v>
      </c>
    </row>
    <row r="334" spans="1:12" x14ac:dyDescent="0.3">
      <c r="A334" s="2"/>
      <c r="B334" s="5" t="s">
        <v>228</v>
      </c>
      <c r="C334" s="1"/>
      <c r="D334" s="8"/>
      <c r="E334" s="26">
        <v>0.01</v>
      </c>
      <c r="F334" s="10"/>
      <c r="G334" s="10"/>
      <c r="H334" s="10"/>
      <c r="I334" s="10"/>
      <c r="J334" s="10"/>
      <c r="K334" s="10"/>
      <c r="L334" s="10">
        <f>L333*E334</f>
        <v>0</v>
      </c>
    </row>
    <row r="335" spans="1:12" x14ac:dyDescent="0.3">
      <c r="A335" s="2"/>
      <c r="B335" s="2" t="s">
        <v>7</v>
      </c>
      <c r="C335" s="1"/>
      <c r="D335" s="8"/>
      <c r="E335" s="26"/>
      <c r="F335" s="10"/>
      <c r="G335" s="10"/>
      <c r="H335" s="10"/>
      <c r="I335" s="10"/>
      <c r="J335" s="10"/>
      <c r="K335" s="10"/>
      <c r="L335" s="10">
        <f>L334+L333</f>
        <v>0</v>
      </c>
    </row>
    <row r="336" spans="1:12" x14ac:dyDescent="0.3">
      <c r="A336" s="2"/>
      <c r="B336" s="5" t="s">
        <v>229</v>
      </c>
      <c r="C336" s="1"/>
      <c r="D336" s="8"/>
      <c r="E336" s="26">
        <v>0.08</v>
      </c>
      <c r="F336" s="10"/>
      <c r="G336" s="10"/>
      <c r="H336" s="10"/>
      <c r="I336" s="10"/>
      <c r="J336" s="10"/>
      <c r="K336" s="10"/>
      <c r="L336" s="10">
        <f>L335*E336</f>
        <v>0</v>
      </c>
    </row>
    <row r="337" spans="1:12" x14ac:dyDescent="0.3">
      <c r="A337" s="2"/>
      <c r="B337" s="2" t="s">
        <v>7</v>
      </c>
      <c r="C337" s="1"/>
      <c r="D337" s="8"/>
      <c r="E337" s="26"/>
      <c r="F337" s="10"/>
      <c r="G337" s="10"/>
      <c r="H337" s="10"/>
      <c r="I337" s="10"/>
      <c r="J337" s="10"/>
      <c r="K337" s="10"/>
      <c r="L337" s="10">
        <f>L336+L335</f>
        <v>0</v>
      </c>
    </row>
    <row r="338" spans="1:12" x14ac:dyDescent="0.3">
      <c r="A338" s="2"/>
      <c r="B338" s="5" t="s">
        <v>230</v>
      </c>
      <c r="C338" s="1"/>
      <c r="D338" s="8"/>
      <c r="E338" s="26">
        <v>0.03</v>
      </c>
      <c r="F338" s="10"/>
      <c r="G338" s="10"/>
      <c r="H338" s="10"/>
      <c r="I338" s="10"/>
      <c r="J338" s="10"/>
      <c r="K338" s="10"/>
      <c r="L338" s="10">
        <f>L337*E338</f>
        <v>0</v>
      </c>
    </row>
    <row r="339" spans="1:12" x14ac:dyDescent="0.3">
      <c r="A339" s="2"/>
      <c r="B339" s="2" t="s">
        <v>7</v>
      </c>
      <c r="C339" s="1"/>
      <c r="D339" s="8"/>
      <c r="E339" s="26"/>
      <c r="F339" s="10"/>
      <c r="G339" s="10"/>
      <c r="H339" s="10"/>
      <c r="I339" s="10"/>
      <c r="J339" s="10"/>
      <c r="K339" s="10"/>
      <c r="L339" s="10">
        <f>L338+L337</f>
        <v>0</v>
      </c>
    </row>
    <row r="340" spans="1:12" x14ac:dyDescent="0.3">
      <c r="A340" s="2"/>
      <c r="B340" s="5" t="s">
        <v>231</v>
      </c>
      <c r="C340" s="1"/>
      <c r="D340" s="8"/>
      <c r="E340" s="26">
        <v>0.18</v>
      </c>
      <c r="F340" s="10"/>
      <c r="G340" s="10"/>
      <c r="H340" s="10"/>
      <c r="I340" s="10"/>
      <c r="J340" s="10"/>
      <c r="K340" s="10"/>
      <c r="L340" s="10">
        <f>L339*E340</f>
        <v>0</v>
      </c>
    </row>
    <row r="341" spans="1:12" x14ac:dyDescent="0.3">
      <c r="A341" s="3"/>
      <c r="B341" s="3" t="s">
        <v>232</v>
      </c>
      <c r="C341" s="3"/>
      <c r="D341" s="24"/>
      <c r="E341" s="24"/>
      <c r="F341" s="25"/>
      <c r="G341" s="25"/>
      <c r="H341" s="25"/>
      <c r="I341" s="25"/>
      <c r="J341" s="25"/>
      <c r="K341" s="25"/>
      <c r="L341" s="25">
        <f>L340+L339</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29"/>
  <sheetViews>
    <sheetView topLeftCell="A184" zoomScale="85" zoomScaleNormal="85" workbookViewId="0">
      <selection activeCell="AB197" sqref="AB197"/>
    </sheetView>
  </sheetViews>
  <sheetFormatPr defaultRowHeight="14.4" x14ac:dyDescent="0.3"/>
  <cols>
    <col min="1" max="1" width="8.88671875" style="7"/>
    <col min="2" max="2" width="81"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9.21875" bestFit="1" customWidth="1"/>
  </cols>
  <sheetData>
    <row r="2" spans="1:12" x14ac:dyDescent="0.3">
      <c r="A2" s="40" t="s">
        <v>1036</v>
      </c>
      <c r="B2" s="40"/>
      <c r="C2" s="40"/>
      <c r="D2" s="40"/>
      <c r="E2" s="40"/>
      <c r="F2" s="40"/>
      <c r="G2" s="40"/>
      <c r="H2" s="40"/>
      <c r="I2" s="40"/>
      <c r="J2" s="40"/>
      <c r="K2" s="40"/>
      <c r="L2" s="40"/>
    </row>
    <row r="3" spans="1:12" x14ac:dyDescent="0.3">
      <c r="A3" s="40" t="s">
        <v>1037</v>
      </c>
      <c r="B3" s="40"/>
      <c r="C3" s="40"/>
      <c r="D3" s="40"/>
      <c r="E3" s="40"/>
      <c r="F3" s="40"/>
      <c r="G3" s="40"/>
      <c r="H3" s="40"/>
      <c r="I3" s="40"/>
      <c r="J3" s="40"/>
      <c r="K3" s="40"/>
      <c r="L3" s="40"/>
    </row>
    <row r="4" spans="1:12" x14ac:dyDescent="0.3">
      <c r="A4" s="36" t="s">
        <v>1055</v>
      </c>
      <c r="K4" s="33" t="s">
        <v>1038</v>
      </c>
      <c r="L4" s="34" t="str">
        <f>'2000 მ²'!L4</f>
        <v>001</v>
      </c>
    </row>
    <row r="5" spans="1:12" x14ac:dyDescent="0.3">
      <c r="A5" s="36" t="s">
        <v>1044</v>
      </c>
      <c r="K5" s="33" t="s">
        <v>1040</v>
      </c>
      <c r="L5" s="35">
        <f>'2000 მ²'!L5</f>
        <v>45887</v>
      </c>
    </row>
    <row r="6" spans="1:12" ht="28.8" customHeight="1" x14ac:dyDescent="0.3">
      <c r="A6" s="43" t="s">
        <v>0</v>
      </c>
      <c r="B6" s="43" t="s">
        <v>1</v>
      </c>
      <c r="C6" s="43" t="s">
        <v>2</v>
      </c>
      <c r="D6" s="45" t="s">
        <v>9</v>
      </c>
      <c r="E6" s="45" t="s">
        <v>3</v>
      </c>
      <c r="F6" s="41" t="s">
        <v>4</v>
      </c>
      <c r="G6" s="42"/>
      <c r="H6" s="41" t="s">
        <v>5</v>
      </c>
      <c r="I6" s="42"/>
      <c r="J6" s="41" t="s">
        <v>6</v>
      </c>
      <c r="K6" s="42"/>
      <c r="L6" s="43" t="s">
        <v>7</v>
      </c>
    </row>
    <row r="7" spans="1:12" ht="23.4" customHeight="1" x14ac:dyDescent="0.3">
      <c r="A7" s="44"/>
      <c r="B7" s="44"/>
      <c r="C7" s="44"/>
      <c r="D7" s="46"/>
      <c r="E7" s="46"/>
      <c r="F7" s="3" t="s">
        <v>8</v>
      </c>
      <c r="G7" s="3" t="s">
        <v>7</v>
      </c>
      <c r="H7" s="3" t="s">
        <v>8</v>
      </c>
      <c r="I7" s="3" t="s">
        <v>7</v>
      </c>
      <c r="J7" s="3" t="s">
        <v>8</v>
      </c>
      <c r="K7" s="3" t="s">
        <v>7</v>
      </c>
      <c r="L7" s="44"/>
    </row>
    <row r="8" spans="1:12" x14ac:dyDescent="0.3">
      <c r="A8" s="3">
        <v>1</v>
      </c>
      <c r="B8" s="3">
        <v>2</v>
      </c>
      <c r="C8" s="3">
        <v>3</v>
      </c>
      <c r="D8" s="3">
        <v>4</v>
      </c>
      <c r="E8" s="3">
        <v>5</v>
      </c>
      <c r="F8" s="3">
        <v>6</v>
      </c>
      <c r="G8" s="3">
        <v>7</v>
      </c>
      <c r="H8" s="3">
        <v>8</v>
      </c>
      <c r="I8" s="3">
        <v>9</v>
      </c>
      <c r="J8" s="3">
        <v>10</v>
      </c>
      <c r="K8" s="3">
        <v>11</v>
      </c>
      <c r="L8" s="3">
        <v>12</v>
      </c>
    </row>
    <row r="9" spans="1:12" x14ac:dyDescent="0.3">
      <c r="A9" s="11"/>
      <c r="B9" s="11" t="s">
        <v>683</v>
      </c>
      <c r="C9" s="4"/>
      <c r="D9" s="12"/>
      <c r="E9" s="12"/>
      <c r="F9" s="13"/>
      <c r="G9" s="13"/>
      <c r="H9" s="13"/>
      <c r="I9" s="13"/>
      <c r="J9" s="13"/>
      <c r="K9" s="13"/>
      <c r="L9" s="13"/>
    </row>
    <row r="10" spans="1:12" ht="43.2" x14ac:dyDescent="0.3">
      <c r="A10" s="2">
        <v>1</v>
      </c>
      <c r="B10" s="14" t="s">
        <v>684</v>
      </c>
      <c r="C10" s="2" t="s">
        <v>773</v>
      </c>
      <c r="D10" s="15"/>
      <c r="E10" s="15">
        <v>1</v>
      </c>
      <c r="F10" s="10"/>
      <c r="G10" s="10">
        <f t="shared" ref="G10:G216" si="0">F10*E10</f>
        <v>0</v>
      </c>
      <c r="H10" s="10"/>
      <c r="I10" s="10">
        <f t="shared" ref="I10:I216" si="1">H10*E10</f>
        <v>0</v>
      </c>
      <c r="J10" s="10"/>
      <c r="K10" s="10">
        <f t="shared" ref="K10:K216" si="2">J10*E10</f>
        <v>0</v>
      </c>
      <c r="L10" s="10">
        <f t="shared" ref="L10:L216" si="3">K10+I10+G10</f>
        <v>0</v>
      </c>
    </row>
    <row r="11" spans="1:12" x14ac:dyDescent="0.3">
      <c r="A11" s="2"/>
      <c r="B11" s="17" t="s">
        <v>13</v>
      </c>
      <c r="C11" s="18" t="s">
        <v>773</v>
      </c>
      <c r="D11" s="19"/>
      <c r="E11" s="19">
        <v>1</v>
      </c>
      <c r="F11" s="10"/>
      <c r="G11" s="10">
        <f t="shared" si="0"/>
        <v>0</v>
      </c>
      <c r="H11" s="10"/>
      <c r="I11" s="10">
        <f t="shared" si="1"/>
        <v>0</v>
      </c>
      <c r="J11" s="10"/>
      <c r="K11" s="10">
        <f t="shared" si="2"/>
        <v>0</v>
      </c>
      <c r="L11" s="10">
        <f t="shared" si="3"/>
        <v>0</v>
      </c>
    </row>
    <row r="12" spans="1:12" x14ac:dyDescent="0.3">
      <c r="A12" s="2"/>
      <c r="B12" s="17" t="s">
        <v>685</v>
      </c>
      <c r="C12" s="18" t="s">
        <v>25</v>
      </c>
      <c r="D12" s="19"/>
      <c r="E12" s="19">
        <v>22.3</v>
      </c>
      <c r="F12" s="10"/>
      <c r="G12" s="10">
        <f t="shared" si="0"/>
        <v>0</v>
      </c>
      <c r="H12" s="10"/>
      <c r="I12" s="10">
        <f t="shared" si="1"/>
        <v>0</v>
      </c>
      <c r="J12" s="10"/>
      <c r="K12" s="10">
        <f t="shared" si="2"/>
        <v>0</v>
      </c>
      <c r="L12" s="10">
        <f t="shared" si="3"/>
        <v>0</v>
      </c>
    </row>
    <row r="13" spans="1:12" ht="43.2" x14ac:dyDescent="0.3">
      <c r="A13" s="2"/>
      <c r="B13" s="17" t="s">
        <v>684</v>
      </c>
      <c r="C13" s="18" t="s">
        <v>773</v>
      </c>
      <c r="D13" s="19"/>
      <c r="E13" s="19">
        <v>1</v>
      </c>
      <c r="F13" s="10"/>
      <c r="G13" s="10">
        <f t="shared" si="0"/>
        <v>0</v>
      </c>
      <c r="H13" s="10"/>
      <c r="I13" s="10">
        <f t="shared" si="1"/>
        <v>0</v>
      </c>
      <c r="J13" s="10"/>
      <c r="K13" s="10">
        <f t="shared" si="2"/>
        <v>0</v>
      </c>
      <c r="L13" s="10">
        <f t="shared" si="3"/>
        <v>0</v>
      </c>
    </row>
    <row r="14" spans="1:12" x14ac:dyDescent="0.3">
      <c r="A14" s="2"/>
      <c r="B14" s="17" t="s">
        <v>686</v>
      </c>
      <c r="C14" s="18" t="s">
        <v>25</v>
      </c>
      <c r="D14" s="19"/>
      <c r="E14" s="19">
        <v>28</v>
      </c>
      <c r="F14" s="10"/>
      <c r="G14" s="10">
        <f t="shared" si="0"/>
        <v>0</v>
      </c>
      <c r="H14" s="10"/>
      <c r="I14" s="10">
        <f t="shared" si="1"/>
        <v>0</v>
      </c>
      <c r="J14" s="10"/>
      <c r="K14" s="10">
        <f t="shared" si="2"/>
        <v>0</v>
      </c>
      <c r="L14" s="10">
        <f t="shared" si="3"/>
        <v>0</v>
      </c>
    </row>
    <row r="15" spans="1:12" ht="28.8" x14ac:dyDescent="0.3">
      <c r="A15" s="2">
        <v>2</v>
      </c>
      <c r="B15" s="14" t="s">
        <v>687</v>
      </c>
      <c r="C15" s="2" t="s">
        <v>773</v>
      </c>
      <c r="D15" s="15"/>
      <c r="E15" s="15">
        <v>1</v>
      </c>
      <c r="F15" s="10"/>
      <c r="G15" s="10">
        <f t="shared" si="0"/>
        <v>0</v>
      </c>
      <c r="H15" s="10"/>
      <c r="I15" s="10">
        <f t="shared" si="1"/>
        <v>0</v>
      </c>
      <c r="J15" s="10"/>
      <c r="K15" s="10">
        <f t="shared" si="2"/>
        <v>0</v>
      </c>
      <c r="L15" s="10">
        <f t="shared" si="3"/>
        <v>0</v>
      </c>
    </row>
    <row r="16" spans="1:12" x14ac:dyDescent="0.3">
      <c r="A16" s="2"/>
      <c r="B16" s="17" t="s">
        <v>13</v>
      </c>
      <c r="C16" s="18" t="s">
        <v>773</v>
      </c>
      <c r="D16" s="19"/>
      <c r="E16" s="19">
        <v>1</v>
      </c>
      <c r="F16" s="10"/>
      <c r="G16" s="10">
        <f t="shared" si="0"/>
        <v>0</v>
      </c>
      <c r="H16" s="10"/>
      <c r="I16" s="10">
        <f t="shared" si="1"/>
        <v>0</v>
      </c>
      <c r="J16" s="10"/>
      <c r="K16" s="10">
        <f t="shared" si="2"/>
        <v>0</v>
      </c>
      <c r="L16" s="10">
        <f t="shared" si="3"/>
        <v>0</v>
      </c>
    </row>
    <row r="17" spans="1:12" x14ac:dyDescent="0.3">
      <c r="A17" s="2"/>
      <c r="B17" s="17" t="s">
        <v>685</v>
      </c>
      <c r="C17" s="18" t="s">
        <v>25</v>
      </c>
      <c r="D17" s="19"/>
      <c r="E17" s="19">
        <v>22.3</v>
      </c>
      <c r="F17" s="10"/>
      <c r="G17" s="10">
        <f t="shared" si="0"/>
        <v>0</v>
      </c>
      <c r="H17" s="10"/>
      <c r="I17" s="10">
        <f t="shared" si="1"/>
        <v>0</v>
      </c>
      <c r="J17" s="10"/>
      <c r="K17" s="10">
        <f t="shared" si="2"/>
        <v>0</v>
      </c>
      <c r="L17" s="10">
        <f t="shared" si="3"/>
        <v>0</v>
      </c>
    </row>
    <row r="18" spans="1:12" ht="43.2" x14ac:dyDescent="0.3">
      <c r="A18" s="2"/>
      <c r="B18" s="17" t="s">
        <v>684</v>
      </c>
      <c r="C18" s="18" t="s">
        <v>773</v>
      </c>
      <c r="D18" s="27"/>
      <c r="E18" s="19">
        <v>1</v>
      </c>
      <c r="F18" s="10"/>
      <c r="G18" s="10">
        <f t="shared" si="0"/>
        <v>0</v>
      </c>
      <c r="H18" s="10"/>
      <c r="I18" s="10">
        <f t="shared" si="1"/>
        <v>0</v>
      </c>
      <c r="J18" s="10"/>
      <c r="K18" s="10">
        <f t="shared" si="2"/>
        <v>0</v>
      </c>
      <c r="L18" s="10">
        <f t="shared" si="3"/>
        <v>0</v>
      </c>
    </row>
    <row r="19" spans="1:12" x14ac:dyDescent="0.3">
      <c r="A19" s="2"/>
      <c r="B19" s="17" t="s">
        <v>686</v>
      </c>
      <c r="C19" s="18" t="s">
        <v>25</v>
      </c>
      <c r="D19" s="27"/>
      <c r="E19" s="19">
        <v>28</v>
      </c>
      <c r="F19" s="10"/>
      <c r="G19" s="10">
        <f t="shared" si="0"/>
        <v>0</v>
      </c>
      <c r="H19" s="10"/>
      <c r="I19" s="10">
        <f t="shared" si="1"/>
        <v>0</v>
      </c>
      <c r="J19" s="10"/>
      <c r="K19" s="10">
        <f t="shared" si="2"/>
        <v>0</v>
      </c>
      <c r="L19" s="10">
        <f t="shared" si="3"/>
        <v>0</v>
      </c>
    </row>
    <row r="20" spans="1:12" ht="28.8" x14ac:dyDescent="0.3">
      <c r="A20" s="2">
        <v>3</v>
      </c>
      <c r="B20" s="14" t="s">
        <v>688</v>
      </c>
      <c r="C20" s="2" t="s">
        <v>773</v>
      </c>
      <c r="D20" s="32"/>
      <c r="E20" s="15">
        <v>4</v>
      </c>
      <c r="F20" s="10"/>
      <c r="G20" s="10">
        <f t="shared" si="0"/>
        <v>0</v>
      </c>
      <c r="H20" s="10"/>
      <c r="I20" s="10">
        <f t="shared" si="1"/>
        <v>0</v>
      </c>
      <c r="J20" s="10"/>
      <c r="K20" s="10">
        <f t="shared" si="2"/>
        <v>0</v>
      </c>
      <c r="L20" s="10">
        <f t="shared" si="3"/>
        <v>0</v>
      </c>
    </row>
    <row r="21" spans="1:12" x14ac:dyDescent="0.3">
      <c r="A21" s="2"/>
      <c r="B21" s="17" t="s">
        <v>13</v>
      </c>
      <c r="C21" s="18" t="s">
        <v>773</v>
      </c>
      <c r="D21" s="19"/>
      <c r="E21" s="19">
        <v>4</v>
      </c>
      <c r="F21" s="10"/>
      <c r="G21" s="10">
        <f t="shared" si="0"/>
        <v>0</v>
      </c>
      <c r="H21" s="10"/>
      <c r="I21" s="10">
        <f t="shared" si="1"/>
        <v>0</v>
      </c>
      <c r="J21" s="10"/>
      <c r="K21" s="10">
        <f t="shared" si="2"/>
        <v>0</v>
      </c>
      <c r="L21" s="10">
        <f t="shared" si="3"/>
        <v>0</v>
      </c>
    </row>
    <row r="22" spans="1:12" x14ac:dyDescent="0.3">
      <c r="A22" s="2"/>
      <c r="B22" s="17" t="s">
        <v>685</v>
      </c>
      <c r="C22" s="18" t="s">
        <v>25</v>
      </c>
      <c r="D22" s="19"/>
      <c r="E22" s="19">
        <v>89.2</v>
      </c>
      <c r="F22" s="10"/>
      <c r="G22" s="10">
        <f t="shared" si="0"/>
        <v>0</v>
      </c>
      <c r="H22" s="10"/>
      <c r="I22" s="10">
        <f t="shared" si="1"/>
        <v>0</v>
      </c>
      <c r="J22" s="10"/>
      <c r="K22" s="10">
        <f t="shared" si="2"/>
        <v>0</v>
      </c>
      <c r="L22" s="10">
        <f t="shared" si="3"/>
        <v>0</v>
      </c>
    </row>
    <row r="23" spans="1:12" ht="28.8" x14ac:dyDescent="0.3">
      <c r="A23" s="2"/>
      <c r="B23" s="17" t="s">
        <v>688</v>
      </c>
      <c r="C23" s="18" t="s">
        <v>773</v>
      </c>
      <c r="D23" s="19"/>
      <c r="E23" s="19">
        <v>4</v>
      </c>
      <c r="F23" s="10"/>
      <c r="G23" s="10">
        <f t="shared" si="0"/>
        <v>0</v>
      </c>
      <c r="H23" s="10"/>
      <c r="I23" s="10">
        <f t="shared" si="1"/>
        <v>0</v>
      </c>
      <c r="J23" s="10"/>
      <c r="K23" s="10">
        <f t="shared" si="2"/>
        <v>0</v>
      </c>
      <c r="L23" s="10">
        <f t="shared" si="3"/>
        <v>0</v>
      </c>
    </row>
    <row r="24" spans="1:12" x14ac:dyDescent="0.3">
      <c r="A24" s="2"/>
      <c r="B24" s="17" t="s">
        <v>689</v>
      </c>
      <c r="C24" s="18" t="s">
        <v>72</v>
      </c>
      <c r="D24" s="19"/>
      <c r="E24" s="19">
        <v>4</v>
      </c>
      <c r="F24" s="10"/>
      <c r="G24" s="10">
        <f t="shared" si="0"/>
        <v>0</v>
      </c>
      <c r="H24" s="10"/>
      <c r="I24" s="10">
        <f t="shared" si="1"/>
        <v>0</v>
      </c>
      <c r="J24" s="10"/>
      <c r="K24" s="10">
        <f t="shared" si="2"/>
        <v>0</v>
      </c>
      <c r="L24" s="10">
        <f t="shared" si="3"/>
        <v>0</v>
      </c>
    </row>
    <row r="25" spans="1:12" x14ac:dyDescent="0.3">
      <c r="A25" s="2"/>
      <c r="B25" s="17" t="s">
        <v>686</v>
      </c>
      <c r="C25" s="18" t="s">
        <v>25</v>
      </c>
      <c r="D25" s="19"/>
      <c r="E25" s="19">
        <v>112</v>
      </c>
      <c r="F25" s="10"/>
      <c r="G25" s="10">
        <f t="shared" si="0"/>
        <v>0</v>
      </c>
      <c r="H25" s="10"/>
      <c r="I25" s="10">
        <f t="shared" si="1"/>
        <v>0</v>
      </c>
      <c r="J25" s="10"/>
      <c r="K25" s="10">
        <f t="shared" si="2"/>
        <v>0</v>
      </c>
      <c r="L25" s="10">
        <f t="shared" si="3"/>
        <v>0</v>
      </c>
    </row>
    <row r="26" spans="1:12" x14ac:dyDescent="0.3">
      <c r="A26" s="11"/>
      <c r="B26" s="11" t="s">
        <v>690</v>
      </c>
      <c r="C26" s="4"/>
      <c r="D26" s="12"/>
      <c r="E26" s="12"/>
      <c r="F26" s="13"/>
      <c r="G26" s="13">
        <f t="shared" si="0"/>
        <v>0</v>
      </c>
      <c r="H26" s="13"/>
      <c r="I26" s="13">
        <f t="shared" si="1"/>
        <v>0</v>
      </c>
      <c r="J26" s="13"/>
      <c r="K26" s="13">
        <f t="shared" si="2"/>
        <v>0</v>
      </c>
      <c r="L26" s="13">
        <f t="shared" si="3"/>
        <v>0</v>
      </c>
    </row>
    <row r="27" spans="1:12" ht="28.8" x14ac:dyDescent="0.3">
      <c r="A27" s="2">
        <v>4</v>
      </c>
      <c r="B27" s="14" t="s">
        <v>691</v>
      </c>
      <c r="C27" s="2" t="s">
        <v>773</v>
      </c>
      <c r="D27" s="32"/>
      <c r="E27" s="15">
        <v>1</v>
      </c>
      <c r="F27" s="10"/>
      <c r="G27" s="10">
        <f t="shared" si="0"/>
        <v>0</v>
      </c>
      <c r="H27" s="10"/>
      <c r="I27" s="10">
        <f t="shared" si="1"/>
        <v>0</v>
      </c>
      <c r="J27" s="10"/>
      <c r="K27" s="10">
        <f t="shared" si="2"/>
        <v>0</v>
      </c>
      <c r="L27" s="10">
        <f t="shared" si="3"/>
        <v>0</v>
      </c>
    </row>
    <row r="28" spans="1:12" x14ac:dyDescent="0.3">
      <c r="A28" s="2"/>
      <c r="B28" s="17" t="s">
        <v>13</v>
      </c>
      <c r="C28" s="18" t="s">
        <v>773</v>
      </c>
      <c r="D28" s="27"/>
      <c r="E28" s="19">
        <v>1</v>
      </c>
      <c r="F28" s="10"/>
      <c r="G28" s="10">
        <f t="shared" si="0"/>
        <v>0</v>
      </c>
      <c r="H28" s="10"/>
      <c r="I28" s="10">
        <f t="shared" si="1"/>
        <v>0</v>
      </c>
      <c r="J28" s="10"/>
      <c r="K28" s="10">
        <f t="shared" si="2"/>
        <v>0</v>
      </c>
      <c r="L28" s="10">
        <f t="shared" si="3"/>
        <v>0</v>
      </c>
    </row>
    <row r="29" spans="1:12" x14ac:dyDescent="0.3">
      <c r="A29" s="2"/>
      <c r="B29" s="17" t="s">
        <v>685</v>
      </c>
      <c r="C29" s="18" t="s">
        <v>25</v>
      </c>
      <c r="D29" s="27"/>
      <c r="E29" s="19">
        <v>22.3</v>
      </c>
      <c r="F29" s="10"/>
      <c r="G29" s="10">
        <f t="shared" si="0"/>
        <v>0</v>
      </c>
      <c r="H29" s="10"/>
      <c r="I29" s="10">
        <f t="shared" si="1"/>
        <v>0</v>
      </c>
      <c r="J29" s="10"/>
      <c r="K29" s="10">
        <f t="shared" si="2"/>
        <v>0</v>
      </c>
      <c r="L29" s="10">
        <f t="shared" si="3"/>
        <v>0</v>
      </c>
    </row>
    <row r="30" spans="1:12" ht="28.8" x14ac:dyDescent="0.3">
      <c r="A30" s="2"/>
      <c r="B30" s="17" t="s">
        <v>691</v>
      </c>
      <c r="C30" s="18" t="s">
        <v>773</v>
      </c>
      <c r="D30" s="19"/>
      <c r="E30" s="19">
        <v>1</v>
      </c>
      <c r="F30" s="10"/>
      <c r="G30" s="10">
        <f t="shared" si="0"/>
        <v>0</v>
      </c>
      <c r="H30" s="10"/>
      <c r="I30" s="10">
        <f t="shared" si="1"/>
        <v>0</v>
      </c>
      <c r="J30" s="10"/>
      <c r="K30" s="10">
        <f t="shared" si="2"/>
        <v>0</v>
      </c>
      <c r="L30" s="10">
        <f t="shared" si="3"/>
        <v>0</v>
      </c>
    </row>
    <row r="31" spans="1:12" x14ac:dyDescent="0.3">
      <c r="A31" s="2"/>
      <c r="B31" s="17" t="s">
        <v>692</v>
      </c>
      <c r="C31" s="18" t="s">
        <v>72</v>
      </c>
      <c r="D31" s="19"/>
      <c r="E31" s="19">
        <v>4</v>
      </c>
      <c r="F31" s="10"/>
      <c r="G31" s="10">
        <f t="shared" si="0"/>
        <v>0</v>
      </c>
      <c r="H31" s="10"/>
      <c r="I31" s="10">
        <f t="shared" si="1"/>
        <v>0</v>
      </c>
      <c r="J31" s="10"/>
      <c r="K31" s="10">
        <f t="shared" si="2"/>
        <v>0</v>
      </c>
      <c r="L31" s="10">
        <f t="shared" si="3"/>
        <v>0</v>
      </c>
    </row>
    <row r="32" spans="1:12" x14ac:dyDescent="0.3">
      <c r="A32" s="2"/>
      <c r="B32" s="17" t="s">
        <v>686</v>
      </c>
      <c r="C32" s="18" t="s">
        <v>25</v>
      </c>
      <c r="D32" s="19"/>
      <c r="E32" s="19">
        <v>28</v>
      </c>
      <c r="F32" s="10"/>
      <c r="G32" s="10">
        <f t="shared" si="0"/>
        <v>0</v>
      </c>
      <c r="H32" s="10"/>
      <c r="I32" s="10">
        <f t="shared" si="1"/>
        <v>0</v>
      </c>
      <c r="J32" s="10"/>
      <c r="K32" s="10">
        <f t="shared" si="2"/>
        <v>0</v>
      </c>
      <c r="L32" s="10">
        <f t="shared" si="3"/>
        <v>0</v>
      </c>
    </row>
    <row r="33" spans="1:14" x14ac:dyDescent="0.3">
      <c r="A33" s="2">
        <v>5</v>
      </c>
      <c r="B33" s="14" t="s">
        <v>693</v>
      </c>
      <c r="C33" s="2" t="s">
        <v>773</v>
      </c>
      <c r="D33" s="15"/>
      <c r="E33" s="15">
        <v>2</v>
      </c>
      <c r="F33" s="10"/>
      <c r="G33" s="10">
        <f t="shared" si="0"/>
        <v>0</v>
      </c>
      <c r="H33" s="10"/>
      <c r="I33" s="10">
        <f t="shared" si="1"/>
        <v>0</v>
      </c>
      <c r="J33" s="10"/>
      <c r="K33" s="10">
        <f t="shared" si="2"/>
        <v>0</v>
      </c>
      <c r="L33" s="10">
        <f t="shared" si="3"/>
        <v>0</v>
      </c>
    </row>
    <row r="34" spans="1:14" x14ac:dyDescent="0.3">
      <c r="A34" s="2"/>
      <c r="B34" s="17" t="s">
        <v>13</v>
      </c>
      <c r="C34" s="18" t="s">
        <v>773</v>
      </c>
      <c r="D34" s="19"/>
      <c r="E34" s="19">
        <v>2</v>
      </c>
      <c r="F34" s="10"/>
      <c r="G34" s="10">
        <f t="shared" si="0"/>
        <v>0</v>
      </c>
      <c r="H34" s="10"/>
      <c r="I34" s="10">
        <f t="shared" si="1"/>
        <v>0</v>
      </c>
      <c r="J34" s="10"/>
      <c r="K34" s="10">
        <f t="shared" si="2"/>
        <v>0</v>
      </c>
      <c r="L34" s="10">
        <f t="shared" si="3"/>
        <v>0</v>
      </c>
    </row>
    <row r="35" spans="1:14" x14ac:dyDescent="0.3">
      <c r="A35" s="2"/>
      <c r="B35" s="17" t="s">
        <v>685</v>
      </c>
      <c r="C35" s="18" t="s">
        <v>25</v>
      </c>
      <c r="D35" s="19"/>
      <c r="E35" s="19">
        <v>1.44</v>
      </c>
      <c r="F35" s="10"/>
      <c r="G35" s="10">
        <f t="shared" si="0"/>
        <v>0</v>
      </c>
      <c r="H35" s="10"/>
      <c r="I35" s="10">
        <f t="shared" si="1"/>
        <v>0</v>
      </c>
      <c r="J35" s="10"/>
      <c r="K35" s="10">
        <f t="shared" si="2"/>
        <v>0</v>
      </c>
      <c r="L35" s="10">
        <f t="shared" si="3"/>
        <v>0</v>
      </c>
    </row>
    <row r="36" spans="1:14" x14ac:dyDescent="0.3">
      <c r="A36" s="2"/>
      <c r="B36" s="17" t="s">
        <v>694</v>
      </c>
      <c r="C36" s="18" t="s">
        <v>773</v>
      </c>
      <c r="D36" s="19"/>
      <c r="E36" s="19">
        <v>2</v>
      </c>
      <c r="F36" s="10"/>
      <c r="G36" s="10">
        <f t="shared" si="0"/>
        <v>0</v>
      </c>
      <c r="H36" s="10"/>
      <c r="I36" s="10">
        <f t="shared" si="1"/>
        <v>0</v>
      </c>
      <c r="J36" s="10"/>
      <c r="K36" s="10">
        <f t="shared" si="2"/>
        <v>0</v>
      </c>
      <c r="L36" s="10">
        <f t="shared" si="3"/>
        <v>0</v>
      </c>
    </row>
    <row r="37" spans="1:14" x14ac:dyDescent="0.3">
      <c r="A37" s="2"/>
      <c r="B37" s="17" t="s">
        <v>686</v>
      </c>
      <c r="C37" s="18" t="s">
        <v>25</v>
      </c>
      <c r="D37" s="19"/>
      <c r="E37" s="19">
        <v>3.52</v>
      </c>
      <c r="F37" s="10"/>
      <c r="G37" s="10">
        <f t="shared" si="0"/>
        <v>0</v>
      </c>
      <c r="H37" s="10"/>
      <c r="I37" s="10">
        <f t="shared" si="1"/>
        <v>0</v>
      </c>
      <c r="J37" s="10"/>
      <c r="K37" s="10">
        <f t="shared" si="2"/>
        <v>0</v>
      </c>
      <c r="L37" s="10">
        <f t="shared" si="3"/>
        <v>0</v>
      </c>
    </row>
    <row r="38" spans="1:14" ht="57.6" x14ac:dyDescent="0.3">
      <c r="A38" s="2">
        <v>6</v>
      </c>
      <c r="B38" s="14" t="s">
        <v>695</v>
      </c>
      <c r="C38" s="2" t="s">
        <v>773</v>
      </c>
      <c r="D38" s="15"/>
      <c r="E38" s="15">
        <v>1</v>
      </c>
      <c r="F38" s="10"/>
      <c r="G38" s="10">
        <f t="shared" si="0"/>
        <v>0</v>
      </c>
      <c r="H38" s="10"/>
      <c r="I38" s="10">
        <f t="shared" si="1"/>
        <v>0</v>
      </c>
      <c r="J38" s="10"/>
      <c r="K38" s="10">
        <f t="shared" si="2"/>
        <v>0</v>
      </c>
      <c r="L38" s="10">
        <f t="shared" si="3"/>
        <v>0</v>
      </c>
    </row>
    <row r="39" spans="1:14" x14ac:dyDescent="0.3">
      <c r="A39" s="2"/>
      <c r="B39" s="17" t="s">
        <v>13</v>
      </c>
      <c r="C39" s="18" t="s">
        <v>773</v>
      </c>
      <c r="D39" s="19"/>
      <c r="E39" s="19">
        <v>1</v>
      </c>
      <c r="F39" s="10"/>
      <c r="G39" s="10">
        <f t="shared" si="0"/>
        <v>0</v>
      </c>
      <c r="H39" s="10"/>
      <c r="I39" s="10">
        <f t="shared" si="1"/>
        <v>0</v>
      </c>
      <c r="J39" s="10"/>
      <c r="K39" s="10">
        <f t="shared" si="2"/>
        <v>0</v>
      </c>
      <c r="L39" s="10">
        <f t="shared" si="3"/>
        <v>0</v>
      </c>
    </row>
    <row r="40" spans="1:14" x14ac:dyDescent="0.3">
      <c r="A40" s="2"/>
      <c r="B40" s="17" t="s">
        <v>685</v>
      </c>
      <c r="C40" s="18" t="s">
        <v>25</v>
      </c>
      <c r="D40" s="19"/>
      <c r="E40" s="19">
        <v>16.7</v>
      </c>
      <c r="F40" s="10"/>
      <c r="G40" s="10">
        <f t="shared" si="0"/>
        <v>0</v>
      </c>
      <c r="H40" s="10"/>
      <c r="I40" s="10">
        <f t="shared" si="1"/>
        <v>0</v>
      </c>
      <c r="J40" s="10"/>
      <c r="K40" s="10">
        <f t="shared" si="2"/>
        <v>0</v>
      </c>
      <c r="L40" s="10">
        <f t="shared" si="3"/>
        <v>0</v>
      </c>
    </row>
    <row r="41" spans="1:14" ht="57.6" x14ac:dyDescent="0.3">
      <c r="A41" s="2"/>
      <c r="B41" s="17" t="s">
        <v>695</v>
      </c>
      <c r="C41" s="18" t="s">
        <v>773</v>
      </c>
      <c r="D41" s="19"/>
      <c r="E41" s="19">
        <v>1</v>
      </c>
      <c r="F41" s="10"/>
      <c r="G41" s="10">
        <f t="shared" si="0"/>
        <v>0</v>
      </c>
      <c r="H41" s="10"/>
      <c r="I41" s="10">
        <f t="shared" si="1"/>
        <v>0</v>
      </c>
      <c r="J41" s="10"/>
      <c r="K41" s="10">
        <f t="shared" si="2"/>
        <v>0</v>
      </c>
      <c r="L41" s="10">
        <f t="shared" si="3"/>
        <v>0</v>
      </c>
    </row>
    <row r="42" spans="1:14" x14ac:dyDescent="0.3">
      <c r="A42" s="2"/>
      <c r="B42" s="17" t="s">
        <v>686</v>
      </c>
      <c r="C42" s="18" t="s">
        <v>25</v>
      </c>
      <c r="D42" s="27"/>
      <c r="E42" s="19">
        <v>13.3</v>
      </c>
      <c r="F42" s="10"/>
      <c r="G42" s="10">
        <f t="shared" si="0"/>
        <v>0</v>
      </c>
      <c r="H42" s="10"/>
      <c r="I42" s="10">
        <f t="shared" si="1"/>
        <v>0</v>
      </c>
      <c r="J42" s="10"/>
      <c r="K42" s="10">
        <f t="shared" si="2"/>
        <v>0</v>
      </c>
      <c r="L42" s="10">
        <f t="shared" si="3"/>
        <v>0</v>
      </c>
    </row>
    <row r="43" spans="1:14" x14ac:dyDescent="0.3">
      <c r="A43" s="2">
        <v>7</v>
      </c>
      <c r="B43" s="14" t="s">
        <v>696</v>
      </c>
      <c r="C43" s="2" t="s">
        <v>773</v>
      </c>
      <c r="D43" s="15"/>
      <c r="E43" s="15">
        <v>4</v>
      </c>
      <c r="F43" s="10"/>
      <c r="G43" s="10">
        <f t="shared" si="0"/>
        <v>0</v>
      </c>
      <c r="H43" s="10"/>
      <c r="I43" s="10">
        <f t="shared" si="1"/>
        <v>0</v>
      </c>
      <c r="J43" s="10"/>
      <c r="K43" s="10">
        <f t="shared" si="2"/>
        <v>0</v>
      </c>
      <c r="L43" s="10">
        <f t="shared" si="3"/>
        <v>0</v>
      </c>
      <c r="N43" s="9"/>
    </row>
    <row r="44" spans="1:14" x14ac:dyDescent="0.3">
      <c r="A44" s="2"/>
      <c r="B44" s="17" t="s">
        <v>13</v>
      </c>
      <c r="C44" s="18" t="s">
        <v>773</v>
      </c>
      <c r="D44" s="27"/>
      <c r="E44" s="19">
        <v>4</v>
      </c>
      <c r="F44" s="10"/>
      <c r="G44" s="10">
        <f t="shared" si="0"/>
        <v>0</v>
      </c>
      <c r="H44" s="10"/>
      <c r="I44" s="10">
        <f t="shared" si="1"/>
        <v>0</v>
      </c>
      <c r="J44" s="10"/>
      <c r="K44" s="10">
        <f t="shared" si="2"/>
        <v>0</v>
      </c>
      <c r="L44" s="10">
        <f t="shared" si="3"/>
        <v>0</v>
      </c>
    </row>
    <row r="45" spans="1:14" x14ac:dyDescent="0.3">
      <c r="A45" s="2"/>
      <c r="B45" s="17" t="s">
        <v>685</v>
      </c>
      <c r="C45" s="18" t="s">
        <v>25</v>
      </c>
      <c r="D45" s="27"/>
      <c r="E45" s="19">
        <v>19.96</v>
      </c>
      <c r="F45" s="10"/>
      <c r="G45" s="10">
        <f t="shared" si="0"/>
        <v>0</v>
      </c>
      <c r="H45" s="10"/>
      <c r="I45" s="10">
        <f t="shared" si="1"/>
        <v>0</v>
      </c>
      <c r="J45" s="10"/>
      <c r="K45" s="10">
        <f t="shared" si="2"/>
        <v>0</v>
      </c>
      <c r="L45" s="10">
        <f t="shared" si="3"/>
        <v>0</v>
      </c>
    </row>
    <row r="46" spans="1:14" x14ac:dyDescent="0.3">
      <c r="A46" s="2"/>
      <c r="B46" s="17" t="s">
        <v>696</v>
      </c>
      <c r="C46" s="18" t="s">
        <v>773</v>
      </c>
      <c r="D46" s="27"/>
      <c r="E46" s="19">
        <v>4</v>
      </c>
      <c r="F46" s="10"/>
      <c r="G46" s="10">
        <f t="shared" si="0"/>
        <v>0</v>
      </c>
      <c r="H46" s="10"/>
      <c r="I46" s="10">
        <f t="shared" si="1"/>
        <v>0</v>
      </c>
      <c r="J46" s="10"/>
      <c r="K46" s="10">
        <f t="shared" si="2"/>
        <v>0</v>
      </c>
      <c r="L46" s="10">
        <f t="shared" si="3"/>
        <v>0</v>
      </c>
    </row>
    <row r="47" spans="1:14" x14ac:dyDescent="0.3">
      <c r="A47" s="2"/>
      <c r="B47" s="17" t="s">
        <v>697</v>
      </c>
      <c r="C47" s="18" t="s">
        <v>72</v>
      </c>
      <c r="D47" s="19"/>
      <c r="E47" s="19">
        <v>4</v>
      </c>
      <c r="F47" s="10"/>
      <c r="G47" s="10">
        <f t="shared" si="0"/>
        <v>0</v>
      </c>
      <c r="H47" s="10"/>
      <c r="I47" s="10">
        <f t="shared" si="1"/>
        <v>0</v>
      </c>
      <c r="J47" s="10"/>
      <c r="K47" s="10">
        <f t="shared" si="2"/>
        <v>0</v>
      </c>
      <c r="L47" s="10">
        <f t="shared" si="3"/>
        <v>0</v>
      </c>
    </row>
    <row r="48" spans="1:14" x14ac:dyDescent="0.3">
      <c r="A48" s="2"/>
      <c r="B48" s="17" t="s">
        <v>686</v>
      </c>
      <c r="C48" s="18" t="s">
        <v>25</v>
      </c>
      <c r="D48" s="19"/>
      <c r="E48" s="19">
        <v>50.8</v>
      </c>
      <c r="F48" s="10"/>
      <c r="G48" s="10">
        <f t="shared" si="0"/>
        <v>0</v>
      </c>
      <c r="H48" s="10"/>
      <c r="I48" s="10">
        <f t="shared" si="1"/>
        <v>0</v>
      </c>
      <c r="J48" s="10"/>
      <c r="K48" s="10">
        <f t="shared" si="2"/>
        <v>0</v>
      </c>
      <c r="L48" s="10">
        <f t="shared" si="3"/>
        <v>0</v>
      </c>
    </row>
    <row r="49" spans="1:12" x14ac:dyDescent="0.3">
      <c r="A49" s="11"/>
      <c r="B49" s="11" t="s">
        <v>698</v>
      </c>
      <c r="C49" s="4"/>
      <c r="D49" s="12"/>
      <c r="E49" s="12"/>
      <c r="F49" s="13"/>
      <c r="G49" s="13">
        <f t="shared" si="0"/>
        <v>0</v>
      </c>
      <c r="H49" s="13"/>
      <c r="I49" s="13">
        <f t="shared" si="1"/>
        <v>0</v>
      </c>
      <c r="J49" s="13"/>
      <c r="K49" s="13">
        <f t="shared" si="2"/>
        <v>0</v>
      </c>
      <c r="L49" s="13">
        <f t="shared" si="3"/>
        <v>0</v>
      </c>
    </row>
    <row r="50" spans="1:12" ht="86.4" x14ac:dyDescent="0.3">
      <c r="A50" s="2">
        <v>8</v>
      </c>
      <c r="B50" s="14" t="s">
        <v>699</v>
      </c>
      <c r="C50" s="2" t="s">
        <v>773</v>
      </c>
      <c r="D50" s="15"/>
      <c r="E50" s="15">
        <v>2</v>
      </c>
      <c r="F50" s="10"/>
      <c r="G50" s="10">
        <f t="shared" si="0"/>
        <v>0</v>
      </c>
      <c r="H50" s="10"/>
      <c r="I50" s="10">
        <f t="shared" si="1"/>
        <v>0</v>
      </c>
      <c r="J50" s="10"/>
      <c r="K50" s="10">
        <f t="shared" si="2"/>
        <v>0</v>
      </c>
      <c r="L50" s="10">
        <f t="shared" si="3"/>
        <v>0</v>
      </c>
    </row>
    <row r="51" spans="1:12" x14ac:dyDescent="0.3">
      <c r="A51" s="2"/>
      <c r="B51" s="17" t="s">
        <v>13</v>
      </c>
      <c r="C51" s="18" t="s">
        <v>773</v>
      </c>
      <c r="D51" s="19"/>
      <c r="E51" s="19">
        <v>2</v>
      </c>
      <c r="F51" s="10"/>
      <c r="G51" s="10">
        <f t="shared" si="0"/>
        <v>0</v>
      </c>
      <c r="H51" s="10"/>
      <c r="I51" s="10">
        <f t="shared" si="1"/>
        <v>0</v>
      </c>
      <c r="J51" s="10"/>
      <c r="K51" s="10">
        <f t="shared" si="2"/>
        <v>0</v>
      </c>
      <c r="L51" s="10">
        <f t="shared" si="3"/>
        <v>0</v>
      </c>
    </row>
    <row r="52" spans="1:12" x14ac:dyDescent="0.3">
      <c r="A52" s="2"/>
      <c r="B52" s="17" t="s">
        <v>685</v>
      </c>
      <c r="C52" s="18" t="s">
        <v>25</v>
      </c>
      <c r="D52" s="19"/>
      <c r="E52" s="19">
        <v>33.4</v>
      </c>
      <c r="F52" s="10"/>
      <c r="G52" s="10">
        <f t="shared" si="0"/>
        <v>0</v>
      </c>
      <c r="H52" s="10"/>
      <c r="I52" s="10">
        <f t="shared" si="1"/>
        <v>0</v>
      </c>
      <c r="J52" s="10"/>
      <c r="K52" s="10">
        <f t="shared" si="2"/>
        <v>0</v>
      </c>
      <c r="L52" s="10">
        <f t="shared" si="3"/>
        <v>0</v>
      </c>
    </row>
    <row r="53" spans="1:12" ht="86.4" x14ac:dyDescent="0.3">
      <c r="A53" s="2"/>
      <c r="B53" s="17" t="s">
        <v>699</v>
      </c>
      <c r="C53" s="18" t="s">
        <v>773</v>
      </c>
      <c r="D53" s="19"/>
      <c r="E53" s="19">
        <v>2</v>
      </c>
      <c r="F53" s="10"/>
      <c r="G53" s="10">
        <f t="shared" si="0"/>
        <v>0</v>
      </c>
      <c r="H53" s="10"/>
      <c r="I53" s="10">
        <f t="shared" si="1"/>
        <v>0</v>
      </c>
      <c r="J53" s="10"/>
      <c r="K53" s="10">
        <f t="shared" si="2"/>
        <v>0</v>
      </c>
      <c r="L53" s="10">
        <f t="shared" si="3"/>
        <v>0</v>
      </c>
    </row>
    <row r="54" spans="1:12" x14ac:dyDescent="0.3">
      <c r="A54" s="2"/>
      <c r="B54" s="17" t="s">
        <v>686</v>
      </c>
      <c r="C54" s="18" t="s">
        <v>25</v>
      </c>
      <c r="D54" s="19"/>
      <c r="E54" s="19">
        <v>26.6</v>
      </c>
      <c r="F54" s="10"/>
      <c r="G54" s="10">
        <f t="shared" si="0"/>
        <v>0</v>
      </c>
      <c r="H54" s="10"/>
      <c r="I54" s="10">
        <f t="shared" si="1"/>
        <v>0</v>
      </c>
      <c r="J54" s="10"/>
      <c r="K54" s="10">
        <f t="shared" si="2"/>
        <v>0</v>
      </c>
      <c r="L54" s="10">
        <f t="shared" si="3"/>
        <v>0</v>
      </c>
    </row>
    <row r="55" spans="1:12" x14ac:dyDescent="0.3">
      <c r="A55" s="11"/>
      <c r="B55" s="11" t="s">
        <v>700</v>
      </c>
      <c r="C55" s="4"/>
      <c r="D55" s="12"/>
      <c r="E55" s="12"/>
      <c r="F55" s="13"/>
      <c r="G55" s="13">
        <f t="shared" si="0"/>
        <v>0</v>
      </c>
      <c r="H55" s="13"/>
      <c r="I55" s="13">
        <f t="shared" si="1"/>
        <v>0</v>
      </c>
      <c r="J55" s="13"/>
      <c r="K55" s="13">
        <f t="shared" si="2"/>
        <v>0</v>
      </c>
      <c r="L55" s="13">
        <f t="shared" si="3"/>
        <v>0</v>
      </c>
    </row>
    <row r="56" spans="1:12" x14ac:dyDescent="0.3">
      <c r="A56" s="2">
        <v>9</v>
      </c>
      <c r="B56" s="14" t="s">
        <v>701</v>
      </c>
      <c r="C56" s="2" t="s">
        <v>773</v>
      </c>
      <c r="D56" s="15"/>
      <c r="E56" s="15">
        <v>1</v>
      </c>
      <c r="F56" s="10"/>
      <c r="G56" s="10">
        <f t="shared" si="0"/>
        <v>0</v>
      </c>
      <c r="H56" s="10"/>
      <c r="I56" s="10">
        <f t="shared" si="1"/>
        <v>0</v>
      </c>
      <c r="J56" s="10"/>
      <c r="K56" s="10">
        <f t="shared" si="2"/>
        <v>0</v>
      </c>
      <c r="L56" s="10">
        <f t="shared" si="3"/>
        <v>0</v>
      </c>
    </row>
    <row r="57" spans="1:12" x14ac:dyDescent="0.3">
      <c r="A57" s="2"/>
      <c r="B57" s="17" t="s">
        <v>13</v>
      </c>
      <c r="C57" s="18" t="s">
        <v>773</v>
      </c>
      <c r="D57" s="19"/>
      <c r="E57" s="19">
        <v>1</v>
      </c>
      <c r="F57" s="10"/>
      <c r="G57" s="10">
        <f t="shared" si="0"/>
        <v>0</v>
      </c>
      <c r="H57" s="10"/>
      <c r="I57" s="10">
        <f t="shared" si="1"/>
        <v>0</v>
      </c>
      <c r="J57" s="10"/>
      <c r="K57" s="10">
        <f t="shared" si="2"/>
        <v>0</v>
      </c>
      <c r="L57" s="10">
        <f t="shared" si="3"/>
        <v>0</v>
      </c>
    </row>
    <row r="58" spans="1:12" x14ac:dyDescent="0.3">
      <c r="A58" s="2"/>
      <c r="B58" s="17" t="s">
        <v>685</v>
      </c>
      <c r="C58" s="18" t="s">
        <v>25</v>
      </c>
      <c r="D58" s="19"/>
      <c r="E58" s="19">
        <v>16.7</v>
      </c>
      <c r="F58" s="10"/>
      <c r="G58" s="10">
        <f t="shared" si="0"/>
        <v>0</v>
      </c>
      <c r="H58" s="10"/>
      <c r="I58" s="10">
        <f t="shared" si="1"/>
        <v>0</v>
      </c>
      <c r="J58" s="10"/>
      <c r="K58" s="10">
        <f t="shared" si="2"/>
        <v>0</v>
      </c>
      <c r="L58" s="10">
        <f t="shared" si="3"/>
        <v>0</v>
      </c>
    </row>
    <row r="59" spans="1:12" x14ac:dyDescent="0.3">
      <c r="A59" s="2"/>
      <c r="B59" s="17" t="s">
        <v>702</v>
      </c>
      <c r="C59" s="18" t="s">
        <v>773</v>
      </c>
      <c r="D59" s="19"/>
      <c r="E59" s="19">
        <v>1</v>
      </c>
      <c r="F59" s="10"/>
      <c r="G59" s="10">
        <f t="shared" si="0"/>
        <v>0</v>
      </c>
      <c r="H59" s="10"/>
      <c r="I59" s="10">
        <f t="shared" si="1"/>
        <v>0</v>
      </c>
      <c r="J59" s="10"/>
      <c r="K59" s="10">
        <f t="shared" si="2"/>
        <v>0</v>
      </c>
      <c r="L59" s="10">
        <f t="shared" si="3"/>
        <v>0</v>
      </c>
    </row>
    <row r="60" spans="1:12" x14ac:dyDescent="0.3">
      <c r="A60" s="2"/>
      <c r="B60" s="17" t="s">
        <v>686</v>
      </c>
      <c r="C60" s="18" t="s">
        <v>25</v>
      </c>
      <c r="D60" s="19"/>
      <c r="E60" s="19">
        <v>13.3</v>
      </c>
      <c r="F60" s="10"/>
      <c r="G60" s="10">
        <f t="shared" si="0"/>
        <v>0</v>
      </c>
      <c r="H60" s="10"/>
      <c r="I60" s="10">
        <f t="shared" si="1"/>
        <v>0</v>
      </c>
      <c r="J60" s="10"/>
      <c r="K60" s="10">
        <f t="shared" si="2"/>
        <v>0</v>
      </c>
      <c r="L60" s="10">
        <f t="shared" si="3"/>
        <v>0</v>
      </c>
    </row>
    <row r="61" spans="1:12" x14ac:dyDescent="0.3">
      <c r="A61" s="2">
        <v>10</v>
      </c>
      <c r="B61" s="14" t="s">
        <v>703</v>
      </c>
      <c r="C61" s="2" t="s">
        <v>773</v>
      </c>
      <c r="D61" s="15"/>
      <c r="E61" s="15">
        <v>1</v>
      </c>
      <c r="F61" s="10"/>
      <c r="G61" s="10">
        <f t="shared" si="0"/>
        <v>0</v>
      </c>
      <c r="H61" s="10"/>
      <c r="I61" s="10">
        <f t="shared" si="1"/>
        <v>0</v>
      </c>
      <c r="J61" s="10"/>
      <c r="K61" s="10">
        <f t="shared" si="2"/>
        <v>0</v>
      </c>
      <c r="L61" s="10">
        <f t="shared" si="3"/>
        <v>0</v>
      </c>
    </row>
    <row r="62" spans="1:12" x14ac:dyDescent="0.3">
      <c r="A62" s="2"/>
      <c r="B62" s="17" t="s">
        <v>13</v>
      </c>
      <c r="C62" s="18" t="s">
        <v>773</v>
      </c>
      <c r="D62" s="19"/>
      <c r="E62" s="19">
        <v>1</v>
      </c>
      <c r="F62" s="10"/>
      <c r="G62" s="10">
        <f t="shared" si="0"/>
        <v>0</v>
      </c>
      <c r="H62" s="10"/>
      <c r="I62" s="10">
        <f t="shared" si="1"/>
        <v>0</v>
      </c>
      <c r="J62" s="10"/>
      <c r="K62" s="10">
        <f t="shared" si="2"/>
        <v>0</v>
      </c>
      <c r="L62" s="10">
        <f t="shared" si="3"/>
        <v>0</v>
      </c>
    </row>
    <row r="63" spans="1:12" x14ac:dyDescent="0.3">
      <c r="A63" s="2"/>
      <c r="B63" s="17" t="s">
        <v>685</v>
      </c>
      <c r="C63" s="18" t="s">
        <v>25</v>
      </c>
      <c r="D63" s="19"/>
      <c r="E63" s="19">
        <v>16.7</v>
      </c>
      <c r="F63" s="10"/>
      <c r="G63" s="10">
        <f t="shared" si="0"/>
        <v>0</v>
      </c>
      <c r="H63" s="10"/>
      <c r="I63" s="10">
        <f t="shared" si="1"/>
        <v>0</v>
      </c>
      <c r="J63" s="10"/>
      <c r="K63" s="10">
        <f t="shared" si="2"/>
        <v>0</v>
      </c>
      <c r="L63" s="10">
        <f t="shared" si="3"/>
        <v>0</v>
      </c>
    </row>
    <row r="64" spans="1:12" x14ac:dyDescent="0.3">
      <c r="A64" s="2"/>
      <c r="B64" s="17" t="s">
        <v>703</v>
      </c>
      <c r="C64" s="18" t="s">
        <v>773</v>
      </c>
      <c r="D64" s="19"/>
      <c r="E64" s="19">
        <v>1</v>
      </c>
      <c r="F64" s="10"/>
      <c r="G64" s="10">
        <f t="shared" si="0"/>
        <v>0</v>
      </c>
      <c r="H64" s="10"/>
      <c r="I64" s="10">
        <f t="shared" si="1"/>
        <v>0</v>
      </c>
      <c r="J64" s="10"/>
      <c r="K64" s="10">
        <f t="shared" si="2"/>
        <v>0</v>
      </c>
      <c r="L64" s="10">
        <f t="shared" si="3"/>
        <v>0</v>
      </c>
    </row>
    <row r="65" spans="1:14" x14ac:dyDescent="0.3">
      <c r="A65" s="2"/>
      <c r="B65" s="17" t="s">
        <v>686</v>
      </c>
      <c r="C65" s="18" t="s">
        <v>25</v>
      </c>
      <c r="D65" s="19"/>
      <c r="E65" s="19">
        <v>13.3</v>
      </c>
      <c r="F65" s="10"/>
      <c r="G65" s="10">
        <f t="shared" si="0"/>
        <v>0</v>
      </c>
      <c r="H65" s="10"/>
      <c r="I65" s="10">
        <f t="shared" si="1"/>
        <v>0</v>
      </c>
      <c r="J65" s="10"/>
      <c r="K65" s="10">
        <f t="shared" si="2"/>
        <v>0</v>
      </c>
      <c r="L65" s="10">
        <f t="shared" si="3"/>
        <v>0</v>
      </c>
    </row>
    <row r="66" spans="1:14" x14ac:dyDescent="0.3">
      <c r="A66" s="2">
        <v>11</v>
      </c>
      <c r="B66" s="14" t="s">
        <v>704</v>
      </c>
      <c r="C66" s="2" t="s">
        <v>773</v>
      </c>
      <c r="D66" s="15"/>
      <c r="E66" s="15">
        <v>1</v>
      </c>
      <c r="F66" s="10"/>
      <c r="G66" s="10">
        <f t="shared" si="0"/>
        <v>0</v>
      </c>
      <c r="H66" s="10"/>
      <c r="I66" s="10">
        <f t="shared" si="1"/>
        <v>0</v>
      </c>
      <c r="J66" s="10"/>
      <c r="K66" s="10">
        <f t="shared" si="2"/>
        <v>0</v>
      </c>
      <c r="L66" s="10">
        <f t="shared" si="3"/>
        <v>0</v>
      </c>
    </row>
    <row r="67" spans="1:14" x14ac:dyDescent="0.3">
      <c r="A67" s="2"/>
      <c r="B67" s="17" t="s">
        <v>13</v>
      </c>
      <c r="C67" s="18" t="s">
        <v>773</v>
      </c>
      <c r="D67" s="19"/>
      <c r="E67" s="19">
        <v>1</v>
      </c>
      <c r="F67" s="10"/>
      <c r="G67" s="10">
        <f t="shared" si="0"/>
        <v>0</v>
      </c>
      <c r="H67" s="10"/>
      <c r="I67" s="10">
        <f t="shared" si="1"/>
        <v>0</v>
      </c>
      <c r="J67" s="10"/>
      <c r="K67" s="10">
        <f t="shared" si="2"/>
        <v>0</v>
      </c>
      <c r="L67" s="10">
        <f t="shared" si="3"/>
        <v>0</v>
      </c>
    </row>
    <row r="68" spans="1:14" x14ac:dyDescent="0.3">
      <c r="A68" s="2"/>
      <c r="B68" s="17" t="s">
        <v>685</v>
      </c>
      <c r="C68" s="18" t="s">
        <v>25</v>
      </c>
      <c r="D68" s="27"/>
      <c r="E68" s="19">
        <v>16.7</v>
      </c>
      <c r="F68" s="10"/>
      <c r="G68" s="10">
        <f t="shared" si="0"/>
        <v>0</v>
      </c>
      <c r="H68" s="10"/>
      <c r="I68" s="10">
        <f t="shared" si="1"/>
        <v>0</v>
      </c>
      <c r="J68" s="10"/>
      <c r="K68" s="10">
        <f t="shared" si="2"/>
        <v>0</v>
      </c>
      <c r="L68" s="10">
        <f t="shared" si="3"/>
        <v>0</v>
      </c>
    </row>
    <row r="69" spans="1:14" x14ac:dyDescent="0.3">
      <c r="A69" s="2"/>
      <c r="B69" s="17" t="s">
        <v>704</v>
      </c>
      <c r="C69" s="18" t="s">
        <v>773</v>
      </c>
      <c r="D69" s="19"/>
      <c r="E69" s="19">
        <v>1</v>
      </c>
      <c r="F69" s="10"/>
      <c r="G69" s="10">
        <f t="shared" si="0"/>
        <v>0</v>
      </c>
      <c r="H69" s="10"/>
      <c r="I69" s="10">
        <f t="shared" si="1"/>
        <v>0</v>
      </c>
      <c r="J69" s="10"/>
      <c r="K69" s="10">
        <f t="shared" si="2"/>
        <v>0</v>
      </c>
      <c r="L69" s="10">
        <f t="shared" si="3"/>
        <v>0</v>
      </c>
      <c r="N69" s="9"/>
    </row>
    <row r="70" spans="1:14" x14ac:dyDescent="0.3">
      <c r="A70" s="2"/>
      <c r="B70" s="17" t="s">
        <v>686</v>
      </c>
      <c r="C70" s="18" t="s">
        <v>25</v>
      </c>
      <c r="D70" s="27"/>
      <c r="E70" s="19">
        <v>13.3</v>
      </c>
      <c r="F70" s="10"/>
      <c r="G70" s="10">
        <f t="shared" si="0"/>
        <v>0</v>
      </c>
      <c r="H70" s="10"/>
      <c r="I70" s="10">
        <f t="shared" si="1"/>
        <v>0</v>
      </c>
      <c r="J70" s="10"/>
      <c r="K70" s="10">
        <f t="shared" si="2"/>
        <v>0</v>
      </c>
      <c r="L70" s="10">
        <f t="shared" si="3"/>
        <v>0</v>
      </c>
    </row>
    <row r="71" spans="1:14" x14ac:dyDescent="0.3">
      <c r="A71" s="2">
        <v>12</v>
      </c>
      <c r="B71" s="14" t="s">
        <v>705</v>
      </c>
      <c r="C71" s="2" t="s">
        <v>773</v>
      </c>
      <c r="D71" s="32"/>
      <c r="E71" s="15">
        <v>1</v>
      </c>
      <c r="F71" s="10"/>
      <c r="G71" s="10">
        <f t="shared" si="0"/>
        <v>0</v>
      </c>
      <c r="H71" s="10"/>
      <c r="I71" s="10">
        <f t="shared" si="1"/>
        <v>0</v>
      </c>
      <c r="J71" s="10"/>
      <c r="K71" s="10">
        <f t="shared" si="2"/>
        <v>0</v>
      </c>
      <c r="L71" s="10">
        <f t="shared" si="3"/>
        <v>0</v>
      </c>
    </row>
    <row r="72" spans="1:14" x14ac:dyDescent="0.3">
      <c r="A72" s="2"/>
      <c r="B72" s="17" t="s">
        <v>13</v>
      </c>
      <c r="C72" s="18" t="s">
        <v>773</v>
      </c>
      <c r="D72" s="27"/>
      <c r="E72" s="19">
        <v>1</v>
      </c>
      <c r="F72" s="10"/>
      <c r="G72" s="10">
        <f t="shared" si="0"/>
        <v>0</v>
      </c>
      <c r="H72" s="10"/>
      <c r="I72" s="10">
        <f t="shared" si="1"/>
        <v>0</v>
      </c>
      <c r="J72" s="10"/>
      <c r="K72" s="10">
        <f t="shared" si="2"/>
        <v>0</v>
      </c>
      <c r="L72" s="10">
        <f t="shared" si="3"/>
        <v>0</v>
      </c>
    </row>
    <row r="73" spans="1:14" x14ac:dyDescent="0.3">
      <c r="A73" s="2"/>
      <c r="B73" s="17" t="s">
        <v>685</v>
      </c>
      <c r="C73" s="18" t="s">
        <v>25</v>
      </c>
      <c r="D73" s="19"/>
      <c r="E73" s="19">
        <v>16.7</v>
      </c>
      <c r="F73" s="10"/>
      <c r="G73" s="10">
        <f t="shared" si="0"/>
        <v>0</v>
      </c>
      <c r="H73" s="10"/>
      <c r="I73" s="10">
        <f t="shared" si="1"/>
        <v>0</v>
      </c>
      <c r="J73" s="10"/>
      <c r="K73" s="10">
        <f t="shared" si="2"/>
        <v>0</v>
      </c>
      <c r="L73" s="10">
        <f t="shared" si="3"/>
        <v>0</v>
      </c>
    </row>
    <row r="74" spans="1:14" x14ac:dyDescent="0.3">
      <c r="A74" s="2"/>
      <c r="B74" s="17" t="s">
        <v>705</v>
      </c>
      <c r="C74" s="18" t="s">
        <v>773</v>
      </c>
      <c r="D74" s="19"/>
      <c r="E74" s="19">
        <v>1</v>
      </c>
      <c r="F74" s="10"/>
      <c r="G74" s="10">
        <f t="shared" si="0"/>
        <v>0</v>
      </c>
      <c r="H74" s="10"/>
      <c r="I74" s="10">
        <f t="shared" si="1"/>
        <v>0</v>
      </c>
      <c r="J74" s="10"/>
      <c r="K74" s="10">
        <f t="shared" si="2"/>
        <v>0</v>
      </c>
      <c r="L74" s="10">
        <f t="shared" si="3"/>
        <v>0</v>
      </c>
    </row>
    <row r="75" spans="1:14" x14ac:dyDescent="0.3">
      <c r="A75" s="2"/>
      <c r="B75" s="17" t="s">
        <v>686</v>
      </c>
      <c r="C75" s="18" t="s">
        <v>25</v>
      </c>
      <c r="D75" s="19"/>
      <c r="E75" s="19">
        <v>13.3</v>
      </c>
      <c r="F75" s="10"/>
      <c r="G75" s="10">
        <f t="shared" si="0"/>
        <v>0</v>
      </c>
      <c r="H75" s="10"/>
      <c r="I75" s="10">
        <f t="shared" si="1"/>
        <v>0</v>
      </c>
      <c r="J75" s="10"/>
      <c r="K75" s="10">
        <f t="shared" si="2"/>
        <v>0</v>
      </c>
      <c r="L75" s="10">
        <f t="shared" si="3"/>
        <v>0</v>
      </c>
    </row>
    <row r="76" spans="1:14" x14ac:dyDescent="0.3">
      <c r="A76" s="2">
        <v>13</v>
      </c>
      <c r="B76" s="14" t="s">
        <v>696</v>
      </c>
      <c r="C76" s="2" t="s">
        <v>773</v>
      </c>
      <c r="D76" s="15"/>
      <c r="E76" s="15">
        <v>7</v>
      </c>
      <c r="F76" s="10"/>
      <c r="G76" s="10">
        <f t="shared" si="0"/>
        <v>0</v>
      </c>
      <c r="H76" s="10"/>
      <c r="I76" s="10">
        <f t="shared" si="1"/>
        <v>0</v>
      </c>
      <c r="J76" s="10"/>
      <c r="K76" s="10">
        <f t="shared" si="2"/>
        <v>0</v>
      </c>
      <c r="L76" s="10">
        <f t="shared" si="3"/>
        <v>0</v>
      </c>
    </row>
    <row r="77" spans="1:14" x14ac:dyDescent="0.3">
      <c r="A77" s="2"/>
      <c r="B77" s="17" t="s">
        <v>13</v>
      </c>
      <c r="C77" s="18" t="s">
        <v>773</v>
      </c>
      <c r="D77" s="19"/>
      <c r="E77" s="19">
        <v>7</v>
      </c>
      <c r="F77" s="10"/>
      <c r="G77" s="10">
        <f t="shared" si="0"/>
        <v>0</v>
      </c>
      <c r="H77" s="10"/>
      <c r="I77" s="10">
        <f t="shared" si="1"/>
        <v>0</v>
      </c>
      <c r="J77" s="10"/>
      <c r="K77" s="10">
        <f t="shared" si="2"/>
        <v>0</v>
      </c>
      <c r="L77" s="10">
        <f t="shared" si="3"/>
        <v>0</v>
      </c>
    </row>
    <row r="78" spans="1:14" x14ac:dyDescent="0.3">
      <c r="A78" s="2"/>
      <c r="B78" s="17" t="s">
        <v>685</v>
      </c>
      <c r="C78" s="18" t="s">
        <v>25</v>
      </c>
      <c r="D78" s="19"/>
      <c r="E78" s="19">
        <v>34.93</v>
      </c>
      <c r="F78" s="10"/>
      <c r="G78" s="10">
        <f t="shared" si="0"/>
        <v>0</v>
      </c>
      <c r="H78" s="10"/>
      <c r="I78" s="10">
        <f t="shared" si="1"/>
        <v>0</v>
      </c>
      <c r="J78" s="10"/>
      <c r="K78" s="10">
        <f t="shared" si="2"/>
        <v>0</v>
      </c>
      <c r="L78" s="10">
        <f t="shared" si="3"/>
        <v>0</v>
      </c>
    </row>
    <row r="79" spans="1:14" x14ac:dyDescent="0.3">
      <c r="A79" s="2"/>
      <c r="B79" s="17" t="s">
        <v>696</v>
      </c>
      <c r="C79" s="18" t="s">
        <v>773</v>
      </c>
      <c r="D79" s="19"/>
      <c r="E79" s="19">
        <v>7</v>
      </c>
      <c r="F79" s="10"/>
      <c r="G79" s="10">
        <f t="shared" si="0"/>
        <v>0</v>
      </c>
      <c r="H79" s="10"/>
      <c r="I79" s="10">
        <f t="shared" si="1"/>
        <v>0</v>
      </c>
      <c r="J79" s="10"/>
      <c r="K79" s="10">
        <f t="shared" si="2"/>
        <v>0</v>
      </c>
      <c r="L79" s="10">
        <f t="shared" si="3"/>
        <v>0</v>
      </c>
    </row>
    <row r="80" spans="1:14" x14ac:dyDescent="0.3">
      <c r="A80" s="2"/>
      <c r="B80" s="17" t="s">
        <v>697</v>
      </c>
      <c r="C80" s="18" t="s">
        <v>72</v>
      </c>
      <c r="D80" s="19"/>
      <c r="E80" s="19">
        <v>7</v>
      </c>
      <c r="F80" s="10"/>
      <c r="G80" s="10">
        <f t="shared" si="0"/>
        <v>0</v>
      </c>
      <c r="H80" s="10"/>
      <c r="I80" s="10">
        <f t="shared" si="1"/>
        <v>0</v>
      </c>
      <c r="J80" s="10"/>
      <c r="K80" s="10">
        <f t="shared" si="2"/>
        <v>0</v>
      </c>
      <c r="L80" s="10">
        <f t="shared" si="3"/>
        <v>0</v>
      </c>
    </row>
    <row r="81" spans="1:14" x14ac:dyDescent="0.3">
      <c r="A81" s="2"/>
      <c r="B81" s="17" t="s">
        <v>686</v>
      </c>
      <c r="C81" s="18" t="s">
        <v>25</v>
      </c>
      <c r="D81" s="19"/>
      <c r="E81" s="19">
        <v>88.899999999999991</v>
      </c>
      <c r="F81" s="10"/>
      <c r="G81" s="10">
        <f t="shared" si="0"/>
        <v>0</v>
      </c>
      <c r="H81" s="10"/>
      <c r="I81" s="10">
        <f t="shared" si="1"/>
        <v>0</v>
      </c>
      <c r="J81" s="10"/>
      <c r="K81" s="10">
        <f t="shared" si="2"/>
        <v>0</v>
      </c>
      <c r="L81" s="10">
        <f t="shared" si="3"/>
        <v>0</v>
      </c>
    </row>
    <row r="82" spans="1:14" x14ac:dyDescent="0.3">
      <c r="A82" s="2">
        <v>14</v>
      </c>
      <c r="B82" s="14" t="s">
        <v>706</v>
      </c>
      <c r="C82" s="2" t="s">
        <v>773</v>
      </c>
      <c r="D82" s="15"/>
      <c r="E82" s="15">
        <v>1</v>
      </c>
      <c r="F82" s="10"/>
      <c r="G82" s="10">
        <f t="shared" si="0"/>
        <v>0</v>
      </c>
      <c r="H82" s="10"/>
      <c r="I82" s="10">
        <f t="shared" si="1"/>
        <v>0</v>
      </c>
      <c r="J82" s="10"/>
      <c r="K82" s="10">
        <f t="shared" si="2"/>
        <v>0</v>
      </c>
      <c r="L82" s="10">
        <f t="shared" si="3"/>
        <v>0</v>
      </c>
    </row>
    <row r="83" spans="1:14" x14ac:dyDescent="0.3">
      <c r="A83" s="2"/>
      <c r="B83" s="17" t="s">
        <v>13</v>
      </c>
      <c r="C83" s="18" t="s">
        <v>773</v>
      </c>
      <c r="D83" s="19"/>
      <c r="E83" s="19">
        <v>1</v>
      </c>
      <c r="F83" s="10"/>
      <c r="G83" s="10">
        <f t="shared" si="0"/>
        <v>0</v>
      </c>
      <c r="H83" s="10"/>
      <c r="I83" s="10">
        <f t="shared" si="1"/>
        <v>0</v>
      </c>
      <c r="J83" s="10"/>
      <c r="K83" s="10">
        <f t="shared" si="2"/>
        <v>0</v>
      </c>
      <c r="L83" s="10">
        <f t="shared" si="3"/>
        <v>0</v>
      </c>
    </row>
    <row r="84" spans="1:14" x14ac:dyDescent="0.3">
      <c r="A84" s="2"/>
      <c r="B84" s="17" t="s">
        <v>685</v>
      </c>
      <c r="C84" s="18" t="s">
        <v>25</v>
      </c>
      <c r="D84" s="19"/>
      <c r="E84" s="19">
        <v>22.3</v>
      </c>
      <c r="F84" s="10"/>
      <c r="G84" s="10">
        <f t="shared" si="0"/>
        <v>0</v>
      </c>
      <c r="H84" s="10"/>
      <c r="I84" s="10">
        <f t="shared" si="1"/>
        <v>0</v>
      </c>
      <c r="J84" s="10"/>
      <c r="K84" s="10">
        <f t="shared" si="2"/>
        <v>0</v>
      </c>
      <c r="L84" s="10">
        <f t="shared" si="3"/>
        <v>0</v>
      </c>
    </row>
    <row r="85" spans="1:14" x14ac:dyDescent="0.3">
      <c r="A85" s="2"/>
      <c r="B85" s="17" t="s">
        <v>707</v>
      </c>
      <c r="C85" s="18" t="s">
        <v>773</v>
      </c>
      <c r="D85" s="19"/>
      <c r="E85" s="19">
        <v>1</v>
      </c>
      <c r="F85" s="10"/>
      <c r="G85" s="10">
        <f t="shared" si="0"/>
        <v>0</v>
      </c>
      <c r="H85" s="10"/>
      <c r="I85" s="10">
        <f t="shared" si="1"/>
        <v>0</v>
      </c>
      <c r="J85" s="10"/>
      <c r="K85" s="10">
        <f t="shared" si="2"/>
        <v>0</v>
      </c>
      <c r="L85" s="10">
        <f t="shared" si="3"/>
        <v>0</v>
      </c>
    </row>
    <row r="86" spans="1:14" x14ac:dyDescent="0.3">
      <c r="A86" s="2"/>
      <c r="B86" s="17" t="s">
        <v>686</v>
      </c>
      <c r="C86" s="18" t="s">
        <v>25</v>
      </c>
      <c r="D86" s="19"/>
      <c r="E86" s="19">
        <v>28</v>
      </c>
      <c r="F86" s="10"/>
      <c r="G86" s="10">
        <f t="shared" si="0"/>
        <v>0</v>
      </c>
      <c r="H86" s="10"/>
      <c r="I86" s="10">
        <f t="shared" si="1"/>
        <v>0</v>
      </c>
      <c r="J86" s="10"/>
      <c r="K86" s="10">
        <f t="shared" si="2"/>
        <v>0</v>
      </c>
      <c r="L86" s="10">
        <f t="shared" si="3"/>
        <v>0</v>
      </c>
    </row>
    <row r="87" spans="1:14" x14ac:dyDescent="0.3">
      <c r="A87" s="11"/>
      <c r="B87" s="11" t="s">
        <v>683</v>
      </c>
      <c r="C87" s="4"/>
      <c r="D87" s="12"/>
      <c r="E87" s="12"/>
      <c r="F87" s="13"/>
      <c r="G87" s="13">
        <f t="shared" si="0"/>
        <v>0</v>
      </c>
      <c r="H87" s="13"/>
      <c r="I87" s="13">
        <f t="shared" si="1"/>
        <v>0</v>
      </c>
      <c r="J87" s="13"/>
      <c r="K87" s="13">
        <f t="shared" si="2"/>
        <v>0</v>
      </c>
      <c r="L87" s="13">
        <f t="shared" si="3"/>
        <v>0</v>
      </c>
    </row>
    <row r="88" spans="1:14" x14ac:dyDescent="0.3">
      <c r="A88" s="2">
        <v>1</v>
      </c>
      <c r="B88" s="14" t="s">
        <v>708</v>
      </c>
      <c r="C88" s="2" t="s">
        <v>12</v>
      </c>
      <c r="D88" s="15"/>
      <c r="E88" s="15">
        <v>275</v>
      </c>
      <c r="F88" s="10"/>
      <c r="G88" s="10">
        <f t="shared" si="0"/>
        <v>0</v>
      </c>
      <c r="H88" s="10"/>
      <c r="I88" s="10">
        <f t="shared" si="1"/>
        <v>0</v>
      </c>
      <c r="J88" s="10"/>
      <c r="K88" s="10">
        <f t="shared" si="2"/>
        <v>0</v>
      </c>
      <c r="L88" s="10">
        <f t="shared" si="3"/>
        <v>0</v>
      </c>
    </row>
    <row r="89" spans="1:14" x14ac:dyDescent="0.3">
      <c r="A89" s="2"/>
      <c r="B89" s="17" t="s">
        <v>13</v>
      </c>
      <c r="C89" s="18" t="s">
        <v>12</v>
      </c>
      <c r="D89" s="19"/>
      <c r="E89" s="19">
        <v>275</v>
      </c>
      <c r="F89" s="10"/>
      <c r="G89" s="10">
        <f t="shared" si="0"/>
        <v>0</v>
      </c>
      <c r="H89" s="10"/>
      <c r="I89" s="10">
        <f t="shared" si="1"/>
        <v>0</v>
      </c>
      <c r="J89" s="10"/>
      <c r="K89" s="10">
        <f t="shared" si="2"/>
        <v>0</v>
      </c>
      <c r="L89" s="10">
        <f t="shared" si="3"/>
        <v>0</v>
      </c>
    </row>
    <row r="90" spans="1:14" x14ac:dyDescent="0.3">
      <c r="A90" s="2"/>
      <c r="B90" s="17" t="s">
        <v>685</v>
      </c>
      <c r="C90" s="18" t="s">
        <v>25</v>
      </c>
      <c r="D90" s="19"/>
      <c r="E90" s="19">
        <v>2.75</v>
      </c>
      <c r="F90" s="10"/>
      <c r="G90" s="10">
        <f t="shared" si="0"/>
        <v>0</v>
      </c>
      <c r="H90" s="10"/>
      <c r="I90" s="10">
        <f t="shared" si="1"/>
        <v>0</v>
      </c>
      <c r="J90" s="10"/>
      <c r="K90" s="10">
        <f t="shared" si="2"/>
        <v>0</v>
      </c>
      <c r="L90" s="10">
        <f t="shared" si="3"/>
        <v>0</v>
      </c>
    </row>
    <row r="91" spans="1:14" x14ac:dyDescent="0.3">
      <c r="A91" s="2"/>
      <c r="B91" s="17" t="s">
        <v>709</v>
      </c>
      <c r="C91" s="18" t="s">
        <v>12</v>
      </c>
      <c r="D91" s="19"/>
      <c r="E91" s="19">
        <v>60</v>
      </c>
      <c r="F91" s="10"/>
      <c r="G91" s="10">
        <f t="shared" si="0"/>
        <v>0</v>
      </c>
      <c r="H91" s="10"/>
      <c r="I91" s="10">
        <f t="shared" si="1"/>
        <v>0</v>
      </c>
      <c r="J91" s="10"/>
      <c r="K91" s="10">
        <f t="shared" si="2"/>
        <v>0</v>
      </c>
      <c r="L91" s="10">
        <f t="shared" si="3"/>
        <v>0</v>
      </c>
    </row>
    <row r="92" spans="1:14" x14ac:dyDescent="0.3">
      <c r="A92" s="2"/>
      <c r="B92" s="17" t="s">
        <v>710</v>
      </c>
      <c r="C92" s="18" t="s">
        <v>12</v>
      </c>
      <c r="D92" s="27"/>
      <c r="E92" s="19">
        <v>95</v>
      </c>
      <c r="F92" s="10"/>
      <c r="G92" s="10">
        <f t="shared" si="0"/>
        <v>0</v>
      </c>
      <c r="H92" s="10"/>
      <c r="I92" s="10">
        <f t="shared" si="1"/>
        <v>0</v>
      </c>
      <c r="J92" s="10"/>
      <c r="K92" s="10">
        <f t="shared" si="2"/>
        <v>0</v>
      </c>
      <c r="L92" s="10">
        <f t="shared" si="3"/>
        <v>0</v>
      </c>
    </row>
    <row r="93" spans="1:14" x14ac:dyDescent="0.3">
      <c r="A93" s="2"/>
      <c r="B93" s="17" t="s">
        <v>711</v>
      </c>
      <c r="C93" s="18" t="s">
        <v>12</v>
      </c>
      <c r="D93" s="19"/>
      <c r="E93" s="19">
        <v>30</v>
      </c>
      <c r="F93" s="10"/>
      <c r="G93" s="10">
        <f t="shared" si="0"/>
        <v>0</v>
      </c>
      <c r="H93" s="10"/>
      <c r="I93" s="10">
        <f t="shared" si="1"/>
        <v>0</v>
      </c>
      <c r="J93" s="10"/>
      <c r="K93" s="10">
        <f t="shared" si="2"/>
        <v>0</v>
      </c>
      <c r="L93" s="10">
        <f t="shared" si="3"/>
        <v>0</v>
      </c>
      <c r="N93" s="9"/>
    </row>
    <row r="94" spans="1:14" x14ac:dyDescent="0.3">
      <c r="A94" s="2"/>
      <c r="B94" s="17" t="s">
        <v>712</v>
      </c>
      <c r="C94" s="18" t="s">
        <v>12</v>
      </c>
      <c r="D94" s="27"/>
      <c r="E94" s="19">
        <v>10</v>
      </c>
      <c r="F94" s="10"/>
      <c r="G94" s="10">
        <f t="shared" si="0"/>
        <v>0</v>
      </c>
      <c r="H94" s="10"/>
      <c r="I94" s="10">
        <f t="shared" si="1"/>
        <v>0</v>
      </c>
      <c r="J94" s="10"/>
      <c r="K94" s="10">
        <f t="shared" si="2"/>
        <v>0</v>
      </c>
      <c r="L94" s="10">
        <f t="shared" si="3"/>
        <v>0</v>
      </c>
    </row>
    <row r="95" spans="1:14" x14ac:dyDescent="0.3">
      <c r="A95" s="2"/>
      <c r="B95" s="17" t="s">
        <v>713</v>
      </c>
      <c r="C95" s="18" t="s">
        <v>12</v>
      </c>
      <c r="D95" s="27"/>
      <c r="E95" s="19">
        <v>80</v>
      </c>
      <c r="F95" s="10"/>
      <c r="G95" s="10">
        <f t="shared" si="0"/>
        <v>0</v>
      </c>
      <c r="H95" s="10"/>
      <c r="I95" s="10">
        <f t="shared" si="1"/>
        <v>0</v>
      </c>
      <c r="J95" s="10"/>
      <c r="K95" s="10">
        <f t="shared" si="2"/>
        <v>0</v>
      </c>
      <c r="L95" s="10">
        <f t="shared" si="3"/>
        <v>0</v>
      </c>
    </row>
    <row r="96" spans="1:14" x14ac:dyDescent="0.3">
      <c r="A96" s="2"/>
      <c r="B96" s="17" t="s">
        <v>714</v>
      </c>
      <c r="C96" s="18" t="s">
        <v>72</v>
      </c>
      <c r="D96" s="27"/>
      <c r="E96" s="19">
        <v>100</v>
      </c>
      <c r="F96" s="10"/>
      <c r="G96" s="10">
        <f t="shared" si="0"/>
        <v>0</v>
      </c>
      <c r="H96" s="10"/>
      <c r="I96" s="10">
        <f t="shared" si="1"/>
        <v>0</v>
      </c>
      <c r="J96" s="10"/>
      <c r="K96" s="10">
        <f t="shared" si="2"/>
        <v>0</v>
      </c>
      <c r="L96" s="10">
        <f t="shared" si="3"/>
        <v>0</v>
      </c>
    </row>
    <row r="97" spans="1:12" x14ac:dyDescent="0.3">
      <c r="A97" s="2"/>
      <c r="B97" s="17" t="s">
        <v>715</v>
      </c>
      <c r="C97" s="18" t="s">
        <v>25</v>
      </c>
      <c r="D97" s="19"/>
      <c r="E97" s="19">
        <v>8.25</v>
      </c>
      <c r="F97" s="10"/>
      <c r="G97" s="10">
        <f t="shared" si="0"/>
        <v>0</v>
      </c>
      <c r="H97" s="10"/>
      <c r="I97" s="10">
        <f t="shared" si="1"/>
        <v>0</v>
      </c>
      <c r="J97" s="10"/>
      <c r="K97" s="10">
        <f t="shared" si="2"/>
        <v>0</v>
      </c>
      <c r="L97" s="10">
        <f t="shared" si="3"/>
        <v>0</v>
      </c>
    </row>
    <row r="98" spans="1:12" x14ac:dyDescent="0.3">
      <c r="A98" s="2">
        <v>2</v>
      </c>
      <c r="B98" s="14" t="s">
        <v>716</v>
      </c>
      <c r="C98" s="2" t="s">
        <v>25</v>
      </c>
      <c r="D98" s="15"/>
      <c r="E98" s="15">
        <v>1</v>
      </c>
      <c r="F98" s="10"/>
      <c r="G98" s="10">
        <f t="shared" si="0"/>
        <v>0</v>
      </c>
      <c r="H98" s="10"/>
      <c r="I98" s="10">
        <f t="shared" si="1"/>
        <v>0</v>
      </c>
      <c r="J98" s="10"/>
      <c r="K98" s="10">
        <f t="shared" si="2"/>
        <v>0</v>
      </c>
      <c r="L98" s="10">
        <f t="shared" si="3"/>
        <v>0</v>
      </c>
    </row>
    <row r="99" spans="1:12" x14ac:dyDescent="0.3">
      <c r="A99" s="2">
        <v>3</v>
      </c>
      <c r="B99" s="14" t="s">
        <v>717</v>
      </c>
      <c r="C99" s="2" t="s">
        <v>47</v>
      </c>
      <c r="D99" s="15"/>
      <c r="E99" s="15">
        <v>100</v>
      </c>
      <c r="F99" s="10"/>
      <c r="G99" s="10">
        <f t="shared" si="0"/>
        <v>0</v>
      </c>
      <c r="H99" s="10"/>
      <c r="I99" s="10">
        <f t="shared" si="1"/>
        <v>0</v>
      </c>
      <c r="J99" s="10"/>
      <c r="K99" s="10">
        <f t="shared" si="2"/>
        <v>0</v>
      </c>
      <c r="L99" s="10">
        <f t="shared" si="3"/>
        <v>0</v>
      </c>
    </row>
    <row r="100" spans="1:12" x14ac:dyDescent="0.3">
      <c r="A100" s="2"/>
      <c r="B100" s="17" t="s">
        <v>13</v>
      </c>
      <c r="C100" s="18" t="s">
        <v>47</v>
      </c>
      <c r="D100" s="19"/>
      <c r="E100" s="19">
        <v>100</v>
      </c>
      <c r="F100" s="10"/>
      <c r="G100" s="10">
        <f t="shared" si="0"/>
        <v>0</v>
      </c>
      <c r="H100" s="10"/>
      <c r="I100" s="10">
        <f t="shared" si="1"/>
        <v>0</v>
      </c>
      <c r="J100" s="10"/>
      <c r="K100" s="10">
        <f t="shared" si="2"/>
        <v>0</v>
      </c>
      <c r="L100" s="10">
        <f t="shared" si="3"/>
        <v>0</v>
      </c>
    </row>
    <row r="101" spans="1:12" x14ac:dyDescent="0.3">
      <c r="A101" s="2"/>
      <c r="B101" s="17" t="s">
        <v>718</v>
      </c>
      <c r="C101" s="18" t="s">
        <v>47</v>
      </c>
      <c r="D101" s="19"/>
      <c r="E101" s="19">
        <v>100</v>
      </c>
      <c r="F101" s="10"/>
      <c r="G101" s="10">
        <f t="shared" si="0"/>
        <v>0</v>
      </c>
      <c r="H101" s="10"/>
      <c r="I101" s="10">
        <f t="shared" si="1"/>
        <v>0</v>
      </c>
      <c r="J101" s="10"/>
      <c r="K101" s="10">
        <f t="shared" si="2"/>
        <v>0</v>
      </c>
      <c r="L101" s="10">
        <f t="shared" si="3"/>
        <v>0</v>
      </c>
    </row>
    <row r="102" spans="1:12" x14ac:dyDescent="0.3">
      <c r="A102" s="2">
        <v>4</v>
      </c>
      <c r="B102" s="14" t="s">
        <v>719</v>
      </c>
      <c r="C102" s="2" t="s">
        <v>12</v>
      </c>
      <c r="D102" s="15"/>
      <c r="E102" s="15">
        <v>265</v>
      </c>
      <c r="F102" s="10"/>
      <c r="G102" s="10">
        <f t="shared" si="0"/>
        <v>0</v>
      </c>
      <c r="H102" s="10"/>
      <c r="I102" s="10">
        <f t="shared" si="1"/>
        <v>0</v>
      </c>
      <c r="J102" s="10"/>
      <c r="K102" s="10">
        <f t="shared" si="2"/>
        <v>0</v>
      </c>
      <c r="L102" s="10">
        <f t="shared" si="3"/>
        <v>0</v>
      </c>
    </row>
    <row r="103" spans="1:12" x14ac:dyDescent="0.3">
      <c r="A103" s="2"/>
      <c r="B103" s="17" t="s">
        <v>13</v>
      </c>
      <c r="C103" s="18" t="s">
        <v>12</v>
      </c>
      <c r="D103" s="19"/>
      <c r="E103" s="19">
        <v>265</v>
      </c>
      <c r="F103" s="10"/>
      <c r="G103" s="10">
        <f t="shared" si="0"/>
        <v>0</v>
      </c>
      <c r="H103" s="10"/>
      <c r="I103" s="10">
        <f t="shared" si="1"/>
        <v>0</v>
      </c>
      <c r="J103" s="10"/>
      <c r="K103" s="10">
        <f t="shared" si="2"/>
        <v>0</v>
      </c>
      <c r="L103" s="10">
        <f t="shared" si="3"/>
        <v>0</v>
      </c>
    </row>
    <row r="104" spans="1:12" x14ac:dyDescent="0.3">
      <c r="A104" s="2"/>
      <c r="B104" s="17" t="s">
        <v>720</v>
      </c>
      <c r="C104" s="18" t="s">
        <v>12</v>
      </c>
      <c r="D104" s="19"/>
      <c r="E104" s="19">
        <v>60</v>
      </c>
      <c r="F104" s="10"/>
      <c r="G104" s="10">
        <f t="shared" si="0"/>
        <v>0</v>
      </c>
      <c r="H104" s="10"/>
      <c r="I104" s="10">
        <f t="shared" si="1"/>
        <v>0</v>
      </c>
      <c r="J104" s="10"/>
      <c r="K104" s="10">
        <f t="shared" si="2"/>
        <v>0</v>
      </c>
      <c r="L104" s="10">
        <f t="shared" si="3"/>
        <v>0</v>
      </c>
    </row>
    <row r="105" spans="1:12" x14ac:dyDescent="0.3">
      <c r="A105" s="2"/>
      <c r="B105" s="17" t="s">
        <v>721</v>
      </c>
      <c r="C105" s="18" t="s">
        <v>12</v>
      </c>
      <c r="D105" s="19"/>
      <c r="E105" s="19">
        <v>85</v>
      </c>
      <c r="F105" s="10"/>
      <c r="G105" s="10">
        <f t="shared" si="0"/>
        <v>0</v>
      </c>
      <c r="H105" s="10"/>
      <c r="I105" s="10">
        <f t="shared" si="1"/>
        <v>0</v>
      </c>
      <c r="J105" s="10"/>
      <c r="K105" s="10">
        <f t="shared" si="2"/>
        <v>0</v>
      </c>
      <c r="L105" s="10">
        <f t="shared" si="3"/>
        <v>0</v>
      </c>
    </row>
    <row r="106" spans="1:12" x14ac:dyDescent="0.3">
      <c r="A106" s="2"/>
      <c r="B106" s="17" t="s">
        <v>722</v>
      </c>
      <c r="C106" s="18" t="s">
        <v>12</v>
      </c>
      <c r="D106" s="19"/>
      <c r="E106" s="19">
        <v>30</v>
      </c>
      <c r="F106" s="10"/>
      <c r="G106" s="10">
        <f t="shared" si="0"/>
        <v>0</v>
      </c>
      <c r="H106" s="10"/>
      <c r="I106" s="10">
        <f t="shared" si="1"/>
        <v>0</v>
      </c>
      <c r="J106" s="10"/>
      <c r="K106" s="10">
        <f t="shared" si="2"/>
        <v>0</v>
      </c>
      <c r="L106" s="10">
        <f t="shared" si="3"/>
        <v>0</v>
      </c>
    </row>
    <row r="107" spans="1:12" x14ac:dyDescent="0.3">
      <c r="A107" s="2"/>
      <c r="B107" s="17" t="s">
        <v>723</v>
      </c>
      <c r="C107" s="18" t="s">
        <v>12</v>
      </c>
      <c r="D107" s="19"/>
      <c r="E107" s="19">
        <v>10</v>
      </c>
      <c r="F107" s="10"/>
      <c r="G107" s="10">
        <f t="shared" si="0"/>
        <v>0</v>
      </c>
      <c r="H107" s="10"/>
      <c r="I107" s="10">
        <f t="shared" si="1"/>
        <v>0</v>
      </c>
      <c r="J107" s="10"/>
      <c r="K107" s="10">
        <f t="shared" si="2"/>
        <v>0</v>
      </c>
      <c r="L107" s="10">
        <f t="shared" si="3"/>
        <v>0</v>
      </c>
    </row>
    <row r="108" spans="1:12" x14ac:dyDescent="0.3">
      <c r="A108" s="2"/>
      <c r="B108" s="17" t="s">
        <v>724</v>
      </c>
      <c r="C108" s="18" t="s">
        <v>12</v>
      </c>
      <c r="D108" s="19"/>
      <c r="E108" s="19">
        <v>80</v>
      </c>
      <c r="F108" s="10"/>
      <c r="G108" s="10">
        <f t="shared" si="0"/>
        <v>0</v>
      </c>
      <c r="H108" s="10"/>
      <c r="I108" s="10">
        <f t="shared" si="1"/>
        <v>0</v>
      </c>
      <c r="J108" s="10"/>
      <c r="K108" s="10">
        <f t="shared" si="2"/>
        <v>0</v>
      </c>
      <c r="L108" s="10">
        <f t="shared" si="3"/>
        <v>0</v>
      </c>
    </row>
    <row r="109" spans="1:12" x14ac:dyDescent="0.3">
      <c r="A109" s="11"/>
      <c r="B109" s="11" t="s">
        <v>690</v>
      </c>
      <c r="C109" s="4"/>
      <c r="D109" s="12"/>
      <c r="E109" s="12"/>
      <c r="F109" s="13"/>
      <c r="G109" s="13">
        <f t="shared" si="0"/>
        <v>0</v>
      </c>
      <c r="H109" s="13"/>
      <c r="I109" s="13">
        <f t="shared" si="1"/>
        <v>0</v>
      </c>
      <c r="J109" s="13"/>
      <c r="K109" s="13">
        <f t="shared" si="2"/>
        <v>0</v>
      </c>
      <c r="L109" s="13">
        <f t="shared" si="3"/>
        <v>0</v>
      </c>
    </row>
    <row r="110" spans="1:12" x14ac:dyDescent="0.3">
      <c r="A110" s="2">
        <v>5</v>
      </c>
      <c r="B110" s="14" t="s">
        <v>725</v>
      </c>
      <c r="C110" s="2" t="s">
        <v>72</v>
      </c>
      <c r="D110" s="15"/>
      <c r="E110" s="15">
        <v>18</v>
      </c>
      <c r="F110" s="10"/>
      <c r="G110" s="10">
        <f t="shared" si="0"/>
        <v>0</v>
      </c>
      <c r="H110" s="10"/>
      <c r="I110" s="10">
        <f t="shared" si="1"/>
        <v>0</v>
      </c>
      <c r="J110" s="10"/>
      <c r="K110" s="10">
        <f t="shared" si="2"/>
        <v>0</v>
      </c>
      <c r="L110" s="10">
        <f t="shared" si="3"/>
        <v>0</v>
      </c>
    </row>
    <row r="111" spans="1:12" x14ac:dyDescent="0.3">
      <c r="A111" s="2"/>
      <c r="B111" s="17" t="s">
        <v>13</v>
      </c>
      <c r="C111" s="18" t="s">
        <v>72</v>
      </c>
      <c r="D111" s="27"/>
      <c r="E111" s="19">
        <v>18</v>
      </c>
      <c r="F111" s="10"/>
      <c r="G111" s="10">
        <f t="shared" si="0"/>
        <v>0</v>
      </c>
      <c r="H111" s="10"/>
      <c r="I111" s="10">
        <f t="shared" si="1"/>
        <v>0</v>
      </c>
      <c r="J111" s="10"/>
      <c r="K111" s="10">
        <f t="shared" si="2"/>
        <v>0</v>
      </c>
      <c r="L111" s="10">
        <f t="shared" si="3"/>
        <v>0</v>
      </c>
    </row>
    <row r="112" spans="1:12" x14ac:dyDescent="0.3">
      <c r="A112" s="2"/>
      <c r="B112" s="17" t="s">
        <v>685</v>
      </c>
      <c r="C112" s="18" t="s">
        <v>25</v>
      </c>
      <c r="D112" s="27"/>
      <c r="E112" s="19">
        <v>2.34</v>
      </c>
      <c r="F112" s="10"/>
      <c r="G112" s="10">
        <f t="shared" si="0"/>
        <v>0</v>
      </c>
      <c r="H112" s="10"/>
      <c r="I112" s="10">
        <f t="shared" si="1"/>
        <v>0</v>
      </c>
      <c r="J112" s="10"/>
      <c r="K112" s="10">
        <f t="shared" si="2"/>
        <v>0</v>
      </c>
      <c r="L112" s="10">
        <f t="shared" si="3"/>
        <v>0</v>
      </c>
    </row>
    <row r="113" spans="1:12" x14ac:dyDescent="0.3">
      <c r="A113" s="2"/>
      <c r="B113" s="17" t="s">
        <v>726</v>
      </c>
      <c r="C113" s="18" t="s">
        <v>72</v>
      </c>
      <c r="D113" s="19"/>
      <c r="E113" s="19">
        <v>4</v>
      </c>
      <c r="F113" s="10"/>
      <c r="G113" s="10">
        <f t="shared" si="0"/>
        <v>0</v>
      </c>
      <c r="H113" s="10"/>
      <c r="I113" s="10">
        <f t="shared" si="1"/>
        <v>0</v>
      </c>
      <c r="J113" s="10"/>
      <c r="K113" s="10">
        <f t="shared" si="2"/>
        <v>0</v>
      </c>
      <c r="L113" s="10">
        <f t="shared" si="3"/>
        <v>0</v>
      </c>
    </row>
    <row r="114" spans="1:12" x14ac:dyDescent="0.3">
      <c r="A114" s="2"/>
      <c r="B114" s="17" t="s">
        <v>727</v>
      </c>
      <c r="C114" s="18" t="s">
        <v>72</v>
      </c>
      <c r="D114" s="19"/>
      <c r="E114" s="19">
        <v>2</v>
      </c>
      <c r="F114" s="10"/>
      <c r="G114" s="10">
        <f t="shared" si="0"/>
        <v>0</v>
      </c>
      <c r="H114" s="10"/>
      <c r="I114" s="10">
        <f t="shared" si="1"/>
        <v>0</v>
      </c>
      <c r="J114" s="10"/>
      <c r="K114" s="10">
        <f t="shared" si="2"/>
        <v>0</v>
      </c>
      <c r="L114" s="10">
        <f t="shared" si="3"/>
        <v>0</v>
      </c>
    </row>
    <row r="115" spans="1:12" x14ac:dyDescent="0.3">
      <c r="A115" s="2"/>
      <c r="B115" s="17" t="s">
        <v>728</v>
      </c>
      <c r="C115" s="18" t="s">
        <v>72</v>
      </c>
      <c r="D115" s="19"/>
      <c r="E115" s="19">
        <v>8</v>
      </c>
      <c r="F115" s="10"/>
      <c r="G115" s="10">
        <f t="shared" si="0"/>
        <v>0</v>
      </c>
      <c r="H115" s="10"/>
      <c r="I115" s="10">
        <f t="shared" si="1"/>
        <v>0</v>
      </c>
      <c r="J115" s="10"/>
      <c r="K115" s="10">
        <f t="shared" si="2"/>
        <v>0</v>
      </c>
      <c r="L115" s="10">
        <f t="shared" si="3"/>
        <v>0</v>
      </c>
    </row>
    <row r="116" spans="1:12" x14ac:dyDescent="0.3">
      <c r="A116" s="2"/>
      <c r="B116" s="17" t="s">
        <v>729</v>
      </c>
      <c r="C116" s="18" t="s">
        <v>72</v>
      </c>
      <c r="D116" s="19"/>
      <c r="E116" s="19">
        <v>4</v>
      </c>
      <c r="F116" s="10"/>
      <c r="G116" s="10">
        <f t="shared" si="0"/>
        <v>0</v>
      </c>
      <c r="H116" s="10"/>
      <c r="I116" s="10">
        <f t="shared" si="1"/>
        <v>0</v>
      </c>
      <c r="J116" s="10"/>
      <c r="K116" s="10">
        <f t="shared" si="2"/>
        <v>0</v>
      </c>
      <c r="L116" s="10">
        <f t="shared" si="3"/>
        <v>0</v>
      </c>
    </row>
    <row r="117" spans="1:12" x14ac:dyDescent="0.3">
      <c r="A117" s="2"/>
      <c r="B117" s="17" t="s">
        <v>715</v>
      </c>
      <c r="C117" s="18" t="s">
        <v>25</v>
      </c>
      <c r="D117" s="19"/>
      <c r="E117" s="19">
        <v>1.2600000000000002</v>
      </c>
      <c r="F117" s="10"/>
      <c r="G117" s="10">
        <f t="shared" si="0"/>
        <v>0</v>
      </c>
      <c r="H117" s="10"/>
      <c r="I117" s="10">
        <f t="shared" si="1"/>
        <v>0</v>
      </c>
      <c r="J117" s="10"/>
      <c r="K117" s="10">
        <f t="shared" si="2"/>
        <v>0</v>
      </c>
      <c r="L117" s="10">
        <f t="shared" si="3"/>
        <v>0</v>
      </c>
    </row>
    <row r="118" spans="1:12" x14ac:dyDescent="0.3">
      <c r="A118" s="2">
        <v>6</v>
      </c>
      <c r="B118" s="14" t="s">
        <v>730</v>
      </c>
      <c r="C118" s="2" t="s">
        <v>12</v>
      </c>
      <c r="D118" s="32"/>
      <c r="E118" s="15">
        <v>240</v>
      </c>
      <c r="F118" s="10"/>
      <c r="G118" s="10">
        <f t="shared" si="0"/>
        <v>0</v>
      </c>
      <c r="H118" s="10"/>
      <c r="I118" s="10">
        <f t="shared" si="1"/>
        <v>0</v>
      </c>
      <c r="J118" s="10"/>
      <c r="K118" s="10">
        <f t="shared" si="2"/>
        <v>0</v>
      </c>
      <c r="L118" s="10">
        <f t="shared" si="3"/>
        <v>0</v>
      </c>
    </row>
    <row r="119" spans="1:12" x14ac:dyDescent="0.3">
      <c r="A119" s="2"/>
      <c r="B119" s="17" t="s">
        <v>13</v>
      </c>
      <c r="C119" s="18" t="s">
        <v>12</v>
      </c>
      <c r="D119" s="27"/>
      <c r="E119" s="19">
        <v>240</v>
      </c>
      <c r="F119" s="10"/>
      <c r="G119" s="10">
        <f t="shared" si="0"/>
        <v>0</v>
      </c>
      <c r="H119" s="10"/>
      <c r="I119" s="10">
        <f t="shared" si="1"/>
        <v>0</v>
      </c>
      <c r="J119" s="10"/>
      <c r="K119" s="10">
        <f t="shared" si="2"/>
        <v>0</v>
      </c>
      <c r="L119" s="10">
        <f t="shared" si="3"/>
        <v>0</v>
      </c>
    </row>
    <row r="120" spans="1:12" x14ac:dyDescent="0.3">
      <c r="A120" s="2"/>
      <c r="B120" s="17" t="s">
        <v>685</v>
      </c>
      <c r="C120" s="18" t="s">
        <v>25</v>
      </c>
      <c r="D120" s="27"/>
      <c r="E120" s="19">
        <v>9.5280000000000005</v>
      </c>
      <c r="F120" s="10"/>
      <c r="G120" s="10">
        <f t="shared" si="0"/>
        <v>0</v>
      </c>
      <c r="H120" s="10"/>
      <c r="I120" s="10">
        <f t="shared" si="1"/>
        <v>0</v>
      </c>
      <c r="J120" s="10"/>
      <c r="K120" s="10">
        <f t="shared" si="2"/>
        <v>0</v>
      </c>
      <c r="L120" s="10">
        <f t="shared" si="3"/>
        <v>0</v>
      </c>
    </row>
    <row r="121" spans="1:12" x14ac:dyDescent="0.3">
      <c r="A121" s="2"/>
      <c r="B121" s="17" t="s">
        <v>731</v>
      </c>
      <c r="C121" s="18" t="s">
        <v>12</v>
      </c>
      <c r="D121" s="19"/>
      <c r="E121" s="19">
        <v>40</v>
      </c>
      <c r="F121" s="10"/>
      <c r="G121" s="10">
        <f t="shared" si="0"/>
        <v>0</v>
      </c>
      <c r="H121" s="10"/>
      <c r="I121" s="10">
        <f t="shared" si="1"/>
        <v>0</v>
      </c>
      <c r="J121" s="10"/>
      <c r="K121" s="10">
        <f t="shared" si="2"/>
        <v>0</v>
      </c>
      <c r="L121" s="10">
        <f t="shared" si="3"/>
        <v>0</v>
      </c>
    </row>
    <row r="122" spans="1:12" x14ac:dyDescent="0.3">
      <c r="A122" s="2"/>
      <c r="B122" s="17" t="s">
        <v>732</v>
      </c>
      <c r="C122" s="18" t="s">
        <v>12</v>
      </c>
      <c r="D122" s="19"/>
      <c r="E122" s="19">
        <v>140</v>
      </c>
      <c r="F122" s="10"/>
      <c r="G122" s="10">
        <f t="shared" si="0"/>
        <v>0</v>
      </c>
      <c r="H122" s="10"/>
      <c r="I122" s="10">
        <f t="shared" si="1"/>
        <v>0</v>
      </c>
      <c r="J122" s="10"/>
      <c r="K122" s="10">
        <f t="shared" si="2"/>
        <v>0</v>
      </c>
      <c r="L122" s="10">
        <f t="shared" si="3"/>
        <v>0</v>
      </c>
    </row>
    <row r="123" spans="1:12" x14ac:dyDescent="0.3">
      <c r="A123" s="2"/>
      <c r="B123" s="17" t="s">
        <v>733</v>
      </c>
      <c r="C123" s="18" t="s">
        <v>12</v>
      </c>
      <c r="D123" s="19"/>
      <c r="E123" s="19">
        <v>60</v>
      </c>
      <c r="F123" s="10"/>
      <c r="G123" s="10">
        <f t="shared" si="0"/>
        <v>0</v>
      </c>
      <c r="H123" s="10"/>
      <c r="I123" s="10">
        <f t="shared" si="1"/>
        <v>0</v>
      </c>
      <c r="J123" s="10"/>
      <c r="K123" s="10">
        <f t="shared" si="2"/>
        <v>0</v>
      </c>
      <c r="L123" s="10">
        <f t="shared" si="3"/>
        <v>0</v>
      </c>
    </row>
    <row r="124" spans="1:12" x14ac:dyDescent="0.3">
      <c r="A124" s="2"/>
      <c r="B124" s="17" t="s">
        <v>734</v>
      </c>
      <c r="C124" s="18" t="s">
        <v>25</v>
      </c>
      <c r="D124" s="19"/>
      <c r="E124" s="19">
        <v>14.447999999999999</v>
      </c>
      <c r="F124" s="10"/>
      <c r="G124" s="10">
        <f t="shared" si="0"/>
        <v>0</v>
      </c>
      <c r="H124" s="10"/>
      <c r="I124" s="10">
        <f t="shared" si="1"/>
        <v>0</v>
      </c>
      <c r="J124" s="10"/>
      <c r="K124" s="10">
        <f t="shared" si="2"/>
        <v>0</v>
      </c>
      <c r="L124" s="10">
        <f t="shared" si="3"/>
        <v>0</v>
      </c>
    </row>
    <row r="125" spans="1:12" x14ac:dyDescent="0.3">
      <c r="A125" s="2">
        <v>7</v>
      </c>
      <c r="B125" s="14" t="s">
        <v>735</v>
      </c>
      <c r="C125" s="2" t="s">
        <v>12</v>
      </c>
      <c r="D125" s="15"/>
      <c r="E125" s="15">
        <v>40</v>
      </c>
      <c r="F125" s="10"/>
      <c r="G125" s="10">
        <f t="shared" si="0"/>
        <v>0</v>
      </c>
      <c r="H125" s="10"/>
      <c r="I125" s="10">
        <f t="shared" si="1"/>
        <v>0</v>
      </c>
      <c r="J125" s="10"/>
      <c r="K125" s="10">
        <f t="shared" si="2"/>
        <v>0</v>
      </c>
      <c r="L125" s="10">
        <f t="shared" si="3"/>
        <v>0</v>
      </c>
    </row>
    <row r="126" spans="1:12" x14ac:dyDescent="0.3">
      <c r="A126" s="2"/>
      <c r="B126" s="17" t="s">
        <v>13</v>
      </c>
      <c r="C126" s="18" t="s">
        <v>12</v>
      </c>
      <c r="D126" s="19"/>
      <c r="E126" s="19">
        <v>40</v>
      </c>
      <c r="F126" s="10"/>
      <c r="G126" s="10">
        <f t="shared" si="0"/>
        <v>0</v>
      </c>
      <c r="H126" s="10"/>
      <c r="I126" s="10">
        <f t="shared" si="1"/>
        <v>0</v>
      </c>
      <c r="J126" s="10"/>
      <c r="K126" s="10">
        <f t="shared" si="2"/>
        <v>0</v>
      </c>
      <c r="L126" s="10">
        <f t="shared" si="3"/>
        <v>0</v>
      </c>
    </row>
    <row r="127" spans="1:12" x14ac:dyDescent="0.3">
      <c r="A127" s="2"/>
      <c r="B127" s="17" t="s">
        <v>685</v>
      </c>
      <c r="C127" s="18" t="s">
        <v>25</v>
      </c>
      <c r="D127" s="27"/>
      <c r="E127" s="19">
        <v>8.3999999999999991E-2</v>
      </c>
      <c r="F127" s="10"/>
      <c r="G127" s="10">
        <f t="shared" si="0"/>
        <v>0</v>
      </c>
      <c r="H127" s="10"/>
      <c r="I127" s="10">
        <f t="shared" si="1"/>
        <v>0</v>
      </c>
      <c r="J127" s="10"/>
      <c r="K127" s="10">
        <f t="shared" si="2"/>
        <v>0</v>
      </c>
      <c r="L127" s="10">
        <f t="shared" si="3"/>
        <v>0</v>
      </c>
    </row>
    <row r="128" spans="1:12" x14ac:dyDescent="0.3">
      <c r="A128" s="2"/>
      <c r="B128" s="17" t="s">
        <v>736</v>
      </c>
      <c r="C128" s="18" t="s">
        <v>12</v>
      </c>
      <c r="D128" s="27"/>
      <c r="E128" s="19">
        <v>40</v>
      </c>
      <c r="F128" s="10"/>
      <c r="G128" s="10">
        <f t="shared" si="0"/>
        <v>0</v>
      </c>
      <c r="H128" s="10"/>
      <c r="I128" s="10">
        <f t="shared" si="1"/>
        <v>0</v>
      </c>
      <c r="J128" s="10"/>
      <c r="K128" s="10">
        <f t="shared" si="2"/>
        <v>0</v>
      </c>
      <c r="L128" s="10">
        <f t="shared" si="3"/>
        <v>0</v>
      </c>
    </row>
    <row r="129" spans="1:14" x14ac:dyDescent="0.3">
      <c r="A129" s="2"/>
      <c r="B129" s="17" t="s">
        <v>715</v>
      </c>
      <c r="C129" s="18" t="s">
        <v>25</v>
      </c>
      <c r="D129" s="27"/>
      <c r="E129" s="19">
        <v>6.24</v>
      </c>
      <c r="F129" s="10"/>
      <c r="G129" s="10">
        <f t="shared" si="0"/>
        <v>0</v>
      </c>
      <c r="H129" s="10"/>
      <c r="I129" s="10">
        <f t="shared" si="1"/>
        <v>0</v>
      </c>
      <c r="J129" s="10"/>
      <c r="K129" s="10">
        <f t="shared" si="2"/>
        <v>0</v>
      </c>
      <c r="L129" s="10">
        <f t="shared" si="3"/>
        <v>0</v>
      </c>
    </row>
    <row r="130" spans="1:14" x14ac:dyDescent="0.3">
      <c r="A130" s="2">
        <v>8</v>
      </c>
      <c r="B130" s="14" t="s">
        <v>737</v>
      </c>
      <c r="C130" s="2" t="s">
        <v>25</v>
      </c>
      <c r="D130" s="15"/>
      <c r="E130" s="15">
        <v>1</v>
      </c>
      <c r="F130" s="10"/>
      <c r="G130" s="10">
        <f t="shared" si="0"/>
        <v>0</v>
      </c>
      <c r="H130" s="10"/>
      <c r="I130" s="10">
        <f t="shared" si="1"/>
        <v>0</v>
      </c>
      <c r="J130" s="10"/>
      <c r="K130" s="10">
        <f t="shared" si="2"/>
        <v>0</v>
      </c>
      <c r="L130" s="10">
        <f t="shared" si="3"/>
        <v>0</v>
      </c>
    </row>
    <row r="131" spans="1:14" x14ac:dyDescent="0.3">
      <c r="A131" s="2">
        <v>9</v>
      </c>
      <c r="B131" s="14" t="s">
        <v>719</v>
      </c>
      <c r="C131" s="2" t="s">
        <v>12</v>
      </c>
      <c r="D131" s="15"/>
      <c r="E131" s="15">
        <v>240</v>
      </c>
      <c r="F131" s="10"/>
      <c r="G131" s="10">
        <f t="shared" si="0"/>
        <v>0</v>
      </c>
      <c r="H131" s="10"/>
      <c r="I131" s="10">
        <f t="shared" si="1"/>
        <v>0</v>
      </c>
      <c r="J131" s="10"/>
      <c r="K131" s="10">
        <f t="shared" si="2"/>
        <v>0</v>
      </c>
      <c r="L131" s="10">
        <f t="shared" si="3"/>
        <v>0</v>
      </c>
    </row>
    <row r="132" spans="1:14" x14ac:dyDescent="0.3">
      <c r="A132" s="2"/>
      <c r="B132" s="17" t="s">
        <v>13</v>
      </c>
      <c r="C132" s="18" t="s">
        <v>12</v>
      </c>
      <c r="D132" s="19"/>
      <c r="E132" s="19">
        <v>240</v>
      </c>
      <c r="F132" s="10"/>
      <c r="G132" s="10">
        <f t="shared" si="0"/>
        <v>0</v>
      </c>
      <c r="H132" s="10"/>
      <c r="I132" s="10">
        <f t="shared" si="1"/>
        <v>0</v>
      </c>
      <c r="J132" s="10"/>
      <c r="K132" s="10">
        <f t="shared" si="2"/>
        <v>0</v>
      </c>
      <c r="L132" s="10">
        <f t="shared" si="3"/>
        <v>0</v>
      </c>
    </row>
    <row r="133" spans="1:14" x14ac:dyDescent="0.3">
      <c r="A133" s="2"/>
      <c r="B133" s="17" t="s">
        <v>738</v>
      </c>
      <c r="C133" s="18" t="s">
        <v>12</v>
      </c>
      <c r="D133" s="19"/>
      <c r="E133" s="19">
        <v>40</v>
      </c>
      <c r="F133" s="10"/>
      <c r="G133" s="10">
        <f t="shared" si="0"/>
        <v>0</v>
      </c>
      <c r="H133" s="10"/>
      <c r="I133" s="10">
        <f t="shared" si="1"/>
        <v>0</v>
      </c>
      <c r="J133" s="10"/>
      <c r="K133" s="10">
        <f t="shared" si="2"/>
        <v>0</v>
      </c>
      <c r="L133" s="10">
        <f t="shared" si="3"/>
        <v>0</v>
      </c>
    </row>
    <row r="134" spans="1:14" x14ac:dyDescent="0.3">
      <c r="A134" s="2"/>
      <c r="B134" s="17" t="s">
        <v>739</v>
      </c>
      <c r="C134" s="18" t="s">
        <v>12</v>
      </c>
      <c r="D134" s="19"/>
      <c r="E134" s="19">
        <v>140</v>
      </c>
      <c r="F134" s="10"/>
      <c r="G134" s="10">
        <f t="shared" si="0"/>
        <v>0</v>
      </c>
      <c r="H134" s="10"/>
      <c r="I134" s="10">
        <f t="shared" si="1"/>
        <v>0</v>
      </c>
      <c r="J134" s="10"/>
      <c r="K134" s="10">
        <f t="shared" si="2"/>
        <v>0</v>
      </c>
      <c r="L134" s="10">
        <f t="shared" si="3"/>
        <v>0</v>
      </c>
    </row>
    <row r="135" spans="1:14" x14ac:dyDescent="0.3">
      <c r="A135" s="2"/>
      <c r="B135" s="17" t="s">
        <v>740</v>
      </c>
      <c r="C135" s="18" t="s">
        <v>12</v>
      </c>
      <c r="D135" s="19"/>
      <c r="E135" s="19">
        <v>60</v>
      </c>
      <c r="F135" s="10"/>
      <c r="G135" s="10">
        <f t="shared" si="0"/>
        <v>0</v>
      </c>
      <c r="H135" s="10"/>
      <c r="I135" s="10">
        <f t="shared" si="1"/>
        <v>0</v>
      </c>
      <c r="J135" s="10"/>
      <c r="K135" s="10">
        <f t="shared" si="2"/>
        <v>0</v>
      </c>
      <c r="L135" s="10">
        <f t="shared" si="3"/>
        <v>0</v>
      </c>
    </row>
    <row r="136" spans="1:14" x14ac:dyDescent="0.3">
      <c r="A136" s="2">
        <v>10</v>
      </c>
      <c r="B136" s="14" t="s">
        <v>741</v>
      </c>
      <c r="C136" s="2" t="s">
        <v>16</v>
      </c>
      <c r="D136" s="15"/>
      <c r="E136" s="15">
        <v>272</v>
      </c>
      <c r="F136" s="10"/>
      <c r="G136" s="10">
        <f t="shared" si="0"/>
        <v>0</v>
      </c>
      <c r="H136" s="10"/>
      <c r="I136" s="10">
        <f t="shared" si="1"/>
        <v>0</v>
      </c>
      <c r="J136" s="10"/>
      <c r="K136" s="10">
        <f t="shared" si="2"/>
        <v>0</v>
      </c>
      <c r="L136" s="10">
        <f t="shared" si="3"/>
        <v>0</v>
      </c>
    </row>
    <row r="137" spans="1:14" x14ac:dyDescent="0.3">
      <c r="A137" s="2"/>
      <c r="B137" s="17" t="s">
        <v>13</v>
      </c>
      <c r="C137" s="18" t="s">
        <v>12</v>
      </c>
      <c r="D137" s="19"/>
      <c r="E137" s="19">
        <v>272</v>
      </c>
      <c r="F137" s="10"/>
      <c r="G137" s="10">
        <f t="shared" si="0"/>
        <v>0</v>
      </c>
      <c r="H137" s="10"/>
      <c r="I137" s="10">
        <f t="shared" si="1"/>
        <v>0</v>
      </c>
      <c r="J137" s="10"/>
      <c r="K137" s="10">
        <f t="shared" si="2"/>
        <v>0</v>
      </c>
      <c r="L137" s="10">
        <f t="shared" si="3"/>
        <v>0</v>
      </c>
    </row>
    <row r="138" spans="1:14" x14ac:dyDescent="0.3">
      <c r="A138" s="2"/>
      <c r="B138" s="17" t="s">
        <v>685</v>
      </c>
      <c r="C138" s="18" t="s">
        <v>25</v>
      </c>
      <c r="D138" s="19"/>
      <c r="E138" s="19">
        <v>10.1456</v>
      </c>
      <c r="F138" s="10"/>
      <c r="G138" s="10">
        <f t="shared" si="0"/>
        <v>0</v>
      </c>
      <c r="H138" s="10"/>
      <c r="I138" s="10">
        <f t="shared" si="1"/>
        <v>0</v>
      </c>
      <c r="J138" s="10"/>
      <c r="K138" s="10">
        <f t="shared" si="2"/>
        <v>0</v>
      </c>
      <c r="L138" s="10">
        <f t="shared" si="3"/>
        <v>0</v>
      </c>
    </row>
    <row r="139" spans="1:14" x14ac:dyDescent="0.3">
      <c r="A139" s="2"/>
      <c r="B139" s="17" t="s">
        <v>742</v>
      </c>
      <c r="C139" s="18" t="s">
        <v>16</v>
      </c>
      <c r="D139" s="19"/>
      <c r="E139" s="19">
        <v>272</v>
      </c>
      <c r="F139" s="10"/>
      <c r="G139" s="10">
        <f t="shared" si="0"/>
        <v>0</v>
      </c>
      <c r="H139" s="10"/>
      <c r="I139" s="10">
        <f t="shared" si="1"/>
        <v>0</v>
      </c>
      <c r="J139" s="10"/>
      <c r="K139" s="10">
        <f t="shared" si="2"/>
        <v>0</v>
      </c>
      <c r="L139" s="10">
        <f t="shared" si="3"/>
        <v>0</v>
      </c>
    </row>
    <row r="140" spans="1:14" x14ac:dyDescent="0.3">
      <c r="A140" s="2"/>
      <c r="B140" s="17" t="s">
        <v>743</v>
      </c>
      <c r="C140" s="18" t="s">
        <v>47</v>
      </c>
      <c r="D140" s="19"/>
      <c r="E140" s="19">
        <v>176.8</v>
      </c>
      <c r="F140" s="10"/>
      <c r="G140" s="10">
        <f t="shared" si="0"/>
        <v>0</v>
      </c>
      <c r="H140" s="10"/>
      <c r="I140" s="10">
        <f t="shared" si="1"/>
        <v>0</v>
      </c>
      <c r="J140" s="10"/>
      <c r="K140" s="10">
        <f t="shared" si="2"/>
        <v>0</v>
      </c>
      <c r="L140" s="10">
        <f t="shared" si="3"/>
        <v>0</v>
      </c>
    </row>
    <row r="141" spans="1:14" x14ac:dyDescent="0.3">
      <c r="A141" s="2"/>
      <c r="B141" s="17" t="s">
        <v>686</v>
      </c>
      <c r="C141" s="18" t="s">
        <v>25</v>
      </c>
      <c r="D141" s="19"/>
      <c r="E141" s="19">
        <v>45.968000000000004</v>
      </c>
      <c r="F141" s="10"/>
      <c r="G141" s="10">
        <f t="shared" si="0"/>
        <v>0</v>
      </c>
      <c r="H141" s="10"/>
      <c r="I141" s="10">
        <f t="shared" si="1"/>
        <v>0</v>
      </c>
      <c r="J141" s="10"/>
      <c r="K141" s="10">
        <f t="shared" si="2"/>
        <v>0</v>
      </c>
      <c r="L141" s="10">
        <f t="shared" si="3"/>
        <v>0</v>
      </c>
    </row>
    <row r="142" spans="1:14" x14ac:dyDescent="0.3">
      <c r="A142" s="2">
        <v>11</v>
      </c>
      <c r="B142" s="14" t="s">
        <v>744</v>
      </c>
      <c r="C142" s="2" t="s">
        <v>16</v>
      </c>
      <c r="D142" s="32"/>
      <c r="E142" s="15">
        <v>162</v>
      </c>
      <c r="F142" s="10"/>
      <c r="G142" s="10">
        <f t="shared" si="0"/>
        <v>0</v>
      </c>
      <c r="H142" s="10"/>
      <c r="I142" s="10">
        <f t="shared" si="1"/>
        <v>0</v>
      </c>
      <c r="J142" s="10"/>
      <c r="K142" s="10">
        <f t="shared" si="2"/>
        <v>0</v>
      </c>
      <c r="L142" s="10">
        <f t="shared" si="3"/>
        <v>0</v>
      </c>
    </row>
    <row r="143" spans="1:14" x14ac:dyDescent="0.3">
      <c r="A143" s="2"/>
      <c r="B143" s="17" t="s">
        <v>13</v>
      </c>
      <c r="C143" s="18" t="s">
        <v>16</v>
      </c>
      <c r="D143" s="19"/>
      <c r="E143" s="19">
        <v>162</v>
      </c>
      <c r="F143" s="10"/>
      <c r="G143" s="10">
        <f t="shared" si="0"/>
        <v>0</v>
      </c>
      <c r="H143" s="10"/>
      <c r="I143" s="10">
        <f t="shared" si="1"/>
        <v>0</v>
      </c>
      <c r="J143" s="10"/>
      <c r="K143" s="10">
        <f t="shared" si="2"/>
        <v>0</v>
      </c>
      <c r="L143" s="10">
        <f t="shared" si="3"/>
        <v>0</v>
      </c>
      <c r="N143" s="9"/>
    </row>
    <row r="144" spans="1:14" x14ac:dyDescent="0.3">
      <c r="A144" s="2"/>
      <c r="B144" s="17" t="s">
        <v>685</v>
      </c>
      <c r="C144" s="18" t="s">
        <v>25</v>
      </c>
      <c r="D144" s="27"/>
      <c r="E144" s="19">
        <v>4.8599999999999997E-2</v>
      </c>
      <c r="F144" s="10"/>
      <c r="G144" s="10">
        <f t="shared" si="0"/>
        <v>0</v>
      </c>
      <c r="H144" s="10"/>
      <c r="I144" s="10">
        <f t="shared" si="1"/>
        <v>0</v>
      </c>
      <c r="J144" s="10"/>
      <c r="K144" s="10">
        <f t="shared" si="2"/>
        <v>0</v>
      </c>
      <c r="L144" s="10">
        <f t="shared" si="3"/>
        <v>0</v>
      </c>
    </row>
    <row r="145" spans="1:12" x14ac:dyDescent="0.3">
      <c r="A145" s="2"/>
      <c r="B145" s="17" t="s">
        <v>745</v>
      </c>
      <c r="C145" s="18" t="s">
        <v>16</v>
      </c>
      <c r="D145" s="27"/>
      <c r="E145" s="19">
        <v>170.1</v>
      </c>
      <c r="F145" s="10"/>
      <c r="G145" s="10">
        <f t="shared" si="0"/>
        <v>0</v>
      </c>
      <c r="H145" s="10"/>
      <c r="I145" s="10">
        <f t="shared" si="1"/>
        <v>0</v>
      </c>
      <c r="J145" s="10"/>
      <c r="K145" s="10">
        <f t="shared" si="2"/>
        <v>0</v>
      </c>
      <c r="L145" s="10">
        <f t="shared" si="3"/>
        <v>0</v>
      </c>
    </row>
    <row r="146" spans="1:12" x14ac:dyDescent="0.3">
      <c r="A146" s="2"/>
      <c r="B146" s="17" t="s">
        <v>686</v>
      </c>
      <c r="C146" s="18" t="s">
        <v>25</v>
      </c>
      <c r="D146" s="19"/>
      <c r="E146" s="19">
        <v>0.55079999999999996</v>
      </c>
      <c r="F146" s="10"/>
      <c r="G146" s="10">
        <f t="shared" si="0"/>
        <v>0</v>
      </c>
      <c r="H146" s="10"/>
      <c r="I146" s="10">
        <f t="shared" si="1"/>
        <v>0</v>
      </c>
      <c r="J146" s="10"/>
      <c r="K146" s="10">
        <f t="shared" si="2"/>
        <v>0</v>
      </c>
      <c r="L146" s="10">
        <f t="shared" si="3"/>
        <v>0</v>
      </c>
    </row>
    <row r="147" spans="1:12" x14ac:dyDescent="0.3">
      <c r="A147" s="2">
        <v>12</v>
      </c>
      <c r="B147" s="14" t="s">
        <v>746</v>
      </c>
      <c r="C147" s="2" t="s">
        <v>16</v>
      </c>
      <c r="D147" s="15"/>
      <c r="E147" s="15">
        <v>60</v>
      </c>
      <c r="F147" s="10"/>
      <c r="G147" s="10">
        <f t="shared" si="0"/>
        <v>0</v>
      </c>
      <c r="H147" s="10"/>
      <c r="I147" s="10">
        <f t="shared" si="1"/>
        <v>0</v>
      </c>
      <c r="J147" s="10"/>
      <c r="K147" s="10">
        <f t="shared" si="2"/>
        <v>0</v>
      </c>
      <c r="L147" s="10">
        <f t="shared" si="3"/>
        <v>0</v>
      </c>
    </row>
    <row r="148" spans="1:12" x14ac:dyDescent="0.3">
      <c r="A148" s="2"/>
      <c r="B148" s="17" t="s">
        <v>13</v>
      </c>
      <c r="C148" s="18" t="s">
        <v>16</v>
      </c>
      <c r="D148" s="27"/>
      <c r="E148" s="19">
        <v>60</v>
      </c>
      <c r="F148" s="10"/>
      <c r="G148" s="10">
        <f t="shared" si="0"/>
        <v>0</v>
      </c>
      <c r="H148" s="10"/>
      <c r="I148" s="10">
        <f t="shared" si="1"/>
        <v>0</v>
      </c>
      <c r="J148" s="10"/>
      <c r="K148" s="10">
        <f t="shared" si="2"/>
        <v>0</v>
      </c>
      <c r="L148" s="10">
        <f t="shared" si="3"/>
        <v>0</v>
      </c>
    </row>
    <row r="149" spans="1:12" x14ac:dyDescent="0.3">
      <c r="A149" s="2"/>
      <c r="B149" s="17" t="s">
        <v>685</v>
      </c>
      <c r="C149" s="18" t="s">
        <v>25</v>
      </c>
      <c r="D149" s="27"/>
      <c r="E149" s="19">
        <v>1.7999999999999999E-2</v>
      </c>
      <c r="F149" s="10"/>
      <c r="G149" s="10">
        <f t="shared" si="0"/>
        <v>0</v>
      </c>
      <c r="H149" s="10"/>
      <c r="I149" s="10">
        <f t="shared" si="1"/>
        <v>0</v>
      </c>
      <c r="J149" s="10"/>
      <c r="K149" s="10">
        <f t="shared" si="2"/>
        <v>0</v>
      </c>
      <c r="L149" s="10">
        <f t="shared" si="3"/>
        <v>0</v>
      </c>
    </row>
    <row r="150" spans="1:12" x14ac:dyDescent="0.3">
      <c r="A150" s="2"/>
      <c r="B150" s="17" t="s">
        <v>747</v>
      </c>
      <c r="C150" s="18" t="s">
        <v>16</v>
      </c>
      <c r="D150" s="27"/>
      <c r="E150" s="19">
        <v>63</v>
      </c>
      <c r="F150" s="10"/>
      <c r="G150" s="10">
        <f t="shared" si="0"/>
        <v>0</v>
      </c>
      <c r="H150" s="10"/>
      <c r="I150" s="10">
        <f t="shared" si="1"/>
        <v>0</v>
      </c>
      <c r="J150" s="10"/>
      <c r="K150" s="10">
        <f t="shared" si="2"/>
        <v>0</v>
      </c>
      <c r="L150" s="10">
        <f t="shared" si="3"/>
        <v>0</v>
      </c>
    </row>
    <row r="151" spans="1:12" x14ac:dyDescent="0.3">
      <c r="A151" s="2"/>
      <c r="B151" s="17" t="s">
        <v>686</v>
      </c>
      <c r="C151" s="18" t="s">
        <v>25</v>
      </c>
      <c r="D151" s="19"/>
      <c r="E151" s="19">
        <v>0.20399999999999999</v>
      </c>
      <c r="F151" s="10"/>
      <c r="G151" s="10">
        <f t="shared" si="0"/>
        <v>0</v>
      </c>
      <c r="H151" s="10"/>
      <c r="I151" s="10">
        <f t="shared" si="1"/>
        <v>0</v>
      </c>
      <c r="J151" s="10"/>
      <c r="K151" s="10">
        <f t="shared" si="2"/>
        <v>0</v>
      </c>
      <c r="L151" s="10">
        <f t="shared" si="3"/>
        <v>0</v>
      </c>
    </row>
    <row r="152" spans="1:12" x14ac:dyDescent="0.3">
      <c r="A152" s="2">
        <v>13</v>
      </c>
      <c r="B152" s="14" t="s">
        <v>748</v>
      </c>
      <c r="C152" s="2" t="s">
        <v>16</v>
      </c>
      <c r="D152" s="15"/>
      <c r="E152" s="15">
        <v>60</v>
      </c>
      <c r="F152" s="10"/>
      <c r="G152" s="10">
        <f t="shared" si="0"/>
        <v>0</v>
      </c>
      <c r="H152" s="10"/>
      <c r="I152" s="10">
        <f t="shared" si="1"/>
        <v>0</v>
      </c>
      <c r="J152" s="10"/>
      <c r="K152" s="10">
        <f t="shared" si="2"/>
        <v>0</v>
      </c>
      <c r="L152" s="10">
        <f t="shared" si="3"/>
        <v>0</v>
      </c>
    </row>
    <row r="153" spans="1:12" x14ac:dyDescent="0.3">
      <c r="A153" s="2"/>
      <c r="B153" s="17" t="s">
        <v>749</v>
      </c>
      <c r="C153" s="18" t="s">
        <v>16</v>
      </c>
      <c r="D153" s="19"/>
      <c r="E153" s="19">
        <v>60</v>
      </c>
      <c r="F153" s="10"/>
      <c r="G153" s="10">
        <f t="shared" si="0"/>
        <v>0</v>
      </c>
      <c r="H153" s="10"/>
      <c r="I153" s="10">
        <f t="shared" si="1"/>
        <v>0</v>
      </c>
      <c r="J153" s="10"/>
      <c r="K153" s="10">
        <f t="shared" si="2"/>
        <v>0</v>
      </c>
      <c r="L153" s="10">
        <f t="shared" si="3"/>
        <v>0</v>
      </c>
    </row>
    <row r="154" spans="1:12" x14ac:dyDescent="0.3">
      <c r="A154" s="2"/>
      <c r="B154" s="17" t="s">
        <v>685</v>
      </c>
      <c r="C154" s="18" t="s">
        <v>25</v>
      </c>
      <c r="D154" s="19"/>
      <c r="E154" s="19">
        <v>0.24599999999999997</v>
      </c>
      <c r="F154" s="10"/>
      <c r="G154" s="10">
        <f t="shared" si="0"/>
        <v>0</v>
      </c>
      <c r="H154" s="10"/>
      <c r="I154" s="10">
        <f t="shared" si="1"/>
        <v>0</v>
      </c>
      <c r="J154" s="10"/>
      <c r="K154" s="10">
        <f t="shared" si="2"/>
        <v>0</v>
      </c>
      <c r="L154" s="10">
        <f t="shared" si="3"/>
        <v>0</v>
      </c>
    </row>
    <row r="155" spans="1:12" x14ac:dyDescent="0.3">
      <c r="A155" s="2"/>
      <c r="B155" s="17" t="s">
        <v>750</v>
      </c>
      <c r="C155" s="18" t="s">
        <v>16</v>
      </c>
      <c r="D155" s="19"/>
      <c r="E155" s="19">
        <v>75</v>
      </c>
      <c r="F155" s="10"/>
      <c r="G155" s="10">
        <f t="shared" si="0"/>
        <v>0</v>
      </c>
      <c r="H155" s="10"/>
      <c r="I155" s="10">
        <f t="shared" si="1"/>
        <v>0</v>
      </c>
      <c r="J155" s="10"/>
      <c r="K155" s="10">
        <f t="shared" si="2"/>
        <v>0</v>
      </c>
      <c r="L155" s="10">
        <f t="shared" si="3"/>
        <v>0</v>
      </c>
    </row>
    <row r="156" spans="1:12" x14ac:dyDescent="0.3">
      <c r="A156" s="2"/>
      <c r="B156" s="17" t="s">
        <v>715</v>
      </c>
      <c r="C156" s="18" t="s">
        <v>25</v>
      </c>
      <c r="D156" s="19"/>
      <c r="E156" s="19">
        <v>4.68</v>
      </c>
      <c r="F156" s="10"/>
      <c r="G156" s="10">
        <f t="shared" si="0"/>
        <v>0</v>
      </c>
      <c r="H156" s="10"/>
      <c r="I156" s="10">
        <f t="shared" si="1"/>
        <v>0</v>
      </c>
      <c r="J156" s="10"/>
      <c r="K156" s="10">
        <f t="shared" si="2"/>
        <v>0</v>
      </c>
      <c r="L156" s="10">
        <f t="shared" si="3"/>
        <v>0</v>
      </c>
    </row>
    <row r="157" spans="1:12" x14ac:dyDescent="0.3">
      <c r="A157" s="2">
        <v>14</v>
      </c>
      <c r="B157" s="14" t="s">
        <v>774</v>
      </c>
      <c r="C157" s="2" t="s">
        <v>72</v>
      </c>
      <c r="D157" s="32"/>
      <c r="E157" s="15">
        <v>28</v>
      </c>
      <c r="F157" s="10"/>
      <c r="G157" s="10">
        <f t="shared" si="0"/>
        <v>0</v>
      </c>
      <c r="H157" s="10"/>
      <c r="I157" s="10">
        <f t="shared" si="1"/>
        <v>0</v>
      </c>
      <c r="J157" s="10"/>
      <c r="K157" s="10">
        <f t="shared" si="2"/>
        <v>0</v>
      </c>
      <c r="L157" s="10">
        <f t="shared" si="3"/>
        <v>0</v>
      </c>
    </row>
    <row r="158" spans="1:12" x14ac:dyDescent="0.3">
      <c r="A158" s="2"/>
      <c r="B158" s="17" t="s">
        <v>13</v>
      </c>
      <c r="C158" s="18" t="s">
        <v>72</v>
      </c>
      <c r="D158" s="27"/>
      <c r="E158" s="19">
        <v>28</v>
      </c>
      <c r="F158" s="10"/>
      <c r="G158" s="10">
        <f t="shared" si="0"/>
        <v>0</v>
      </c>
      <c r="H158" s="10"/>
      <c r="I158" s="10">
        <f t="shared" si="1"/>
        <v>0</v>
      </c>
      <c r="J158" s="10"/>
      <c r="K158" s="10">
        <f t="shared" si="2"/>
        <v>0</v>
      </c>
      <c r="L158" s="10">
        <f t="shared" si="3"/>
        <v>0</v>
      </c>
    </row>
    <row r="159" spans="1:12" x14ac:dyDescent="0.3">
      <c r="A159" s="2"/>
      <c r="B159" s="17" t="s">
        <v>685</v>
      </c>
      <c r="C159" s="18" t="s">
        <v>25</v>
      </c>
      <c r="D159" s="27"/>
      <c r="E159" s="19">
        <v>1.4000000000000001</v>
      </c>
      <c r="F159" s="10"/>
      <c r="G159" s="10">
        <f t="shared" si="0"/>
        <v>0</v>
      </c>
      <c r="H159" s="10"/>
      <c r="I159" s="10">
        <f t="shared" si="1"/>
        <v>0</v>
      </c>
      <c r="J159" s="10"/>
      <c r="K159" s="10">
        <f t="shared" si="2"/>
        <v>0</v>
      </c>
      <c r="L159" s="10">
        <f t="shared" si="3"/>
        <v>0</v>
      </c>
    </row>
    <row r="160" spans="1:12" x14ac:dyDescent="0.3">
      <c r="A160" s="2"/>
      <c r="B160" s="17" t="s">
        <v>751</v>
      </c>
      <c r="C160" s="18" t="s">
        <v>72</v>
      </c>
      <c r="D160" s="19"/>
      <c r="E160" s="19">
        <v>16</v>
      </c>
      <c r="F160" s="10"/>
      <c r="G160" s="10">
        <f t="shared" si="0"/>
        <v>0</v>
      </c>
      <c r="H160" s="10"/>
      <c r="I160" s="10">
        <f t="shared" si="1"/>
        <v>0</v>
      </c>
      <c r="J160" s="10"/>
      <c r="K160" s="10">
        <f t="shared" si="2"/>
        <v>0</v>
      </c>
      <c r="L160" s="10">
        <f t="shared" si="3"/>
        <v>0</v>
      </c>
    </row>
    <row r="161" spans="1:14" x14ac:dyDescent="0.3">
      <c r="A161" s="2"/>
      <c r="B161" s="17" t="s">
        <v>752</v>
      </c>
      <c r="C161" s="18" t="s">
        <v>72</v>
      </c>
      <c r="D161" s="19"/>
      <c r="E161" s="19">
        <v>12</v>
      </c>
      <c r="F161" s="10"/>
      <c r="G161" s="10">
        <f t="shared" si="0"/>
        <v>0</v>
      </c>
      <c r="H161" s="10"/>
      <c r="I161" s="10">
        <f t="shared" si="1"/>
        <v>0</v>
      </c>
      <c r="J161" s="10"/>
      <c r="K161" s="10">
        <f t="shared" si="2"/>
        <v>0</v>
      </c>
      <c r="L161" s="10">
        <f t="shared" si="3"/>
        <v>0</v>
      </c>
    </row>
    <row r="162" spans="1:14" x14ac:dyDescent="0.3">
      <c r="A162" s="2"/>
      <c r="B162" s="17" t="s">
        <v>686</v>
      </c>
      <c r="C162" s="18" t="s">
        <v>25</v>
      </c>
      <c r="D162" s="19"/>
      <c r="E162" s="19">
        <v>4.4800000000000004</v>
      </c>
      <c r="F162" s="10"/>
      <c r="G162" s="10">
        <f t="shared" si="0"/>
        <v>0</v>
      </c>
      <c r="H162" s="10"/>
      <c r="I162" s="10">
        <f t="shared" si="1"/>
        <v>0</v>
      </c>
      <c r="J162" s="10"/>
      <c r="K162" s="10">
        <f t="shared" si="2"/>
        <v>0</v>
      </c>
      <c r="L162" s="10">
        <f t="shared" si="3"/>
        <v>0</v>
      </c>
    </row>
    <row r="163" spans="1:14" x14ac:dyDescent="0.3">
      <c r="A163" s="2">
        <v>15</v>
      </c>
      <c r="B163" s="14" t="s">
        <v>753</v>
      </c>
      <c r="C163" s="2" t="s">
        <v>25</v>
      </c>
      <c r="D163" s="15"/>
      <c r="E163" s="15">
        <v>1</v>
      </c>
      <c r="F163" s="10"/>
      <c r="G163" s="10">
        <f t="shared" si="0"/>
        <v>0</v>
      </c>
      <c r="H163" s="10"/>
      <c r="I163" s="10">
        <f t="shared" si="1"/>
        <v>0</v>
      </c>
      <c r="J163" s="10"/>
      <c r="K163" s="10">
        <f t="shared" si="2"/>
        <v>0</v>
      </c>
      <c r="L163" s="10">
        <f t="shared" si="3"/>
        <v>0</v>
      </c>
    </row>
    <row r="164" spans="1:14" x14ac:dyDescent="0.3">
      <c r="A164" s="11"/>
      <c r="B164" s="11" t="s">
        <v>698</v>
      </c>
      <c r="C164" s="4"/>
      <c r="D164" s="12"/>
      <c r="E164" s="12"/>
      <c r="F164" s="13"/>
      <c r="G164" s="13">
        <f t="shared" si="0"/>
        <v>0</v>
      </c>
      <c r="H164" s="13"/>
      <c r="I164" s="13">
        <f t="shared" si="1"/>
        <v>0</v>
      </c>
      <c r="J164" s="13"/>
      <c r="K164" s="13">
        <f t="shared" si="2"/>
        <v>0</v>
      </c>
      <c r="L164" s="13">
        <f t="shared" si="3"/>
        <v>0</v>
      </c>
    </row>
    <row r="165" spans="1:14" x14ac:dyDescent="0.3">
      <c r="A165" s="2">
        <v>16</v>
      </c>
      <c r="B165" s="14" t="s">
        <v>754</v>
      </c>
      <c r="C165" s="2" t="s">
        <v>16</v>
      </c>
      <c r="D165" s="15"/>
      <c r="E165" s="15">
        <v>90</v>
      </c>
      <c r="F165" s="10"/>
      <c r="G165" s="10">
        <f t="shared" si="0"/>
        <v>0</v>
      </c>
      <c r="H165" s="10"/>
      <c r="I165" s="10">
        <f t="shared" si="1"/>
        <v>0</v>
      </c>
      <c r="J165" s="10"/>
      <c r="K165" s="10">
        <f t="shared" si="2"/>
        <v>0</v>
      </c>
      <c r="L165" s="10">
        <f t="shared" si="3"/>
        <v>0</v>
      </c>
    </row>
    <row r="166" spans="1:14" x14ac:dyDescent="0.3">
      <c r="A166" s="2"/>
      <c r="B166" s="17" t="s">
        <v>13</v>
      </c>
      <c r="C166" s="18" t="s">
        <v>16</v>
      </c>
      <c r="D166" s="19"/>
      <c r="E166" s="19">
        <v>90</v>
      </c>
      <c r="F166" s="10"/>
      <c r="G166" s="10">
        <f t="shared" si="0"/>
        <v>0</v>
      </c>
      <c r="H166" s="10"/>
      <c r="I166" s="10">
        <f t="shared" si="1"/>
        <v>0</v>
      </c>
      <c r="J166" s="10"/>
      <c r="K166" s="10">
        <f t="shared" si="2"/>
        <v>0</v>
      </c>
      <c r="L166" s="10">
        <f t="shared" si="3"/>
        <v>0</v>
      </c>
    </row>
    <row r="167" spans="1:14" x14ac:dyDescent="0.3">
      <c r="A167" s="2"/>
      <c r="B167" s="17" t="s">
        <v>685</v>
      </c>
      <c r="C167" s="18" t="s">
        <v>25</v>
      </c>
      <c r="D167" s="19"/>
      <c r="E167" s="19">
        <v>3.3570000000000002</v>
      </c>
      <c r="F167" s="10"/>
      <c r="G167" s="10">
        <f t="shared" si="0"/>
        <v>0</v>
      </c>
      <c r="H167" s="10"/>
      <c r="I167" s="10">
        <f t="shared" si="1"/>
        <v>0</v>
      </c>
      <c r="J167" s="10"/>
      <c r="K167" s="10">
        <f t="shared" si="2"/>
        <v>0</v>
      </c>
      <c r="L167" s="10">
        <f t="shared" si="3"/>
        <v>0</v>
      </c>
    </row>
    <row r="168" spans="1:14" x14ac:dyDescent="0.3">
      <c r="A168" s="2"/>
      <c r="B168" s="17" t="s">
        <v>755</v>
      </c>
      <c r="C168" s="18" t="s">
        <v>16</v>
      </c>
      <c r="D168" s="19"/>
      <c r="E168" s="19">
        <v>90</v>
      </c>
      <c r="F168" s="10"/>
      <c r="G168" s="10">
        <f t="shared" si="0"/>
        <v>0</v>
      </c>
      <c r="H168" s="10"/>
      <c r="I168" s="10">
        <f t="shared" si="1"/>
        <v>0</v>
      </c>
      <c r="J168" s="10"/>
      <c r="K168" s="10">
        <f t="shared" si="2"/>
        <v>0</v>
      </c>
      <c r="L168" s="10">
        <f t="shared" si="3"/>
        <v>0</v>
      </c>
    </row>
    <row r="169" spans="1:14" x14ac:dyDescent="0.3">
      <c r="A169" s="2"/>
      <c r="B169" s="17" t="s">
        <v>756</v>
      </c>
      <c r="C169" s="18" t="s">
        <v>12</v>
      </c>
      <c r="D169" s="19"/>
      <c r="E169" s="19">
        <v>200</v>
      </c>
      <c r="F169" s="10"/>
      <c r="G169" s="10">
        <f t="shared" si="0"/>
        <v>0</v>
      </c>
      <c r="H169" s="10"/>
      <c r="I169" s="10">
        <f t="shared" si="1"/>
        <v>0</v>
      </c>
      <c r="J169" s="10"/>
      <c r="K169" s="10">
        <f t="shared" si="2"/>
        <v>0</v>
      </c>
      <c r="L169" s="10">
        <f t="shared" si="3"/>
        <v>0</v>
      </c>
    </row>
    <row r="170" spans="1:14" x14ac:dyDescent="0.3">
      <c r="A170" s="2"/>
      <c r="B170" s="17" t="s">
        <v>743</v>
      </c>
      <c r="C170" s="18" t="s">
        <v>47</v>
      </c>
      <c r="D170" s="19"/>
      <c r="E170" s="19">
        <v>58.5</v>
      </c>
      <c r="F170" s="10"/>
      <c r="G170" s="10">
        <f t="shared" si="0"/>
        <v>0</v>
      </c>
      <c r="H170" s="10"/>
      <c r="I170" s="10">
        <f t="shared" si="1"/>
        <v>0</v>
      </c>
      <c r="J170" s="10"/>
      <c r="K170" s="10">
        <f t="shared" si="2"/>
        <v>0</v>
      </c>
      <c r="L170" s="10">
        <f t="shared" si="3"/>
        <v>0</v>
      </c>
    </row>
    <row r="171" spans="1:14" x14ac:dyDescent="0.3">
      <c r="A171" s="2"/>
      <c r="B171" s="17" t="s">
        <v>686</v>
      </c>
      <c r="C171" s="18" t="s">
        <v>25</v>
      </c>
      <c r="D171" s="19"/>
      <c r="E171" s="19">
        <v>15.21</v>
      </c>
      <c r="F171" s="10"/>
      <c r="G171" s="10">
        <f t="shared" si="0"/>
        <v>0</v>
      </c>
      <c r="H171" s="10"/>
      <c r="I171" s="10">
        <f t="shared" si="1"/>
        <v>0</v>
      </c>
      <c r="J171" s="10"/>
      <c r="K171" s="10">
        <f t="shared" si="2"/>
        <v>0</v>
      </c>
      <c r="L171" s="10">
        <f t="shared" si="3"/>
        <v>0</v>
      </c>
    </row>
    <row r="172" spans="1:14" x14ac:dyDescent="0.3">
      <c r="A172" s="2">
        <v>17</v>
      </c>
      <c r="B172" s="14" t="s">
        <v>746</v>
      </c>
      <c r="C172" s="2" t="s">
        <v>16</v>
      </c>
      <c r="D172" s="32"/>
      <c r="E172" s="15">
        <v>30</v>
      </c>
      <c r="F172" s="10"/>
      <c r="G172" s="10">
        <f t="shared" si="0"/>
        <v>0</v>
      </c>
      <c r="H172" s="10"/>
      <c r="I172" s="10">
        <f t="shared" si="1"/>
        <v>0</v>
      </c>
      <c r="J172" s="10"/>
      <c r="K172" s="10">
        <f t="shared" si="2"/>
        <v>0</v>
      </c>
      <c r="L172" s="10">
        <f t="shared" si="3"/>
        <v>0</v>
      </c>
    </row>
    <row r="173" spans="1:14" x14ac:dyDescent="0.3">
      <c r="A173" s="2"/>
      <c r="B173" s="17" t="s">
        <v>13</v>
      </c>
      <c r="C173" s="18" t="s">
        <v>16</v>
      </c>
      <c r="D173" s="19"/>
      <c r="E173" s="19">
        <v>30</v>
      </c>
      <c r="F173" s="10"/>
      <c r="G173" s="10">
        <f t="shared" si="0"/>
        <v>0</v>
      </c>
      <c r="H173" s="10"/>
      <c r="I173" s="10">
        <f t="shared" si="1"/>
        <v>0</v>
      </c>
      <c r="J173" s="10"/>
      <c r="K173" s="10">
        <f t="shared" si="2"/>
        <v>0</v>
      </c>
      <c r="L173" s="10">
        <f t="shared" si="3"/>
        <v>0</v>
      </c>
      <c r="N173" s="9"/>
    </row>
    <row r="174" spans="1:14" x14ac:dyDescent="0.3">
      <c r="A174" s="2"/>
      <c r="B174" s="17" t="s">
        <v>685</v>
      </c>
      <c r="C174" s="18" t="s">
        <v>25</v>
      </c>
      <c r="D174" s="27"/>
      <c r="E174" s="19">
        <v>8.9999999999999993E-3</v>
      </c>
      <c r="F174" s="10"/>
      <c r="G174" s="10">
        <f t="shared" si="0"/>
        <v>0</v>
      </c>
      <c r="H174" s="10"/>
      <c r="I174" s="10">
        <f t="shared" si="1"/>
        <v>0</v>
      </c>
      <c r="J174" s="10"/>
      <c r="K174" s="10">
        <f t="shared" si="2"/>
        <v>0</v>
      </c>
      <c r="L174" s="10">
        <f t="shared" si="3"/>
        <v>0</v>
      </c>
    </row>
    <row r="175" spans="1:14" x14ac:dyDescent="0.3">
      <c r="A175" s="2"/>
      <c r="B175" s="17" t="s">
        <v>747</v>
      </c>
      <c r="C175" s="18" t="s">
        <v>16</v>
      </c>
      <c r="D175" s="27"/>
      <c r="E175" s="19">
        <v>31.5</v>
      </c>
      <c r="F175" s="10"/>
      <c r="G175" s="10">
        <f t="shared" si="0"/>
        <v>0</v>
      </c>
      <c r="H175" s="10"/>
      <c r="I175" s="10">
        <f t="shared" si="1"/>
        <v>0</v>
      </c>
      <c r="J175" s="10"/>
      <c r="K175" s="10">
        <f t="shared" si="2"/>
        <v>0</v>
      </c>
      <c r="L175" s="10">
        <f t="shared" si="3"/>
        <v>0</v>
      </c>
    </row>
    <row r="176" spans="1:14" x14ac:dyDescent="0.3">
      <c r="A176" s="2"/>
      <c r="B176" s="17" t="s">
        <v>686</v>
      </c>
      <c r="C176" s="18" t="s">
        <v>25</v>
      </c>
      <c r="D176" s="27"/>
      <c r="E176" s="19">
        <v>0.10199999999999999</v>
      </c>
      <c r="F176" s="10"/>
      <c r="G176" s="10">
        <f t="shared" si="0"/>
        <v>0</v>
      </c>
      <c r="H176" s="10"/>
      <c r="I176" s="10">
        <f t="shared" si="1"/>
        <v>0</v>
      </c>
      <c r="J176" s="10"/>
      <c r="K176" s="10">
        <f t="shared" si="2"/>
        <v>0</v>
      </c>
      <c r="L176" s="10">
        <f t="shared" si="3"/>
        <v>0</v>
      </c>
    </row>
    <row r="177" spans="1:12" x14ac:dyDescent="0.3">
      <c r="A177" s="2">
        <v>18</v>
      </c>
      <c r="B177" s="14" t="s">
        <v>757</v>
      </c>
      <c r="C177" s="2" t="s">
        <v>72</v>
      </c>
      <c r="D177" s="15"/>
      <c r="E177" s="15">
        <v>2</v>
      </c>
      <c r="F177" s="10"/>
      <c r="G177" s="10">
        <f t="shared" si="0"/>
        <v>0</v>
      </c>
      <c r="H177" s="10"/>
      <c r="I177" s="10">
        <f t="shared" si="1"/>
        <v>0</v>
      </c>
      <c r="J177" s="10"/>
      <c r="K177" s="10">
        <f t="shared" si="2"/>
        <v>0</v>
      </c>
      <c r="L177" s="10">
        <f t="shared" si="3"/>
        <v>0</v>
      </c>
    </row>
    <row r="178" spans="1:12" x14ac:dyDescent="0.3">
      <c r="A178" s="2"/>
      <c r="B178" s="17" t="s">
        <v>13</v>
      </c>
      <c r="C178" s="18" t="s">
        <v>72</v>
      </c>
      <c r="D178" s="19"/>
      <c r="E178" s="19">
        <v>2</v>
      </c>
      <c r="F178" s="10"/>
      <c r="G178" s="10">
        <f t="shared" si="0"/>
        <v>0</v>
      </c>
      <c r="H178" s="10"/>
      <c r="I178" s="10">
        <f t="shared" si="1"/>
        <v>0</v>
      </c>
      <c r="J178" s="10"/>
      <c r="K178" s="10">
        <f t="shared" si="2"/>
        <v>0</v>
      </c>
      <c r="L178" s="10">
        <f t="shared" si="3"/>
        <v>0</v>
      </c>
    </row>
    <row r="179" spans="1:12" x14ac:dyDescent="0.3">
      <c r="A179" s="2"/>
      <c r="B179" s="17" t="s">
        <v>685</v>
      </c>
      <c r="C179" s="18" t="s">
        <v>25</v>
      </c>
      <c r="D179" s="19"/>
      <c r="E179" s="19">
        <v>0.1</v>
      </c>
      <c r="F179" s="10"/>
      <c r="G179" s="10">
        <f t="shared" si="0"/>
        <v>0</v>
      </c>
      <c r="H179" s="10"/>
      <c r="I179" s="10">
        <f t="shared" si="1"/>
        <v>0</v>
      </c>
      <c r="J179" s="10"/>
      <c r="K179" s="10">
        <f t="shared" si="2"/>
        <v>0</v>
      </c>
      <c r="L179" s="10">
        <f t="shared" si="3"/>
        <v>0</v>
      </c>
    </row>
    <row r="180" spans="1:12" x14ac:dyDescent="0.3">
      <c r="A180" s="2"/>
      <c r="B180" s="17" t="s">
        <v>757</v>
      </c>
      <c r="C180" s="18" t="s">
        <v>72</v>
      </c>
      <c r="D180" s="19"/>
      <c r="E180" s="19">
        <v>2</v>
      </c>
      <c r="F180" s="10"/>
      <c r="G180" s="10">
        <f t="shared" si="0"/>
        <v>0</v>
      </c>
      <c r="H180" s="10"/>
      <c r="I180" s="10">
        <f t="shared" si="1"/>
        <v>0</v>
      </c>
      <c r="J180" s="10"/>
      <c r="K180" s="10">
        <f t="shared" si="2"/>
        <v>0</v>
      </c>
      <c r="L180" s="10">
        <f t="shared" si="3"/>
        <v>0</v>
      </c>
    </row>
    <row r="181" spans="1:12" x14ac:dyDescent="0.3">
      <c r="A181" s="2"/>
      <c r="B181" s="17" t="s">
        <v>686</v>
      </c>
      <c r="C181" s="18" t="s">
        <v>25</v>
      </c>
      <c r="D181" s="19"/>
      <c r="E181" s="19">
        <v>0.32</v>
      </c>
      <c r="F181" s="10"/>
      <c r="G181" s="10">
        <f t="shared" si="0"/>
        <v>0</v>
      </c>
      <c r="H181" s="10"/>
      <c r="I181" s="10">
        <f t="shared" si="1"/>
        <v>0</v>
      </c>
      <c r="J181" s="10"/>
      <c r="K181" s="10">
        <f t="shared" si="2"/>
        <v>0</v>
      </c>
      <c r="L181" s="10">
        <f t="shared" si="3"/>
        <v>0</v>
      </c>
    </row>
    <row r="182" spans="1:12" x14ac:dyDescent="0.3">
      <c r="A182" s="11"/>
      <c r="B182" s="11" t="s">
        <v>758</v>
      </c>
      <c r="C182" s="4"/>
      <c r="D182" s="12"/>
      <c r="E182" s="12"/>
      <c r="F182" s="13"/>
      <c r="G182" s="13">
        <f t="shared" si="0"/>
        <v>0</v>
      </c>
      <c r="H182" s="13"/>
      <c r="I182" s="13">
        <f t="shared" si="1"/>
        <v>0</v>
      </c>
      <c r="J182" s="13"/>
      <c r="K182" s="13">
        <f t="shared" si="2"/>
        <v>0</v>
      </c>
      <c r="L182" s="13">
        <f t="shared" si="3"/>
        <v>0</v>
      </c>
    </row>
    <row r="183" spans="1:12" ht="28.8" x14ac:dyDescent="0.3">
      <c r="A183" s="2">
        <v>19</v>
      </c>
      <c r="B183" s="14" t="s">
        <v>759</v>
      </c>
      <c r="C183" s="2" t="s">
        <v>16</v>
      </c>
      <c r="D183" s="15"/>
      <c r="E183" s="15">
        <v>70</v>
      </c>
      <c r="F183" s="10"/>
      <c r="G183" s="10">
        <f t="shared" si="0"/>
        <v>0</v>
      </c>
      <c r="H183" s="10"/>
      <c r="I183" s="10">
        <f t="shared" si="1"/>
        <v>0</v>
      </c>
      <c r="J183" s="10"/>
      <c r="K183" s="10">
        <f t="shared" si="2"/>
        <v>0</v>
      </c>
      <c r="L183" s="10">
        <f t="shared" si="3"/>
        <v>0</v>
      </c>
    </row>
    <row r="184" spans="1:12" x14ac:dyDescent="0.3">
      <c r="A184" s="2"/>
      <c r="B184" s="17" t="s">
        <v>13</v>
      </c>
      <c r="C184" s="18" t="s">
        <v>16</v>
      </c>
      <c r="D184" s="19"/>
      <c r="E184" s="19">
        <v>70</v>
      </c>
      <c r="F184" s="10"/>
      <c r="G184" s="10">
        <f t="shared" si="0"/>
        <v>0</v>
      </c>
      <c r="H184" s="10"/>
      <c r="I184" s="10">
        <f t="shared" si="1"/>
        <v>0</v>
      </c>
      <c r="J184" s="10"/>
      <c r="K184" s="10">
        <f t="shared" si="2"/>
        <v>0</v>
      </c>
      <c r="L184" s="10">
        <f t="shared" si="3"/>
        <v>0</v>
      </c>
    </row>
    <row r="185" spans="1:12" x14ac:dyDescent="0.3">
      <c r="A185" s="2"/>
      <c r="B185" s="17" t="s">
        <v>685</v>
      </c>
      <c r="C185" s="18" t="s">
        <v>25</v>
      </c>
      <c r="D185" s="19"/>
      <c r="E185" s="19">
        <v>2.6109999999999998</v>
      </c>
      <c r="F185" s="10"/>
      <c r="G185" s="10">
        <f t="shared" si="0"/>
        <v>0</v>
      </c>
      <c r="H185" s="10"/>
      <c r="I185" s="10">
        <f t="shared" si="1"/>
        <v>0</v>
      </c>
      <c r="J185" s="10"/>
      <c r="K185" s="10">
        <f t="shared" si="2"/>
        <v>0</v>
      </c>
      <c r="L185" s="10">
        <f t="shared" si="3"/>
        <v>0</v>
      </c>
    </row>
    <row r="186" spans="1:12" x14ac:dyDescent="0.3">
      <c r="A186" s="2"/>
      <c r="B186" s="17" t="s">
        <v>760</v>
      </c>
      <c r="C186" s="18" t="s">
        <v>16</v>
      </c>
      <c r="D186" s="19"/>
      <c r="E186" s="19">
        <v>70</v>
      </c>
      <c r="F186" s="10"/>
      <c r="G186" s="10">
        <f t="shared" si="0"/>
        <v>0</v>
      </c>
      <c r="H186" s="10"/>
      <c r="I186" s="10">
        <f t="shared" si="1"/>
        <v>0</v>
      </c>
      <c r="J186" s="10"/>
      <c r="K186" s="10">
        <f t="shared" si="2"/>
        <v>0</v>
      </c>
      <c r="L186" s="10">
        <f t="shared" si="3"/>
        <v>0</v>
      </c>
    </row>
    <row r="187" spans="1:12" x14ac:dyDescent="0.3">
      <c r="A187" s="2"/>
      <c r="B187" s="17" t="s">
        <v>743</v>
      </c>
      <c r="C187" s="18" t="s">
        <v>47</v>
      </c>
      <c r="D187" s="19"/>
      <c r="E187" s="19">
        <v>45.5</v>
      </c>
      <c r="F187" s="10"/>
      <c r="G187" s="10">
        <f t="shared" si="0"/>
        <v>0</v>
      </c>
      <c r="H187" s="10"/>
      <c r="I187" s="10">
        <f t="shared" si="1"/>
        <v>0</v>
      </c>
      <c r="J187" s="10"/>
      <c r="K187" s="10">
        <f t="shared" si="2"/>
        <v>0</v>
      </c>
      <c r="L187" s="10">
        <f t="shared" si="3"/>
        <v>0</v>
      </c>
    </row>
    <row r="188" spans="1:12" x14ac:dyDescent="0.3">
      <c r="A188" s="2"/>
      <c r="B188" s="17" t="s">
        <v>686</v>
      </c>
      <c r="C188" s="18" t="s">
        <v>25</v>
      </c>
      <c r="D188" s="19"/>
      <c r="E188" s="19">
        <v>11.83</v>
      </c>
      <c r="F188" s="10"/>
      <c r="G188" s="10">
        <f t="shared" si="0"/>
        <v>0</v>
      </c>
      <c r="H188" s="10"/>
      <c r="I188" s="10">
        <f t="shared" si="1"/>
        <v>0</v>
      </c>
      <c r="J188" s="10"/>
      <c r="K188" s="10">
        <f t="shared" si="2"/>
        <v>0</v>
      </c>
      <c r="L188" s="10">
        <f t="shared" si="3"/>
        <v>0</v>
      </c>
    </row>
    <row r="189" spans="1:12" x14ac:dyDescent="0.3">
      <c r="A189" s="2">
        <v>20</v>
      </c>
      <c r="B189" s="14" t="s">
        <v>744</v>
      </c>
      <c r="C189" s="2" t="s">
        <v>16</v>
      </c>
      <c r="D189" s="15"/>
      <c r="E189" s="15">
        <v>70</v>
      </c>
      <c r="F189" s="10"/>
      <c r="G189" s="10">
        <f t="shared" si="0"/>
        <v>0</v>
      </c>
      <c r="H189" s="10"/>
      <c r="I189" s="10">
        <f t="shared" si="1"/>
        <v>0</v>
      </c>
      <c r="J189" s="10"/>
      <c r="K189" s="10">
        <f t="shared" si="2"/>
        <v>0</v>
      </c>
      <c r="L189" s="10">
        <f t="shared" si="3"/>
        <v>0</v>
      </c>
    </row>
    <row r="190" spans="1:12" x14ac:dyDescent="0.3">
      <c r="A190" s="2"/>
      <c r="B190" s="17" t="s">
        <v>13</v>
      </c>
      <c r="C190" s="18" t="s">
        <v>16</v>
      </c>
      <c r="D190" s="19"/>
      <c r="E190" s="19">
        <v>70</v>
      </c>
      <c r="F190" s="10"/>
      <c r="G190" s="10">
        <f t="shared" si="0"/>
        <v>0</v>
      </c>
      <c r="H190" s="10"/>
      <c r="I190" s="10">
        <f t="shared" si="1"/>
        <v>0</v>
      </c>
      <c r="J190" s="10"/>
      <c r="K190" s="10">
        <f t="shared" si="2"/>
        <v>0</v>
      </c>
      <c r="L190" s="10">
        <f t="shared" si="3"/>
        <v>0</v>
      </c>
    </row>
    <row r="191" spans="1:12" x14ac:dyDescent="0.3">
      <c r="A191" s="2"/>
      <c r="B191" s="17" t="s">
        <v>685</v>
      </c>
      <c r="C191" s="18" t="s">
        <v>25</v>
      </c>
      <c r="D191" s="19"/>
      <c r="E191" s="19">
        <v>2.0999999999999998E-2</v>
      </c>
      <c r="F191" s="10"/>
      <c r="G191" s="10">
        <f t="shared" si="0"/>
        <v>0</v>
      </c>
      <c r="H191" s="10"/>
      <c r="I191" s="10">
        <f t="shared" si="1"/>
        <v>0</v>
      </c>
      <c r="J191" s="10"/>
      <c r="K191" s="10">
        <f t="shared" si="2"/>
        <v>0</v>
      </c>
      <c r="L191" s="10">
        <f t="shared" si="3"/>
        <v>0</v>
      </c>
    </row>
    <row r="192" spans="1:12" x14ac:dyDescent="0.3">
      <c r="A192" s="2"/>
      <c r="B192" s="17" t="s">
        <v>745</v>
      </c>
      <c r="C192" s="18" t="s">
        <v>16</v>
      </c>
      <c r="D192" s="19"/>
      <c r="E192" s="19">
        <v>73.5</v>
      </c>
      <c r="F192" s="10"/>
      <c r="G192" s="10">
        <f t="shared" si="0"/>
        <v>0</v>
      </c>
      <c r="H192" s="10"/>
      <c r="I192" s="10">
        <f t="shared" si="1"/>
        <v>0</v>
      </c>
      <c r="J192" s="10"/>
      <c r="K192" s="10">
        <f t="shared" si="2"/>
        <v>0</v>
      </c>
      <c r="L192" s="10">
        <f t="shared" si="3"/>
        <v>0</v>
      </c>
    </row>
    <row r="193" spans="1:14" x14ac:dyDescent="0.3">
      <c r="A193" s="2"/>
      <c r="B193" s="17" t="s">
        <v>686</v>
      </c>
      <c r="C193" s="18" t="s">
        <v>25</v>
      </c>
      <c r="D193" s="19"/>
      <c r="E193" s="19">
        <v>0.23799999999999999</v>
      </c>
      <c r="F193" s="10"/>
      <c r="G193" s="10">
        <f t="shared" si="0"/>
        <v>0</v>
      </c>
      <c r="H193" s="10"/>
      <c r="I193" s="10">
        <f t="shared" si="1"/>
        <v>0</v>
      </c>
      <c r="J193" s="10"/>
      <c r="K193" s="10">
        <f t="shared" si="2"/>
        <v>0</v>
      </c>
      <c r="L193" s="10">
        <f t="shared" si="3"/>
        <v>0</v>
      </c>
    </row>
    <row r="194" spans="1:14" x14ac:dyDescent="0.3">
      <c r="A194" s="2">
        <v>21</v>
      </c>
      <c r="B194" s="14" t="s">
        <v>775</v>
      </c>
      <c r="C194" s="2" t="s">
        <v>72</v>
      </c>
      <c r="D194" s="15"/>
      <c r="E194" s="15">
        <v>26</v>
      </c>
      <c r="F194" s="10"/>
      <c r="G194" s="10">
        <f t="shared" si="0"/>
        <v>0</v>
      </c>
      <c r="H194" s="10"/>
      <c r="I194" s="10">
        <f t="shared" si="1"/>
        <v>0</v>
      </c>
      <c r="J194" s="10"/>
      <c r="K194" s="10">
        <f t="shared" si="2"/>
        <v>0</v>
      </c>
      <c r="L194" s="10">
        <f t="shared" si="3"/>
        <v>0</v>
      </c>
    </row>
    <row r="195" spans="1:14" x14ac:dyDescent="0.3">
      <c r="A195" s="2"/>
      <c r="B195" s="17" t="s">
        <v>13</v>
      </c>
      <c r="C195" s="18" t="s">
        <v>72</v>
      </c>
      <c r="D195" s="19"/>
      <c r="E195" s="19">
        <v>26</v>
      </c>
      <c r="F195" s="10"/>
      <c r="G195" s="10">
        <f t="shared" si="0"/>
        <v>0</v>
      </c>
      <c r="H195" s="10"/>
      <c r="I195" s="10">
        <f t="shared" si="1"/>
        <v>0</v>
      </c>
      <c r="J195" s="10"/>
      <c r="K195" s="10">
        <f t="shared" si="2"/>
        <v>0</v>
      </c>
      <c r="L195" s="10">
        <f t="shared" si="3"/>
        <v>0</v>
      </c>
    </row>
    <row r="196" spans="1:14" x14ac:dyDescent="0.3">
      <c r="A196" s="2"/>
      <c r="B196" s="17" t="s">
        <v>685</v>
      </c>
      <c r="C196" s="18" t="s">
        <v>25</v>
      </c>
      <c r="D196" s="19"/>
      <c r="E196" s="19">
        <v>1.3</v>
      </c>
      <c r="F196" s="10"/>
      <c r="G196" s="10">
        <f t="shared" si="0"/>
        <v>0</v>
      </c>
      <c r="H196" s="10"/>
      <c r="I196" s="10">
        <f t="shared" si="1"/>
        <v>0</v>
      </c>
      <c r="J196" s="10"/>
      <c r="K196" s="10">
        <f t="shared" si="2"/>
        <v>0</v>
      </c>
      <c r="L196" s="10">
        <f t="shared" si="3"/>
        <v>0</v>
      </c>
    </row>
    <row r="197" spans="1:14" x14ac:dyDescent="0.3">
      <c r="A197" s="2"/>
      <c r="B197" s="17" t="s">
        <v>761</v>
      </c>
      <c r="C197" s="18" t="s">
        <v>72</v>
      </c>
      <c r="D197" s="19"/>
      <c r="E197" s="19">
        <v>24</v>
      </c>
      <c r="F197" s="10"/>
      <c r="G197" s="10">
        <f t="shared" si="0"/>
        <v>0</v>
      </c>
      <c r="H197" s="10"/>
      <c r="I197" s="10">
        <f t="shared" si="1"/>
        <v>0</v>
      </c>
      <c r="J197" s="10"/>
      <c r="K197" s="10">
        <f t="shared" si="2"/>
        <v>0</v>
      </c>
      <c r="L197" s="10">
        <f t="shared" si="3"/>
        <v>0</v>
      </c>
    </row>
    <row r="198" spans="1:14" x14ac:dyDescent="0.3">
      <c r="A198" s="2"/>
      <c r="B198" s="17" t="s">
        <v>762</v>
      </c>
      <c r="C198" s="18" t="s">
        <v>72</v>
      </c>
      <c r="D198" s="27"/>
      <c r="E198" s="19">
        <v>2</v>
      </c>
      <c r="F198" s="10"/>
      <c r="G198" s="10">
        <f t="shared" si="0"/>
        <v>0</v>
      </c>
      <c r="H198" s="10"/>
      <c r="I198" s="10">
        <f t="shared" si="1"/>
        <v>0</v>
      </c>
      <c r="J198" s="10"/>
      <c r="K198" s="10">
        <f t="shared" si="2"/>
        <v>0</v>
      </c>
      <c r="L198" s="10">
        <f t="shared" si="3"/>
        <v>0</v>
      </c>
    </row>
    <row r="199" spans="1:14" x14ac:dyDescent="0.3">
      <c r="A199" s="2"/>
      <c r="B199" s="17" t="s">
        <v>763</v>
      </c>
      <c r="C199" s="18" t="s">
        <v>72</v>
      </c>
      <c r="D199" s="19"/>
      <c r="E199" s="19">
        <v>2</v>
      </c>
      <c r="F199" s="10"/>
      <c r="G199" s="10">
        <f t="shared" si="0"/>
        <v>0</v>
      </c>
      <c r="H199" s="10"/>
      <c r="I199" s="10">
        <f t="shared" si="1"/>
        <v>0</v>
      </c>
      <c r="J199" s="10"/>
      <c r="K199" s="10">
        <f t="shared" si="2"/>
        <v>0</v>
      </c>
      <c r="L199" s="10">
        <f t="shared" si="3"/>
        <v>0</v>
      </c>
      <c r="N199" s="9"/>
    </row>
    <row r="200" spans="1:14" x14ac:dyDescent="0.3">
      <c r="A200" s="2"/>
      <c r="B200" s="17" t="s">
        <v>764</v>
      </c>
      <c r="C200" s="18" t="s">
        <v>72</v>
      </c>
      <c r="D200" s="27"/>
      <c r="E200" s="19">
        <v>2</v>
      </c>
      <c r="F200" s="10"/>
      <c r="G200" s="10">
        <f t="shared" si="0"/>
        <v>0</v>
      </c>
      <c r="H200" s="10"/>
      <c r="I200" s="10">
        <f t="shared" si="1"/>
        <v>0</v>
      </c>
      <c r="J200" s="10"/>
      <c r="K200" s="10">
        <f t="shared" si="2"/>
        <v>0</v>
      </c>
      <c r="L200" s="10">
        <f t="shared" si="3"/>
        <v>0</v>
      </c>
    </row>
    <row r="201" spans="1:14" x14ac:dyDescent="0.3">
      <c r="A201" s="2"/>
      <c r="B201" s="17" t="s">
        <v>765</v>
      </c>
      <c r="C201" s="18" t="s">
        <v>72</v>
      </c>
      <c r="D201" s="27"/>
      <c r="E201" s="19">
        <v>11</v>
      </c>
      <c r="F201" s="10"/>
      <c r="G201" s="10">
        <f t="shared" si="0"/>
        <v>0</v>
      </c>
      <c r="H201" s="10"/>
      <c r="I201" s="10">
        <f t="shared" si="1"/>
        <v>0</v>
      </c>
      <c r="J201" s="10"/>
      <c r="K201" s="10">
        <f t="shared" si="2"/>
        <v>0</v>
      </c>
      <c r="L201" s="10">
        <f t="shared" si="3"/>
        <v>0</v>
      </c>
    </row>
    <row r="202" spans="1:14" x14ac:dyDescent="0.3">
      <c r="A202" s="2"/>
      <c r="B202" s="17" t="s">
        <v>686</v>
      </c>
      <c r="C202" s="18" t="s">
        <v>25</v>
      </c>
      <c r="D202" s="27"/>
      <c r="E202" s="19">
        <v>4.16</v>
      </c>
      <c r="F202" s="10"/>
      <c r="G202" s="10">
        <f t="shared" si="0"/>
        <v>0</v>
      </c>
      <c r="H202" s="10"/>
      <c r="I202" s="10">
        <f t="shared" si="1"/>
        <v>0</v>
      </c>
      <c r="J202" s="10"/>
      <c r="K202" s="10">
        <f t="shared" si="2"/>
        <v>0</v>
      </c>
      <c r="L202" s="10">
        <f t="shared" si="3"/>
        <v>0</v>
      </c>
    </row>
    <row r="203" spans="1:14" x14ac:dyDescent="0.3">
      <c r="A203" s="2">
        <v>22</v>
      </c>
      <c r="B203" s="14" t="s">
        <v>708</v>
      </c>
      <c r="C203" s="2" t="s">
        <v>12</v>
      </c>
      <c r="D203" s="15"/>
      <c r="E203" s="15">
        <v>101</v>
      </c>
      <c r="F203" s="10"/>
      <c r="G203" s="10">
        <f t="shared" si="0"/>
        <v>0</v>
      </c>
      <c r="H203" s="10"/>
      <c r="I203" s="10">
        <f t="shared" si="1"/>
        <v>0</v>
      </c>
      <c r="J203" s="10"/>
      <c r="K203" s="10">
        <f t="shared" si="2"/>
        <v>0</v>
      </c>
      <c r="L203" s="10">
        <f t="shared" si="3"/>
        <v>0</v>
      </c>
    </row>
    <row r="204" spans="1:14" x14ac:dyDescent="0.3">
      <c r="A204" s="2"/>
      <c r="B204" s="17" t="s">
        <v>13</v>
      </c>
      <c r="C204" s="18" t="s">
        <v>12</v>
      </c>
      <c r="D204" s="19"/>
      <c r="E204" s="19">
        <v>101</v>
      </c>
      <c r="F204" s="10"/>
      <c r="G204" s="10">
        <f t="shared" si="0"/>
        <v>0</v>
      </c>
      <c r="H204" s="10"/>
      <c r="I204" s="10">
        <f t="shared" si="1"/>
        <v>0</v>
      </c>
      <c r="J204" s="10"/>
      <c r="K204" s="10">
        <f t="shared" si="2"/>
        <v>0</v>
      </c>
      <c r="L204" s="10">
        <f t="shared" si="3"/>
        <v>0</v>
      </c>
    </row>
    <row r="205" spans="1:14" x14ac:dyDescent="0.3">
      <c r="A205" s="2"/>
      <c r="B205" s="17" t="s">
        <v>685</v>
      </c>
      <c r="C205" s="18" t="s">
        <v>25</v>
      </c>
      <c r="D205" s="19"/>
      <c r="E205" s="19">
        <v>1.01</v>
      </c>
      <c r="F205" s="10"/>
      <c r="G205" s="10">
        <f t="shared" si="0"/>
        <v>0</v>
      </c>
      <c r="H205" s="10"/>
      <c r="I205" s="10">
        <f t="shared" si="1"/>
        <v>0</v>
      </c>
      <c r="J205" s="10"/>
      <c r="K205" s="10">
        <f t="shared" si="2"/>
        <v>0</v>
      </c>
      <c r="L205" s="10">
        <f t="shared" si="3"/>
        <v>0</v>
      </c>
    </row>
    <row r="206" spans="1:14" x14ac:dyDescent="0.3">
      <c r="A206" s="2"/>
      <c r="B206" s="17" t="s">
        <v>766</v>
      </c>
      <c r="C206" s="18" t="s">
        <v>12</v>
      </c>
      <c r="D206" s="19"/>
      <c r="E206" s="19">
        <v>18.5</v>
      </c>
      <c r="F206" s="10"/>
      <c r="G206" s="10">
        <f t="shared" si="0"/>
        <v>0</v>
      </c>
      <c r="H206" s="10"/>
      <c r="I206" s="10">
        <f t="shared" si="1"/>
        <v>0</v>
      </c>
      <c r="J206" s="10"/>
      <c r="K206" s="10">
        <f t="shared" si="2"/>
        <v>0</v>
      </c>
      <c r="L206" s="10">
        <f t="shared" si="3"/>
        <v>0</v>
      </c>
    </row>
    <row r="207" spans="1:14" x14ac:dyDescent="0.3">
      <c r="A207" s="2"/>
      <c r="B207" s="17" t="s">
        <v>767</v>
      </c>
      <c r="C207" s="18" t="s">
        <v>12</v>
      </c>
      <c r="D207" s="19"/>
      <c r="E207" s="19">
        <v>32</v>
      </c>
      <c r="F207" s="10"/>
      <c r="G207" s="10">
        <f t="shared" si="0"/>
        <v>0</v>
      </c>
      <c r="H207" s="10"/>
      <c r="I207" s="10">
        <f t="shared" si="1"/>
        <v>0</v>
      </c>
      <c r="J207" s="10"/>
      <c r="K207" s="10">
        <f t="shared" si="2"/>
        <v>0</v>
      </c>
      <c r="L207" s="10">
        <f t="shared" si="3"/>
        <v>0</v>
      </c>
    </row>
    <row r="208" spans="1:14" x14ac:dyDescent="0.3">
      <c r="A208" s="2"/>
      <c r="B208" s="17" t="s">
        <v>768</v>
      </c>
      <c r="C208" s="18" t="s">
        <v>12</v>
      </c>
      <c r="D208" s="19"/>
      <c r="E208" s="19">
        <v>18.5</v>
      </c>
      <c r="F208" s="10"/>
      <c r="G208" s="10">
        <f t="shared" si="0"/>
        <v>0</v>
      </c>
      <c r="H208" s="10"/>
      <c r="I208" s="10">
        <f t="shared" si="1"/>
        <v>0</v>
      </c>
      <c r="J208" s="10"/>
      <c r="K208" s="10">
        <f t="shared" si="2"/>
        <v>0</v>
      </c>
      <c r="L208" s="10">
        <f t="shared" si="3"/>
        <v>0</v>
      </c>
    </row>
    <row r="209" spans="1:12" x14ac:dyDescent="0.3">
      <c r="A209" s="2"/>
      <c r="B209" s="17" t="s">
        <v>769</v>
      </c>
      <c r="C209" s="18" t="s">
        <v>12</v>
      </c>
      <c r="D209" s="19"/>
      <c r="E209" s="19">
        <v>31</v>
      </c>
      <c r="F209" s="10"/>
      <c r="G209" s="10">
        <f t="shared" si="0"/>
        <v>0</v>
      </c>
      <c r="H209" s="10"/>
      <c r="I209" s="10">
        <f t="shared" si="1"/>
        <v>0</v>
      </c>
      <c r="J209" s="10"/>
      <c r="K209" s="10">
        <f t="shared" si="2"/>
        <v>0</v>
      </c>
      <c r="L209" s="10">
        <f t="shared" si="3"/>
        <v>0</v>
      </c>
    </row>
    <row r="210" spans="1:12" x14ac:dyDescent="0.3">
      <c r="A210" s="2"/>
      <c r="B210" s="17" t="s">
        <v>770</v>
      </c>
      <c r="C210" s="18" t="s">
        <v>12</v>
      </c>
      <c r="D210" s="19"/>
      <c r="E210" s="19">
        <v>1</v>
      </c>
      <c r="F210" s="10"/>
      <c r="G210" s="10">
        <f t="shared" si="0"/>
        <v>0</v>
      </c>
      <c r="H210" s="10"/>
      <c r="I210" s="10">
        <f t="shared" si="1"/>
        <v>0</v>
      </c>
      <c r="J210" s="10"/>
      <c r="K210" s="10">
        <f t="shared" si="2"/>
        <v>0</v>
      </c>
      <c r="L210" s="10">
        <f t="shared" si="3"/>
        <v>0</v>
      </c>
    </row>
    <row r="211" spans="1:12" x14ac:dyDescent="0.3">
      <c r="A211" s="2"/>
      <c r="B211" s="17" t="s">
        <v>714</v>
      </c>
      <c r="C211" s="18" t="s">
        <v>72</v>
      </c>
      <c r="D211" s="19"/>
      <c r="E211" s="19">
        <v>30</v>
      </c>
      <c r="F211" s="10"/>
      <c r="G211" s="10">
        <f t="shared" si="0"/>
        <v>0</v>
      </c>
      <c r="H211" s="10"/>
      <c r="I211" s="10">
        <f t="shared" si="1"/>
        <v>0</v>
      </c>
      <c r="J211" s="10"/>
      <c r="K211" s="10">
        <f t="shared" si="2"/>
        <v>0</v>
      </c>
      <c r="L211" s="10">
        <f t="shared" si="3"/>
        <v>0</v>
      </c>
    </row>
    <row r="212" spans="1:12" x14ac:dyDescent="0.3">
      <c r="A212" s="2"/>
      <c r="B212" s="17" t="s">
        <v>715</v>
      </c>
      <c r="C212" s="18" t="s">
        <v>25</v>
      </c>
      <c r="D212" s="19"/>
      <c r="E212" s="19">
        <v>3.03</v>
      </c>
      <c r="F212" s="10"/>
      <c r="G212" s="10">
        <f t="shared" si="0"/>
        <v>0</v>
      </c>
      <c r="H212" s="10"/>
      <c r="I212" s="10">
        <f t="shared" si="1"/>
        <v>0</v>
      </c>
      <c r="J212" s="10"/>
      <c r="K212" s="10">
        <f t="shared" si="2"/>
        <v>0</v>
      </c>
      <c r="L212" s="10">
        <f t="shared" si="3"/>
        <v>0</v>
      </c>
    </row>
    <row r="213" spans="1:12" x14ac:dyDescent="0.3">
      <c r="A213" s="2">
        <v>23</v>
      </c>
      <c r="B213" s="14" t="s">
        <v>753</v>
      </c>
      <c r="C213" s="2" t="s">
        <v>25</v>
      </c>
      <c r="D213" s="15"/>
      <c r="E213" s="15">
        <v>1</v>
      </c>
      <c r="F213" s="10"/>
      <c r="G213" s="10">
        <f t="shared" si="0"/>
        <v>0</v>
      </c>
      <c r="H213" s="10"/>
      <c r="I213" s="10">
        <f t="shared" si="1"/>
        <v>0</v>
      </c>
      <c r="J213" s="10"/>
      <c r="K213" s="10">
        <f t="shared" si="2"/>
        <v>0</v>
      </c>
      <c r="L213" s="10">
        <f t="shared" si="3"/>
        <v>0</v>
      </c>
    </row>
    <row r="214" spans="1:12" x14ac:dyDescent="0.3">
      <c r="A214" s="11"/>
      <c r="B214" s="11" t="s">
        <v>214</v>
      </c>
      <c r="C214" s="4"/>
      <c r="D214" s="12"/>
      <c r="E214" s="12"/>
      <c r="F214" s="13"/>
      <c r="G214" s="13">
        <f t="shared" ref="G214" si="4">F214*E214</f>
        <v>0</v>
      </c>
      <c r="H214" s="13"/>
      <c r="I214" s="13">
        <f t="shared" ref="I214" si="5">H214*E214</f>
        <v>0</v>
      </c>
      <c r="J214" s="13"/>
      <c r="K214" s="13">
        <f t="shared" ref="K214" si="6">J214*E214</f>
        <v>0</v>
      </c>
      <c r="L214" s="13">
        <f t="shared" ref="L214" si="7">K214+I214+G214</f>
        <v>0</v>
      </c>
    </row>
    <row r="215" spans="1:12" x14ac:dyDescent="0.3">
      <c r="A215" s="2">
        <v>24</v>
      </c>
      <c r="B215" s="14" t="s">
        <v>771</v>
      </c>
      <c r="C215" s="2" t="s">
        <v>216</v>
      </c>
      <c r="D215" s="15"/>
      <c r="E215" s="15">
        <v>18</v>
      </c>
      <c r="F215" s="10"/>
      <c r="G215" s="10">
        <f t="shared" si="0"/>
        <v>0</v>
      </c>
      <c r="H215" s="10"/>
      <c r="I215" s="10">
        <f t="shared" si="1"/>
        <v>0</v>
      </c>
      <c r="J215" s="10"/>
      <c r="K215" s="10">
        <f t="shared" si="2"/>
        <v>0</v>
      </c>
      <c r="L215" s="10">
        <f t="shared" si="3"/>
        <v>0</v>
      </c>
    </row>
    <row r="216" spans="1:12" x14ac:dyDescent="0.3">
      <c r="A216" s="2">
        <v>25</v>
      </c>
      <c r="B216" s="14" t="s">
        <v>772</v>
      </c>
      <c r="C216" s="2" t="s">
        <v>220</v>
      </c>
      <c r="D216" s="15"/>
      <c r="E216" s="15">
        <v>1</v>
      </c>
      <c r="F216" s="10"/>
      <c r="G216" s="10">
        <f t="shared" si="0"/>
        <v>0</v>
      </c>
      <c r="H216" s="10"/>
      <c r="I216" s="10">
        <f t="shared" si="1"/>
        <v>0</v>
      </c>
      <c r="J216" s="10"/>
      <c r="K216" s="10">
        <f t="shared" si="2"/>
        <v>0</v>
      </c>
      <c r="L216" s="10">
        <f t="shared" si="3"/>
        <v>0</v>
      </c>
    </row>
    <row r="217" spans="1:12" x14ac:dyDescent="0.3">
      <c r="A217" s="3"/>
      <c r="B217" s="3" t="s">
        <v>7</v>
      </c>
      <c r="C217" s="3"/>
      <c r="D217" s="24"/>
      <c r="E217" s="24"/>
      <c r="F217" s="25"/>
      <c r="G217" s="25">
        <f>SUM(G10:G216)</f>
        <v>0</v>
      </c>
      <c r="H217" s="25"/>
      <c r="I217" s="25">
        <f>SUM(I10:I216)</f>
        <v>0</v>
      </c>
      <c r="J217" s="25"/>
      <c r="K217" s="25">
        <f>SUM(K10:K216)</f>
        <v>0</v>
      </c>
      <c r="L217" s="25">
        <f>SUM(L10:L216)</f>
        <v>0</v>
      </c>
    </row>
    <row r="218" spans="1:12" x14ac:dyDescent="0.3">
      <c r="A218" s="2"/>
      <c r="B218" s="5" t="s">
        <v>226</v>
      </c>
      <c r="C218" s="1"/>
      <c r="D218" s="8"/>
      <c r="E218" s="26">
        <v>0.03</v>
      </c>
      <c r="F218" s="10"/>
      <c r="G218" s="10"/>
      <c r="H218" s="10"/>
      <c r="I218" s="10"/>
      <c r="J218" s="10"/>
      <c r="K218" s="10"/>
      <c r="L218" s="10">
        <f>G217*E218</f>
        <v>0</v>
      </c>
    </row>
    <row r="219" spans="1:12" x14ac:dyDescent="0.3">
      <c r="A219" s="2"/>
      <c r="B219" s="2" t="s">
        <v>7</v>
      </c>
      <c r="C219" s="1"/>
      <c r="D219" s="8"/>
      <c r="E219" s="26"/>
      <c r="F219" s="10"/>
      <c r="G219" s="10"/>
      <c r="H219" s="10"/>
      <c r="I219" s="10"/>
      <c r="J219" s="10"/>
      <c r="K219" s="10"/>
      <c r="L219" s="10">
        <f>L218+L217</f>
        <v>0</v>
      </c>
    </row>
    <row r="220" spans="1:12" x14ac:dyDescent="0.3">
      <c r="A220" s="2"/>
      <c r="B220" s="5" t="s">
        <v>227</v>
      </c>
      <c r="C220" s="1"/>
      <c r="D220" s="8"/>
      <c r="E220" s="26">
        <v>0.1</v>
      </c>
      <c r="F220" s="10"/>
      <c r="G220" s="10"/>
      <c r="H220" s="10"/>
      <c r="I220" s="10"/>
      <c r="J220" s="10"/>
      <c r="K220" s="10"/>
      <c r="L220" s="10">
        <f>L219*E220</f>
        <v>0</v>
      </c>
    </row>
    <row r="221" spans="1:12" x14ac:dyDescent="0.3">
      <c r="A221" s="2"/>
      <c r="B221" s="2" t="s">
        <v>7</v>
      </c>
      <c r="C221" s="1"/>
      <c r="D221" s="8"/>
      <c r="E221" s="26"/>
      <c r="F221" s="10"/>
      <c r="G221" s="10"/>
      <c r="H221" s="10"/>
      <c r="I221" s="10"/>
      <c r="J221" s="10"/>
      <c r="K221" s="10"/>
      <c r="L221" s="10">
        <f>L220+L219</f>
        <v>0</v>
      </c>
    </row>
    <row r="222" spans="1:12" x14ac:dyDescent="0.3">
      <c r="A222" s="2"/>
      <c r="B222" s="5" t="s">
        <v>228</v>
      </c>
      <c r="C222" s="1"/>
      <c r="D222" s="8"/>
      <c r="E222" s="26">
        <v>0.01</v>
      </c>
      <c r="F222" s="10"/>
      <c r="G222" s="10"/>
      <c r="H222" s="10"/>
      <c r="I222" s="10"/>
      <c r="J222" s="10"/>
      <c r="K222" s="10"/>
      <c r="L222" s="10">
        <f>L221*E222</f>
        <v>0</v>
      </c>
    </row>
    <row r="223" spans="1:12" x14ac:dyDescent="0.3">
      <c r="A223" s="2"/>
      <c r="B223" s="2" t="s">
        <v>7</v>
      </c>
      <c r="C223" s="1"/>
      <c r="D223" s="8"/>
      <c r="E223" s="26"/>
      <c r="F223" s="10"/>
      <c r="G223" s="10"/>
      <c r="H223" s="10"/>
      <c r="I223" s="10"/>
      <c r="J223" s="10"/>
      <c r="K223" s="10"/>
      <c r="L223" s="10">
        <f>L222+L221</f>
        <v>0</v>
      </c>
    </row>
    <row r="224" spans="1:12" x14ac:dyDescent="0.3">
      <c r="A224" s="2"/>
      <c r="B224" s="5" t="s">
        <v>229</v>
      </c>
      <c r="C224" s="1"/>
      <c r="D224" s="8"/>
      <c r="E224" s="26">
        <v>0.08</v>
      </c>
      <c r="F224" s="10"/>
      <c r="G224" s="10"/>
      <c r="H224" s="10"/>
      <c r="I224" s="10"/>
      <c r="J224" s="10"/>
      <c r="K224" s="10"/>
      <c r="L224" s="10">
        <f>L223*E224</f>
        <v>0</v>
      </c>
    </row>
    <row r="225" spans="1:12" x14ac:dyDescent="0.3">
      <c r="A225" s="2"/>
      <c r="B225" s="2" t="s">
        <v>7</v>
      </c>
      <c r="C225" s="1"/>
      <c r="D225" s="8"/>
      <c r="E225" s="26"/>
      <c r="F225" s="10"/>
      <c r="G225" s="10"/>
      <c r="H225" s="10"/>
      <c r="I225" s="10"/>
      <c r="J225" s="10"/>
      <c r="K225" s="10"/>
      <c r="L225" s="10">
        <f>L224+L223</f>
        <v>0</v>
      </c>
    </row>
    <row r="226" spans="1:12" x14ac:dyDescent="0.3">
      <c r="A226" s="2"/>
      <c r="B226" s="5" t="s">
        <v>230</v>
      </c>
      <c r="C226" s="1"/>
      <c r="D226" s="8"/>
      <c r="E226" s="26">
        <v>0.03</v>
      </c>
      <c r="F226" s="10"/>
      <c r="G226" s="10"/>
      <c r="H226" s="10"/>
      <c r="I226" s="10"/>
      <c r="J226" s="10"/>
      <c r="K226" s="10"/>
      <c r="L226" s="10">
        <f>L225*E226</f>
        <v>0</v>
      </c>
    </row>
    <row r="227" spans="1:12" x14ac:dyDescent="0.3">
      <c r="A227" s="2"/>
      <c r="B227" s="2" t="s">
        <v>7</v>
      </c>
      <c r="C227" s="1"/>
      <c r="D227" s="8"/>
      <c r="E227" s="26"/>
      <c r="F227" s="10"/>
      <c r="G227" s="10"/>
      <c r="H227" s="10"/>
      <c r="I227" s="10"/>
      <c r="J227" s="10"/>
      <c r="K227" s="10"/>
      <c r="L227" s="10">
        <f>L226+L225</f>
        <v>0</v>
      </c>
    </row>
    <row r="228" spans="1:12" x14ac:dyDescent="0.3">
      <c r="A228" s="2"/>
      <c r="B228" s="5" t="s">
        <v>231</v>
      </c>
      <c r="C228" s="1"/>
      <c r="D228" s="8"/>
      <c r="E228" s="26">
        <v>0.18</v>
      </c>
      <c r="F228" s="10"/>
      <c r="G228" s="10"/>
      <c r="H228" s="10"/>
      <c r="I228" s="10"/>
      <c r="J228" s="10"/>
      <c r="K228" s="10"/>
      <c r="L228" s="10">
        <f>L227*E228</f>
        <v>0</v>
      </c>
    </row>
    <row r="229" spans="1:12" x14ac:dyDescent="0.3">
      <c r="A229" s="3"/>
      <c r="B229" s="3" t="s">
        <v>232</v>
      </c>
      <c r="C229" s="3"/>
      <c r="D229" s="24"/>
      <c r="E229" s="24"/>
      <c r="F229" s="25"/>
      <c r="G229" s="25"/>
      <c r="H229" s="25"/>
      <c r="I229" s="25"/>
      <c r="J229" s="25"/>
      <c r="K229" s="25"/>
      <c r="L229" s="25">
        <f>L228+L227</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9"/>
  <sheetViews>
    <sheetView zoomScale="85" zoomScaleNormal="85" workbookViewId="0">
      <selection activeCell="S10" sqref="S10"/>
    </sheetView>
  </sheetViews>
  <sheetFormatPr defaultRowHeight="14.4" x14ac:dyDescent="0.3"/>
  <cols>
    <col min="1" max="1" width="8.88671875" style="7"/>
    <col min="2" max="2" width="74.88671875"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9.21875" bestFit="1" customWidth="1"/>
  </cols>
  <sheetData>
    <row r="2" spans="1:12" x14ac:dyDescent="0.3">
      <c r="A2" s="40" t="s">
        <v>1036</v>
      </c>
      <c r="B2" s="40"/>
      <c r="C2" s="40"/>
      <c r="D2" s="40"/>
      <c r="E2" s="40"/>
      <c r="F2" s="40"/>
      <c r="G2" s="40"/>
      <c r="H2" s="40"/>
      <c r="I2" s="40"/>
      <c r="J2" s="40"/>
      <c r="K2" s="40"/>
      <c r="L2" s="40"/>
    </row>
    <row r="3" spans="1:12" x14ac:dyDescent="0.3">
      <c r="A3" s="40" t="s">
        <v>1037</v>
      </c>
      <c r="B3" s="40"/>
      <c r="C3" s="40"/>
      <c r="D3" s="40"/>
      <c r="E3" s="40"/>
      <c r="F3" s="40"/>
      <c r="G3" s="40"/>
      <c r="H3" s="40"/>
      <c r="I3" s="40"/>
      <c r="J3" s="40"/>
      <c r="K3" s="40"/>
      <c r="L3" s="40"/>
    </row>
    <row r="4" spans="1:12" x14ac:dyDescent="0.3">
      <c r="A4" s="36" t="s">
        <v>1056</v>
      </c>
      <c r="K4" s="33" t="s">
        <v>1038</v>
      </c>
      <c r="L4" s="34" t="str">
        <f>'2000 მ²'!L4</f>
        <v>001</v>
      </c>
    </row>
    <row r="5" spans="1:12" x14ac:dyDescent="0.3">
      <c r="A5" s="36" t="s">
        <v>1044</v>
      </c>
      <c r="K5" s="33" t="s">
        <v>1040</v>
      </c>
      <c r="L5" s="35">
        <f>'2000 მ²'!L5</f>
        <v>45887</v>
      </c>
    </row>
    <row r="6" spans="1:12" ht="28.8" customHeight="1" x14ac:dyDescent="0.3">
      <c r="A6" s="43" t="s">
        <v>0</v>
      </c>
      <c r="B6" s="43" t="s">
        <v>1</v>
      </c>
      <c r="C6" s="43" t="s">
        <v>2</v>
      </c>
      <c r="D6" s="45" t="s">
        <v>9</v>
      </c>
      <c r="E6" s="45" t="s">
        <v>3</v>
      </c>
      <c r="F6" s="41" t="s">
        <v>4</v>
      </c>
      <c r="G6" s="42"/>
      <c r="H6" s="41" t="s">
        <v>5</v>
      </c>
      <c r="I6" s="42"/>
      <c r="J6" s="41" t="s">
        <v>6</v>
      </c>
      <c r="K6" s="42"/>
      <c r="L6" s="43" t="s">
        <v>7</v>
      </c>
    </row>
    <row r="7" spans="1:12" ht="23.4" customHeight="1" x14ac:dyDescent="0.3">
      <c r="A7" s="44"/>
      <c r="B7" s="44"/>
      <c r="C7" s="44"/>
      <c r="D7" s="46"/>
      <c r="E7" s="46"/>
      <c r="F7" s="3" t="s">
        <v>8</v>
      </c>
      <c r="G7" s="3" t="s">
        <v>7</v>
      </c>
      <c r="H7" s="3" t="s">
        <v>8</v>
      </c>
      <c r="I7" s="3" t="s">
        <v>7</v>
      </c>
      <c r="J7" s="3" t="s">
        <v>8</v>
      </c>
      <c r="K7" s="3" t="s">
        <v>7</v>
      </c>
      <c r="L7" s="44"/>
    </row>
    <row r="8" spans="1:12" x14ac:dyDescent="0.3">
      <c r="A8" s="3">
        <v>1</v>
      </c>
      <c r="B8" s="3">
        <v>2</v>
      </c>
      <c r="C8" s="3">
        <v>3</v>
      </c>
      <c r="D8" s="3">
        <v>4</v>
      </c>
      <c r="E8" s="3">
        <v>5</v>
      </c>
      <c r="F8" s="3">
        <v>6</v>
      </c>
      <c r="G8" s="3">
        <v>7</v>
      </c>
      <c r="H8" s="3">
        <v>8</v>
      </c>
      <c r="I8" s="3">
        <v>9</v>
      </c>
      <c r="J8" s="3">
        <v>10</v>
      </c>
      <c r="K8" s="3">
        <v>11</v>
      </c>
      <c r="L8" s="3">
        <v>12</v>
      </c>
    </row>
    <row r="9" spans="1:12" x14ac:dyDescent="0.3">
      <c r="A9" s="11"/>
      <c r="B9" s="11" t="s">
        <v>950</v>
      </c>
      <c r="C9" s="4"/>
      <c r="D9" s="12"/>
      <c r="E9" s="12"/>
      <c r="F9" s="13"/>
      <c r="G9" s="13"/>
      <c r="H9" s="13"/>
      <c r="I9" s="13"/>
      <c r="J9" s="13"/>
      <c r="K9" s="13"/>
      <c r="L9" s="13"/>
    </row>
    <row r="10" spans="1:12" ht="129.6" x14ac:dyDescent="0.3">
      <c r="A10" s="2">
        <v>1</v>
      </c>
      <c r="B10" s="17" t="s">
        <v>899</v>
      </c>
      <c r="C10" s="18" t="s">
        <v>1028</v>
      </c>
      <c r="D10" s="19"/>
      <c r="E10" s="19">
        <v>4</v>
      </c>
      <c r="F10" s="10"/>
      <c r="G10" s="10">
        <f t="shared" ref="G10:G208" si="0">F10*E10</f>
        <v>0</v>
      </c>
      <c r="H10" s="10"/>
      <c r="I10" s="10">
        <f t="shared" ref="I10:I208" si="1">H10*E10</f>
        <v>0</v>
      </c>
      <c r="J10" s="10"/>
      <c r="K10" s="10">
        <f t="shared" ref="K10:K208" si="2">J10*E10</f>
        <v>0</v>
      </c>
      <c r="L10" s="10">
        <f t="shared" ref="L10:L208" si="3">K10+I10+G10</f>
        <v>0</v>
      </c>
    </row>
    <row r="11" spans="1:12" x14ac:dyDescent="0.3">
      <c r="A11" s="2">
        <f t="shared" ref="A11:A19" si="4">A10+1</f>
        <v>2</v>
      </c>
      <c r="B11" s="17" t="s">
        <v>776</v>
      </c>
      <c r="C11" s="18" t="s">
        <v>1028</v>
      </c>
      <c r="D11" s="19"/>
      <c r="E11" s="19">
        <v>4</v>
      </c>
      <c r="F11" s="10"/>
      <c r="G11" s="10">
        <f t="shared" si="0"/>
        <v>0</v>
      </c>
      <c r="H11" s="10"/>
      <c r="I11" s="10">
        <f t="shared" si="1"/>
        <v>0</v>
      </c>
      <c r="J11" s="10"/>
      <c r="K11" s="10">
        <f t="shared" si="2"/>
        <v>0</v>
      </c>
      <c r="L11" s="10">
        <f t="shared" si="3"/>
        <v>0</v>
      </c>
    </row>
    <row r="12" spans="1:12" ht="28.8" x14ac:dyDescent="0.3">
      <c r="A12" s="2">
        <f t="shared" si="4"/>
        <v>3</v>
      </c>
      <c r="B12" s="17" t="s">
        <v>777</v>
      </c>
      <c r="C12" s="18" t="s">
        <v>72</v>
      </c>
      <c r="D12" s="19"/>
      <c r="E12" s="19">
        <v>4</v>
      </c>
      <c r="F12" s="10"/>
      <c r="G12" s="10">
        <f t="shared" si="0"/>
        <v>0</v>
      </c>
      <c r="H12" s="10"/>
      <c r="I12" s="10">
        <f t="shared" si="1"/>
        <v>0</v>
      </c>
      <c r="J12" s="10"/>
      <c r="K12" s="10">
        <f t="shared" si="2"/>
        <v>0</v>
      </c>
      <c r="L12" s="10">
        <f t="shared" si="3"/>
        <v>0</v>
      </c>
    </row>
    <row r="13" spans="1:12" x14ac:dyDescent="0.3">
      <c r="A13" s="2">
        <f t="shared" si="4"/>
        <v>4</v>
      </c>
      <c r="B13" s="17" t="s">
        <v>898</v>
      </c>
      <c r="C13" s="18" t="s">
        <v>72</v>
      </c>
      <c r="D13" s="19"/>
      <c r="E13" s="19">
        <v>4</v>
      </c>
      <c r="F13" s="10"/>
      <c r="G13" s="10">
        <f t="shared" si="0"/>
        <v>0</v>
      </c>
      <c r="H13" s="10"/>
      <c r="I13" s="10">
        <f t="shared" si="1"/>
        <v>0</v>
      </c>
      <c r="J13" s="10"/>
      <c r="K13" s="10">
        <f t="shared" si="2"/>
        <v>0</v>
      </c>
      <c r="L13" s="10">
        <f t="shared" si="3"/>
        <v>0</v>
      </c>
    </row>
    <row r="14" spans="1:12" x14ac:dyDescent="0.3">
      <c r="A14" s="2">
        <f t="shared" si="4"/>
        <v>5</v>
      </c>
      <c r="B14" s="17" t="s">
        <v>778</v>
      </c>
      <c r="C14" s="18" t="s">
        <v>1028</v>
      </c>
      <c r="D14" s="19"/>
      <c r="E14" s="19">
        <v>7</v>
      </c>
      <c r="F14" s="10"/>
      <c r="G14" s="10">
        <f t="shared" si="0"/>
        <v>0</v>
      </c>
      <c r="H14" s="10"/>
      <c r="I14" s="10">
        <f t="shared" si="1"/>
        <v>0</v>
      </c>
      <c r="J14" s="10"/>
      <c r="K14" s="10">
        <f t="shared" si="2"/>
        <v>0</v>
      </c>
      <c r="L14" s="10">
        <f t="shared" si="3"/>
        <v>0</v>
      </c>
    </row>
    <row r="15" spans="1:12" x14ac:dyDescent="0.3">
      <c r="A15" s="2">
        <f t="shared" si="4"/>
        <v>6</v>
      </c>
      <c r="B15" s="17" t="s">
        <v>779</v>
      </c>
      <c r="C15" s="18" t="s">
        <v>72</v>
      </c>
      <c r="D15" s="19"/>
      <c r="E15" s="19">
        <v>1</v>
      </c>
      <c r="F15" s="10"/>
      <c r="G15" s="10">
        <f t="shared" si="0"/>
        <v>0</v>
      </c>
      <c r="H15" s="10"/>
      <c r="I15" s="10">
        <f t="shared" si="1"/>
        <v>0</v>
      </c>
      <c r="J15" s="10"/>
      <c r="K15" s="10">
        <f t="shared" si="2"/>
        <v>0</v>
      </c>
      <c r="L15" s="10">
        <f t="shared" si="3"/>
        <v>0</v>
      </c>
    </row>
    <row r="16" spans="1:12" ht="28.8" x14ac:dyDescent="0.3">
      <c r="A16" s="2">
        <f t="shared" si="4"/>
        <v>7</v>
      </c>
      <c r="B16" s="17" t="s">
        <v>780</v>
      </c>
      <c r="C16" s="18" t="s">
        <v>72</v>
      </c>
      <c r="D16" s="19"/>
      <c r="E16" s="19">
        <v>1</v>
      </c>
      <c r="F16" s="10"/>
      <c r="G16" s="10">
        <f t="shared" si="0"/>
        <v>0</v>
      </c>
      <c r="H16" s="10"/>
      <c r="I16" s="10">
        <f t="shared" si="1"/>
        <v>0</v>
      </c>
      <c r="J16" s="10"/>
      <c r="K16" s="10">
        <f t="shared" si="2"/>
        <v>0</v>
      </c>
      <c r="L16" s="10">
        <f t="shared" si="3"/>
        <v>0</v>
      </c>
    </row>
    <row r="17" spans="1:12" ht="28.8" x14ac:dyDescent="0.3">
      <c r="A17" s="2">
        <f t="shared" si="4"/>
        <v>8</v>
      </c>
      <c r="B17" s="17" t="s">
        <v>781</v>
      </c>
      <c r="C17" s="18" t="s">
        <v>72</v>
      </c>
      <c r="D17" s="19"/>
      <c r="E17" s="19">
        <v>1</v>
      </c>
      <c r="F17" s="10"/>
      <c r="G17" s="10">
        <f t="shared" si="0"/>
        <v>0</v>
      </c>
      <c r="H17" s="10"/>
      <c r="I17" s="10">
        <f t="shared" si="1"/>
        <v>0</v>
      </c>
      <c r="J17" s="10"/>
      <c r="K17" s="10">
        <f t="shared" si="2"/>
        <v>0</v>
      </c>
      <c r="L17" s="10">
        <f t="shared" si="3"/>
        <v>0</v>
      </c>
    </row>
    <row r="18" spans="1:12" x14ac:dyDescent="0.3">
      <c r="A18" s="2">
        <f t="shared" si="4"/>
        <v>9</v>
      </c>
      <c r="B18" s="17" t="s">
        <v>1027</v>
      </c>
      <c r="C18" s="18" t="s">
        <v>12</v>
      </c>
      <c r="D18" s="27"/>
      <c r="E18" s="19">
        <v>25</v>
      </c>
      <c r="F18" s="10"/>
      <c r="G18" s="10">
        <f t="shared" si="0"/>
        <v>0</v>
      </c>
      <c r="H18" s="10"/>
      <c r="I18" s="10">
        <f t="shared" si="1"/>
        <v>0</v>
      </c>
      <c r="J18" s="10"/>
      <c r="K18" s="10">
        <f t="shared" si="2"/>
        <v>0</v>
      </c>
      <c r="L18" s="10">
        <f t="shared" si="3"/>
        <v>0</v>
      </c>
    </row>
    <row r="19" spans="1:12" x14ac:dyDescent="0.3">
      <c r="A19" s="2">
        <f t="shared" si="4"/>
        <v>10</v>
      </c>
      <c r="B19" s="17" t="s">
        <v>782</v>
      </c>
      <c r="C19" s="18" t="s">
        <v>1028</v>
      </c>
      <c r="D19" s="27"/>
      <c r="E19" s="19">
        <v>4</v>
      </c>
      <c r="F19" s="10"/>
      <c r="G19" s="10">
        <f t="shared" si="0"/>
        <v>0</v>
      </c>
      <c r="H19" s="10"/>
      <c r="I19" s="10">
        <f t="shared" si="1"/>
        <v>0</v>
      </c>
      <c r="J19" s="10"/>
      <c r="K19" s="10">
        <f t="shared" si="2"/>
        <v>0</v>
      </c>
      <c r="L19" s="10">
        <f t="shared" si="3"/>
        <v>0</v>
      </c>
    </row>
    <row r="20" spans="1:12" ht="28.8" x14ac:dyDescent="0.3">
      <c r="A20" s="2">
        <f t="shared" ref="A20:A61" si="5">A19+1</f>
        <v>11</v>
      </c>
      <c r="B20" s="17" t="s">
        <v>900</v>
      </c>
      <c r="C20" s="18" t="s">
        <v>1028</v>
      </c>
      <c r="D20" s="27"/>
      <c r="E20" s="19">
        <v>1</v>
      </c>
      <c r="F20" s="10"/>
      <c r="G20" s="10">
        <f t="shared" si="0"/>
        <v>0</v>
      </c>
      <c r="H20" s="10"/>
      <c r="I20" s="10">
        <f t="shared" si="1"/>
        <v>0</v>
      </c>
      <c r="J20" s="10"/>
      <c r="K20" s="10">
        <f t="shared" si="2"/>
        <v>0</v>
      </c>
      <c r="L20" s="10">
        <f t="shared" si="3"/>
        <v>0</v>
      </c>
    </row>
    <row r="21" spans="1:12" ht="28.8" x14ac:dyDescent="0.3">
      <c r="A21" s="2">
        <f t="shared" si="5"/>
        <v>12</v>
      </c>
      <c r="B21" s="17" t="s">
        <v>901</v>
      </c>
      <c r="C21" s="18" t="s">
        <v>1028</v>
      </c>
      <c r="D21" s="19"/>
      <c r="E21" s="19">
        <v>1</v>
      </c>
      <c r="F21" s="10"/>
      <c r="G21" s="10">
        <f t="shared" si="0"/>
        <v>0</v>
      </c>
      <c r="H21" s="10"/>
      <c r="I21" s="10">
        <f t="shared" si="1"/>
        <v>0</v>
      </c>
      <c r="J21" s="10"/>
      <c r="K21" s="10">
        <f t="shared" si="2"/>
        <v>0</v>
      </c>
      <c r="L21" s="10">
        <f t="shared" si="3"/>
        <v>0</v>
      </c>
    </row>
    <row r="22" spans="1:12" x14ac:dyDescent="0.3">
      <c r="A22" s="2">
        <f t="shared" si="5"/>
        <v>13</v>
      </c>
      <c r="B22" s="17" t="s">
        <v>902</v>
      </c>
      <c r="C22" s="18" t="s">
        <v>72</v>
      </c>
      <c r="D22" s="19"/>
      <c r="E22" s="19">
        <v>2</v>
      </c>
      <c r="F22" s="10"/>
      <c r="G22" s="10">
        <f t="shared" si="0"/>
        <v>0</v>
      </c>
      <c r="H22" s="10"/>
      <c r="I22" s="10">
        <f t="shared" si="1"/>
        <v>0</v>
      </c>
      <c r="J22" s="10"/>
      <c r="K22" s="10">
        <f t="shared" si="2"/>
        <v>0</v>
      </c>
      <c r="L22" s="10">
        <f t="shared" si="3"/>
        <v>0</v>
      </c>
    </row>
    <row r="23" spans="1:12" x14ac:dyDescent="0.3">
      <c r="A23" s="2">
        <f t="shared" si="5"/>
        <v>14</v>
      </c>
      <c r="B23" s="17" t="s">
        <v>903</v>
      </c>
      <c r="C23" s="18" t="s">
        <v>72</v>
      </c>
      <c r="D23" s="19"/>
      <c r="E23" s="19">
        <v>2</v>
      </c>
      <c r="F23" s="10"/>
      <c r="G23" s="10">
        <f t="shared" si="0"/>
        <v>0</v>
      </c>
      <c r="H23" s="10"/>
      <c r="I23" s="10">
        <f t="shared" si="1"/>
        <v>0</v>
      </c>
      <c r="J23" s="10"/>
      <c r="K23" s="10">
        <f t="shared" si="2"/>
        <v>0</v>
      </c>
      <c r="L23" s="10">
        <f t="shared" si="3"/>
        <v>0</v>
      </c>
    </row>
    <row r="24" spans="1:12" x14ac:dyDescent="0.3">
      <c r="A24" s="2">
        <f t="shared" si="5"/>
        <v>15</v>
      </c>
      <c r="B24" s="17" t="s">
        <v>904</v>
      </c>
      <c r="C24" s="18" t="s">
        <v>72</v>
      </c>
      <c r="D24" s="19"/>
      <c r="E24" s="19">
        <v>2</v>
      </c>
      <c r="F24" s="10"/>
      <c r="G24" s="10">
        <f t="shared" si="0"/>
        <v>0</v>
      </c>
      <c r="H24" s="10"/>
      <c r="I24" s="10">
        <f t="shared" si="1"/>
        <v>0</v>
      </c>
      <c r="J24" s="10"/>
      <c r="K24" s="10">
        <f t="shared" si="2"/>
        <v>0</v>
      </c>
      <c r="L24" s="10">
        <f t="shared" si="3"/>
        <v>0</v>
      </c>
    </row>
    <row r="25" spans="1:12" x14ac:dyDescent="0.3">
      <c r="A25" s="2">
        <f t="shared" si="5"/>
        <v>16</v>
      </c>
      <c r="B25" s="17" t="s">
        <v>905</v>
      </c>
      <c r="C25" s="18" t="s">
        <v>72</v>
      </c>
      <c r="D25" s="19"/>
      <c r="E25" s="19">
        <v>4</v>
      </c>
      <c r="F25" s="10"/>
      <c r="G25" s="10">
        <f t="shared" si="0"/>
        <v>0</v>
      </c>
      <c r="H25" s="10"/>
      <c r="I25" s="10">
        <f t="shared" si="1"/>
        <v>0</v>
      </c>
      <c r="J25" s="10"/>
      <c r="K25" s="10">
        <f t="shared" si="2"/>
        <v>0</v>
      </c>
      <c r="L25" s="10">
        <f t="shared" si="3"/>
        <v>0</v>
      </c>
    </row>
    <row r="26" spans="1:12" ht="43.2" x14ac:dyDescent="0.3">
      <c r="A26" s="2">
        <f t="shared" si="5"/>
        <v>17</v>
      </c>
      <c r="B26" s="17" t="s">
        <v>906</v>
      </c>
      <c r="C26" s="18" t="s">
        <v>72</v>
      </c>
      <c r="D26" s="19"/>
      <c r="E26" s="19">
        <v>1</v>
      </c>
      <c r="F26" s="10"/>
      <c r="G26" s="10">
        <f t="shared" si="0"/>
        <v>0</v>
      </c>
      <c r="H26" s="10"/>
      <c r="I26" s="10">
        <f t="shared" si="1"/>
        <v>0</v>
      </c>
      <c r="J26" s="10"/>
      <c r="K26" s="10">
        <f t="shared" si="2"/>
        <v>0</v>
      </c>
      <c r="L26" s="10">
        <f t="shared" si="3"/>
        <v>0</v>
      </c>
    </row>
    <row r="27" spans="1:12" ht="43.2" x14ac:dyDescent="0.3">
      <c r="A27" s="2">
        <f t="shared" si="5"/>
        <v>18</v>
      </c>
      <c r="B27" s="17" t="s">
        <v>907</v>
      </c>
      <c r="C27" s="18" t="s">
        <v>72</v>
      </c>
      <c r="D27" s="27"/>
      <c r="E27" s="19">
        <v>2</v>
      </c>
      <c r="F27" s="10"/>
      <c r="G27" s="10">
        <f t="shared" si="0"/>
        <v>0</v>
      </c>
      <c r="H27" s="10"/>
      <c r="I27" s="10">
        <f t="shared" si="1"/>
        <v>0</v>
      </c>
      <c r="J27" s="10"/>
      <c r="K27" s="10">
        <f t="shared" si="2"/>
        <v>0</v>
      </c>
      <c r="L27" s="10">
        <f t="shared" si="3"/>
        <v>0</v>
      </c>
    </row>
    <row r="28" spans="1:12" ht="43.2" x14ac:dyDescent="0.3">
      <c r="A28" s="2">
        <f t="shared" si="5"/>
        <v>19</v>
      </c>
      <c r="B28" s="17" t="s">
        <v>908</v>
      </c>
      <c r="C28" s="18" t="s">
        <v>72</v>
      </c>
      <c r="D28" s="27"/>
      <c r="E28" s="19">
        <v>2</v>
      </c>
      <c r="F28" s="10"/>
      <c r="G28" s="10">
        <f t="shared" si="0"/>
        <v>0</v>
      </c>
      <c r="H28" s="10"/>
      <c r="I28" s="10">
        <f t="shared" si="1"/>
        <v>0</v>
      </c>
      <c r="J28" s="10"/>
      <c r="K28" s="10">
        <f t="shared" si="2"/>
        <v>0</v>
      </c>
      <c r="L28" s="10">
        <f t="shared" si="3"/>
        <v>0</v>
      </c>
    </row>
    <row r="29" spans="1:12" ht="43.2" x14ac:dyDescent="0.3">
      <c r="A29" s="2">
        <f t="shared" si="5"/>
        <v>20</v>
      </c>
      <c r="B29" s="17" t="s">
        <v>909</v>
      </c>
      <c r="C29" s="18" t="s">
        <v>72</v>
      </c>
      <c r="D29" s="27"/>
      <c r="E29" s="19">
        <v>2</v>
      </c>
      <c r="F29" s="10"/>
      <c r="G29" s="10">
        <f t="shared" si="0"/>
        <v>0</v>
      </c>
      <c r="H29" s="10"/>
      <c r="I29" s="10">
        <f t="shared" si="1"/>
        <v>0</v>
      </c>
      <c r="J29" s="10"/>
      <c r="K29" s="10">
        <f t="shared" si="2"/>
        <v>0</v>
      </c>
      <c r="L29" s="10">
        <f t="shared" si="3"/>
        <v>0</v>
      </c>
    </row>
    <row r="30" spans="1:12" ht="43.2" x14ac:dyDescent="0.3">
      <c r="A30" s="2">
        <f t="shared" si="5"/>
        <v>21</v>
      </c>
      <c r="B30" s="17" t="s">
        <v>910</v>
      </c>
      <c r="C30" s="18" t="s">
        <v>72</v>
      </c>
      <c r="D30" s="19"/>
      <c r="E30" s="19">
        <v>2</v>
      </c>
      <c r="F30" s="10"/>
      <c r="G30" s="10">
        <f t="shared" si="0"/>
        <v>0</v>
      </c>
      <c r="H30" s="10"/>
      <c r="I30" s="10">
        <f t="shared" si="1"/>
        <v>0</v>
      </c>
      <c r="J30" s="10"/>
      <c r="K30" s="10">
        <f t="shared" si="2"/>
        <v>0</v>
      </c>
      <c r="L30" s="10">
        <f t="shared" si="3"/>
        <v>0</v>
      </c>
    </row>
    <row r="31" spans="1:12" ht="43.2" x14ac:dyDescent="0.3">
      <c r="A31" s="2">
        <f t="shared" si="5"/>
        <v>22</v>
      </c>
      <c r="B31" s="17" t="s">
        <v>911</v>
      </c>
      <c r="C31" s="18" t="s">
        <v>72</v>
      </c>
      <c r="D31" s="19"/>
      <c r="E31" s="19">
        <v>2</v>
      </c>
      <c r="F31" s="10"/>
      <c r="G31" s="10">
        <f t="shared" si="0"/>
        <v>0</v>
      </c>
      <c r="H31" s="10"/>
      <c r="I31" s="10">
        <f t="shared" si="1"/>
        <v>0</v>
      </c>
      <c r="J31" s="10"/>
      <c r="K31" s="10">
        <f t="shared" si="2"/>
        <v>0</v>
      </c>
      <c r="L31" s="10">
        <f t="shared" si="3"/>
        <v>0</v>
      </c>
    </row>
    <row r="32" spans="1:12" ht="43.2" x14ac:dyDescent="0.3">
      <c r="A32" s="2">
        <f t="shared" si="5"/>
        <v>23</v>
      </c>
      <c r="B32" s="17" t="s">
        <v>912</v>
      </c>
      <c r="C32" s="18" t="s">
        <v>72</v>
      </c>
      <c r="D32" s="19"/>
      <c r="E32" s="19">
        <v>2</v>
      </c>
      <c r="F32" s="10"/>
      <c r="G32" s="10">
        <f t="shared" si="0"/>
        <v>0</v>
      </c>
      <c r="H32" s="10"/>
      <c r="I32" s="10">
        <f t="shared" si="1"/>
        <v>0</v>
      </c>
      <c r="J32" s="10"/>
      <c r="K32" s="10">
        <f t="shared" si="2"/>
        <v>0</v>
      </c>
      <c r="L32" s="10">
        <f t="shared" si="3"/>
        <v>0</v>
      </c>
    </row>
    <row r="33" spans="1:14" ht="43.2" x14ac:dyDescent="0.3">
      <c r="A33" s="2">
        <f t="shared" si="5"/>
        <v>24</v>
      </c>
      <c r="B33" s="17" t="s">
        <v>913</v>
      </c>
      <c r="C33" s="18" t="s">
        <v>72</v>
      </c>
      <c r="D33" s="19"/>
      <c r="E33" s="19">
        <v>2</v>
      </c>
      <c r="F33" s="10"/>
      <c r="G33" s="10">
        <f t="shared" si="0"/>
        <v>0</v>
      </c>
      <c r="H33" s="10"/>
      <c r="I33" s="10">
        <f t="shared" si="1"/>
        <v>0</v>
      </c>
      <c r="J33" s="10"/>
      <c r="K33" s="10">
        <f t="shared" si="2"/>
        <v>0</v>
      </c>
      <c r="L33" s="10">
        <f t="shared" si="3"/>
        <v>0</v>
      </c>
    </row>
    <row r="34" spans="1:14" ht="43.2" x14ac:dyDescent="0.3">
      <c r="A34" s="2">
        <f t="shared" si="5"/>
        <v>25</v>
      </c>
      <c r="B34" s="17" t="s">
        <v>914</v>
      </c>
      <c r="C34" s="18" t="s">
        <v>72</v>
      </c>
      <c r="D34" s="19"/>
      <c r="E34" s="19">
        <v>2</v>
      </c>
      <c r="F34" s="10"/>
      <c r="G34" s="10">
        <f t="shared" si="0"/>
        <v>0</v>
      </c>
      <c r="H34" s="10"/>
      <c r="I34" s="10">
        <f t="shared" si="1"/>
        <v>0</v>
      </c>
      <c r="J34" s="10"/>
      <c r="K34" s="10">
        <f t="shared" si="2"/>
        <v>0</v>
      </c>
      <c r="L34" s="10">
        <f t="shared" si="3"/>
        <v>0</v>
      </c>
    </row>
    <row r="35" spans="1:14" ht="43.2" x14ac:dyDescent="0.3">
      <c r="A35" s="2">
        <f t="shared" si="5"/>
        <v>26</v>
      </c>
      <c r="B35" s="17" t="s">
        <v>915</v>
      </c>
      <c r="C35" s="18" t="s">
        <v>72</v>
      </c>
      <c r="D35" s="19"/>
      <c r="E35" s="19">
        <v>2</v>
      </c>
      <c r="F35" s="10"/>
      <c r="G35" s="10">
        <f t="shared" si="0"/>
        <v>0</v>
      </c>
      <c r="H35" s="10"/>
      <c r="I35" s="10">
        <f t="shared" si="1"/>
        <v>0</v>
      </c>
      <c r="J35" s="10"/>
      <c r="K35" s="10">
        <f t="shared" si="2"/>
        <v>0</v>
      </c>
      <c r="L35" s="10">
        <f t="shared" si="3"/>
        <v>0</v>
      </c>
    </row>
    <row r="36" spans="1:14" ht="43.2" x14ac:dyDescent="0.3">
      <c r="A36" s="2">
        <f t="shared" si="5"/>
        <v>27</v>
      </c>
      <c r="B36" s="17" t="s">
        <v>916</v>
      </c>
      <c r="C36" s="18" t="s">
        <v>72</v>
      </c>
      <c r="D36" s="19"/>
      <c r="E36" s="19">
        <v>2</v>
      </c>
      <c r="F36" s="10"/>
      <c r="G36" s="10">
        <f t="shared" si="0"/>
        <v>0</v>
      </c>
      <c r="H36" s="10"/>
      <c r="I36" s="10">
        <f t="shared" si="1"/>
        <v>0</v>
      </c>
      <c r="J36" s="10"/>
      <c r="K36" s="10">
        <f t="shared" si="2"/>
        <v>0</v>
      </c>
      <c r="L36" s="10">
        <f t="shared" si="3"/>
        <v>0</v>
      </c>
    </row>
    <row r="37" spans="1:14" ht="43.2" x14ac:dyDescent="0.3">
      <c r="A37" s="2">
        <f t="shared" si="5"/>
        <v>28</v>
      </c>
      <c r="B37" s="17" t="s">
        <v>783</v>
      </c>
      <c r="C37" s="18" t="s">
        <v>72</v>
      </c>
      <c r="D37" s="19"/>
      <c r="E37" s="19">
        <v>1</v>
      </c>
      <c r="F37" s="10"/>
      <c r="G37" s="10">
        <f t="shared" si="0"/>
        <v>0</v>
      </c>
      <c r="H37" s="10"/>
      <c r="I37" s="10">
        <f t="shared" si="1"/>
        <v>0</v>
      </c>
      <c r="J37" s="10"/>
      <c r="K37" s="10">
        <f t="shared" si="2"/>
        <v>0</v>
      </c>
      <c r="L37" s="10">
        <f t="shared" si="3"/>
        <v>0</v>
      </c>
    </row>
    <row r="38" spans="1:14" x14ac:dyDescent="0.3">
      <c r="A38" s="2">
        <f t="shared" si="5"/>
        <v>29</v>
      </c>
      <c r="B38" s="17" t="s">
        <v>784</v>
      </c>
      <c r="C38" s="18" t="s">
        <v>72</v>
      </c>
      <c r="D38" s="19"/>
      <c r="E38" s="19">
        <v>25</v>
      </c>
      <c r="F38" s="10"/>
      <c r="G38" s="10">
        <f t="shared" si="0"/>
        <v>0</v>
      </c>
      <c r="H38" s="10"/>
      <c r="I38" s="10">
        <f t="shared" si="1"/>
        <v>0</v>
      </c>
      <c r="J38" s="10"/>
      <c r="K38" s="10">
        <f t="shared" si="2"/>
        <v>0</v>
      </c>
      <c r="L38" s="10">
        <f t="shared" si="3"/>
        <v>0</v>
      </c>
    </row>
    <row r="39" spans="1:14" x14ac:dyDescent="0.3">
      <c r="A39" s="2">
        <f t="shared" si="5"/>
        <v>30</v>
      </c>
      <c r="B39" s="17" t="s">
        <v>931</v>
      </c>
      <c r="C39" s="18" t="s">
        <v>72</v>
      </c>
      <c r="D39" s="19"/>
      <c r="E39" s="19">
        <v>1</v>
      </c>
      <c r="F39" s="10"/>
      <c r="G39" s="10">
        <f t="shared" si="0"/>
        <v>0</v>
      </c>
      <c r="H39" s="10"/>
      <c r="I39" s="10">
        <f t="shared" si="1"/>
        <v>0</v>
      </c>
      <c r="J39" s="10"/>
      <c r="K39" s="10">
        <f t="shared" si="2"/>
        <v>0</v>
      </c>
      <c r="L39" s="10">
        <f t="shared" si="3"/>
        <v>0</v>
      </c>
    </row>
    <row r="40" spans="1:14" x14ac:dyDescent="0.3">
      <c r="A40" s="2">
        <f t="shared" si="5"/>
        <v>31</v>
      </c>
      <c r="B40" s="17" t="s">
        <v>932</v>
      </c>
      <c r="C40" s="18" t="s">
        <v>72</v>
      </c>
      <c r="D40" s="19"/>
      <c r="E40" s="19">
        <v>1</v>
      </c>
      <c r="F40" s="10"/>
      <c r="G40" s="10">
        <f t="shared" si="0"/>
        <v>0</v>
      </c>
      <c r="H40" s="10"/>
      <c r="I40" s="10">
        <f t="shared" si="1"/>
        <v>0</v>
      </c>
      <c r="J40" s="10"/>
      <c r="K40" s="10">
        <f t="shared" si="2"/>
        <v>0</v>
      </c>
      <c r="L40" s="10">
        <f t="shared" si="3"/>
        <v>0</v>
      </c>
    </row>
    <row r="41" spans="1:14" x14ac:dyDescent="0.3">
      <c r="A41" s="2">
        <f t="shared" si="5"/>
        <v>32</v>
      </c>
      <c r="B41" s="17" t="s">
        <v>933</v>
      </c>
      <c r="C41" s="18" t="s">
        <v>72</v>
      </c>
      <c r="D41" s="19"/>
      <c r="E41" s="19">
        <v>1</v>
      </c>
      <c r="F41" s="10"/>
      <c r="G41" s="10">
        <f t="shared" si="0"/>
        <v>0</v>
      </c>
      <c r="H41" s="10"/>
      <c r="I41" s="10">
        <f t="shared" si="1"/>
        <v>0</v>
      </c>
      <c r="J41" s="10"/>
      <c r="K41" s="10">
        <f t="shared" si="2"/>
        <v>0</v>
      </c>
      <c r="L41" s="10">
        <f t="shared" si="3"/>
        <v>0</v>
      </c>
    </row>
    <row r="42" spans="1:14" ht="57.6" x14ac:dyDescent="0.3">
      <c r="A42" s="2">
        <f t="shared" si="5"/>
        <v>33</v>
      </c>
      <c r="B42" s="17" t="s">
        <v>1026</v>
      </c>
      <c r="C42" s="18" t="s">
        <v>72</v>
      </c>
      <c r="D42" s="27"/>
      <c r="E42" s="19">
        <v>1</v>
      </c>
      <c r="F42" s="10"/>
      <c r="G42" s="10">
        <f t="shared" si="0"/>
        <v>0</v>
      </c>
      <c r="H42" s="10"/>
      <c r="I42" s="10">
        <f t="shared" si="1"/>
        <v>0</v>
      </c>
      <c r="J42" s="10"/>
      <c r="K42" s="10">
        <f t="shared" si="2"/>
        <v>0</v>
      </c>
      <c r="L42" s="10">
        <f t="shared" si="3"/>
        <v>0</v>
      </c>
    </row>
    <row r="43" spans="1:14" ht="28.8" x14ac:dyDescent="0.3">
      <c r="A43" s="2">
        <f t="shared" si="5"/>
        <v>34</v>
      </c>
      <c r="B43" s="17" t="s">
        <v>1025</v>
      </c>
      <c r="C43" s="18" t="s">
        <v>72</v>
      </c>
      <c r="D43" s="19"/>
      <c r="E43" s="19">
        <v>1</v>
      </c>
      <c r="F43" s="10"/>
      <c r="G43" s="10">
        <f t="shared" si="0"/>
        <v>0</v>
      </c>
      <c r="H43" s="10"/>
      <c r="I43" s="10">
        <f t="shared" si="1"/>
        <v>0</v>
      </c>
      <c r="J43" s="10"/>
      <c r="K43" s="10">
        <f t="shared" si="2"/>
        <v>0</v>
      </c>
      <c r="L43" s="10">
        <f t="shared" si="3"/>
        <v>0</v>
      </c>
      <c r="N43" s="9"/>
    </row>
    <row r="44" spans="1:14" x14ac:dyDescent="0.3">
      <c r="A44" s="2">
        <f t="shared" si="5"/>
        <v>35</v>
      </c>
      <c r="B44" s="17" t="s">
        <v>936</v>
      </c>
      <c r="C44" s="18" t="s">
        <v>72</v>
      </c>
      <c r="D44" s="27"/>
      <c r="E44" s="19">
        <v>13</v>
      </c>
      <c r="F44" s="10"/>
      <c r="G44" s="10">
        <f t="shared" si="0"/>
        <v>0</v>
      </c>
      <c r="H44" s="10"/>
      <c r="I44" s="10">
        <f t="shared" si="1"/>
        <v>0</v>
      </c>
      <c r="J44" s="10"/>
      <c r="K44" s="10">
        <f t="shared" si="2"/>
        <v>0</v>
      </c>
      <c r="L44" s="10">
        <f t="shared" si="3"/>
        <v>0</v>
      </c>
    </row>
    <row r="45" spans="1:14" x14ac:dyDescent="0.3">
      <c r="A45" s="2">
        <f t="shared" si="5"/>
        <v>36</v>
      </c>
      <c r="B45" s="17" t="s">
        <v>937</v>
      </c>
      <c r="C45" s="18" t="s">
        <v>72</v>
      </c>
      <c r="D45" s="27"/>
      <c r="E45" s="19">
        <v>12</v>
      </c>
      <c r="F45" s="10"/>
      <c r="G45" s="10">
        <f t="shared" si="0"/>
        <v>0</v>
      </c>
      <c r="H45" s="10"/>
      <c r="I45" s="10">
        <f t="shared" si="1"/>
        <v>0</v>
      </c>
      <c r="J45" s="10"/>
      <c r="K45" s="10">
        <f t="shared" si="2"/>
        <v>0</v>
      </c>
      <c r="L45" s="10">
        <f t="shared" si="3"/>
        <v>0</v>
      </c>
    </row>
    <row r="46" spans="1:14" x14ac:dyDescent="0.3">
      <c r="A46" s="2">
        <f t="shared" si="5"/>
        <v>37</v>
      </c>
      <c r="B46" s="17" t="s">
        <v>938</v>
      </c>
      <c r="C46" s="18" t="s">
        <v>72</v>
      </c>
      <c r="D46" s="27"/>
      <c r="E46" s="19">
        <v>1</v>
      </c>
      <c r="F46" s="10"/>
      <c r="G46" s="10">
        <f t="shared" si="0"/>
        <v>0</v>
      </c>
      <c r="H46" s="10"/>
      <c r="I46" s="10">
        <f t="shared" si="1"/>
        <v>0</v>
      </c>
      <c r="J46" s="10"/>
      <c r="K46" s="10">
        <f t="shared" si="2"/>
        <v>0</v>
      </c>
      <c r="L46" s="10">
        <f t="shared" si="3"/>
        <v>0</v>
      </c>
    </row>
    <row r="47" spans="1:14" ht="28.8" x14ac:dyDescent="0.3">
      <c r="A47" s="2">
        <f t="shared" si="5"/>
        <v>38</v>
      </c>
      <c r="B47" s="17" t="s">
        <v>951</v>
      </c>
      <c r="C47" s="18" t="s">
        <v>1028</v>
      </c>
      <c r="D47" s="19"/>
      <c r="E47" s="19">
        <v>3</v>
      </c>
      <c r="F47" s="10"/>
      <c r="G47" s="10">
        <f t="shared" si="0"/>
        <v>0</v>
      </c>
      <c r="H47" s="10"/>
      <c r="I47" s="10">
        <f t="shared" si="1"/>
        <v>0</v>
      </c>
      <c r="J47" s="10"/>
      <c r="K47" s="10">
        <f t="shared" si="2"/>
        <v>0</v>
      </c>
      <c r="L47" s="10">
        <f t="shared" si="3"/>
        <v>0</v>
      </c>
    </row>
    <row r="48" spans="1:14" ht="28.8" x14ac:dyDescent="0.3">
      <c r="A48" s="2">
        <f t="shared" si="5"/>
        <v>39</v>
      </c>
      <c r="B48" s="17" t="s">
        <v>952</v>
      </c>
      <c r="C48" s="18" t="s">
        <v>1028</v>
      </c>
      <c r="D48" s="19"/>
      <c r="E48" s="19">
        <v>3</v>
      </c>
      <c r="F48" s="10"/>
      <c r="G48" s="10">
        <f t="shared" si="0"/>
        <v>0</v>
      </c>
      <c r="H48" s="10"/>
      <c r="I48" s="10">
        <f t="shared" si="1"/>
        <v>0</v>
      </c>
      <c r="J48" s="10"/>
      <c r="K48" s="10">
        <f t="shared" si="2"/>
        <v>0</v>
      </c>
      <c r="L48" s="10">
        <f t="shared" si="3"/>
        <v>0</v>
      </c>
    </row>
    <row r="49" spans="1:12" ht="28.8" x14ac:dyDescent="0.3">
      <c r="A49" s="2">
        <f t="shared" si="5"/>
        <v>40</v>
      </c>
      <c r="B49" s="17" t="s">
        <v>953</v>
      </c>
      <c r="C49" s="18" t="s">
        <v>1028</v>
      </c>
      <c r="D49" s="19"/>
      <c r="E49" s="19">
        <v>3</v>
      </c>
      <c r="F49" s="10"/>
      <c r="G49" s="10">
        <f t="shared" si="0"/>
        <v>0</v>
      </c>
      <c r="H49" s="10"/>
      <c r="I49" s="10">
        <f t="shared" si="1"/>
        <v>0</v>
      </c>
      <c r="J49" s="10"/>
      <c r="K49" s="10">
        <f t="shared" si="2"/>
        <v>0</v>
      </c>
      <c r="L49" s="10">
        <f t="shared" si="3"/>
        <v>0</v>
      </c>
    </row>
    <row r="50" spans="1:12" x14ac:dyDescent="0.3">
      <c r="A50" s="2">
        <f t="shared" si="5"/>
        <v>41</v>
      </c>
      <c r="B50" s="17" t="s">
        <v>939</v>
      </c>
      <c r="C50" s="18" t="s">
        <v>72</v>
      </c>
      <c r="D50" s="19"/>
      <c r="E50" s="19">
        <v>1</v>
      </c>
      <c r="F50" s="10"/>
      <c r="G50" s="10">
        <f t="shared" si="0"/>
        <v>0</v>
      </c>
      <c r="H50" s="10"/>
      <c r="I50" s="10">
        <f t="shared" si="1"/>
        <v>0</v>
      </c>
      <c r="J50" s="10"/>
      <c r="K50" s="10">
        <f t="shared" si="2"/>
        <v>0</v>
      </c>
      <c r="L50" s="10">
        <f t="shared" si="3"/>
        <v>0</v>
      </c>
    </row>
    <row r="51" spans="1:12" x14ac:dyDescent="0.3">
      <c r="A51" s="2">
        <f t="shared" si="5"/>
        <v>42</v>
      </c>
      <c r="B51" s="17" t="s">
        <v>940</v>
      </c>
      <c r="C51" s="18" t="s">
        <v>72</v>
      </c>
      <c r="D51" s="19"/>
      <c r="E51" s="19">
        <v>6</v>
      </c>
      <c r="F51" s="10"/>
      <c r="G51" s="10">
        <f t="shared" si="0"/>
        <v>0</v>
      </c>
      <c r="H51" s="10"/>
      <c r="I51" s="10">
        <f t="shared" si="1"/>
        <v>0</v>
      </c>
      <c r="J51" s="10"/>
      <c r="K51" s="10">
        <f t="shared" si="2"/>
        <v>0</v>
      </c>
      <c r="L51" s="10">
        <f t="shared" si="3"/>
        <v>0</v>
      </c>
    </row>
    <row r="52" spans="1:12" x14ac:dyDescent="0.3">
      <c r="A52" s="2">
        <f t="shared" si="5"/>
        <v>43</v>
      </c>
      <c r="B52" s="17" t="s">
        <v>941</v>
      </c>
      <c r="C52" s="18" t="s">
        <v>72</v>
      </c>
      <c r="D52" s="19"/>
      <c r="E52" s="19">
        <v>5</v>
      </c>
      <c r="F52" s="10"/>
      <c r="G52" s="10">
        <f t="shared" si="0"/>
        <v>0</v>
      </c>
      <c r="H52" s="10"/>
      <c r="I52" s="10">
        <f t="shared" si="1"/>
        <v>0</v>
      </c>
      <c r="J52" s="10"/>
      <c r="K52" s="10">
        <f t="shared" si="2"/>
        <v>0</v>
      </c>
      <c r="L52" s="10">
        <f t="shared" si="3"/>
        <v>0</v>
      </c>
    </row>
    <row r="53" spans="1:12" x14ac:dyDescent="0.3">
      <c r="A53" s="2">
        <f t="shared" si="5"/>
        <v>44</v>
      </c>
      <c r="B53" s="17" t="s">
        <v>942</v>
      </c>
      <c r="C53" s="18" t="s">
        <v>72</v>
      </c>
      <c r="D53" s="19"/>
      <c r="E53" s="19">
        <v>9</v>
      </c>
      <c r="F53" s="10"/>
      <c r="G53" s="10">
        <f t="shared" si="0"/>
        <v>0</v>
      </c>
      <c r="H53" s="10"/>
      <c r="I53" s="10">
        <f t="shared" si="1"/>
        <v>0</v>
      </c>
      <c r="J53" s="10"/>
      <c r="K53" s="10">
        <f t="shared" si="2"/>
        <v>0</v>
      </c>
      <c r="L53" s="10">
        <f t="shared" si="3"/>
        <v>0</v>
      </c>
    </row>
    <row r="54" spans="1:12" x14ac:dyDescent="0.3">
      <c r="A54" s="2">
        <f t="shared" si="5"/>
        <v>45</v>
      </c>
      <c r="B54" s="17" t="s">
        <v>943</v>
      </c>
      <c r="C54" s="18" t="s">
        <v>72</v>
      </c>
      <c r="D54" s="19"/>
      <c r="E54" s="19">
        <v>2</v>
      </c>
      <c r="F54" s="10"/>
      <c r="G54" s="10">
        <f t="shared" si="0"/>
        <v>0</v>
      </c>
      <c r="H54" s="10"/>
      <c r="I54" s="10">
        <f t="shared" si="1"/>
        <v>0</v>
      </c>
      <c r="J54" s="10"/>
      <c r="K54" s="10">
        <f t="shared" si="2"/>
        <v>0</v>
      </c>
      <c r="L54" s="10">
        <f t="shared" si="3"/>
        <v>0</v>
      </c>
    </row>
    <row r="55" spans="1:12" x14ac:dyDescent="0.3">
      <c r="A55" s="2">
        <f t="shared" si="5"/>
        <v>46</v>
      </c>
      <c r="B55" s="17" t="s">
        <v>944</v>
      </c>
      <c r="C55" s="18" t="s">
        <v>72</v>
      </c>
      <c r="D55" s="19"/>
      <c r="E55" s="19">
        <v>4</v>
      </c>
      <c r="F55" s="10"/>
      <c r="G55" s="10">
        <f t="shared" si="0"/>
        <v>0</v>
      </c>
      <c r="H55" s="10"/>
      <c r="I55" s="10">
        <f t="shared" si="1"/>
        <v>0</v>
      </c>
      <c r="J55" s="10"/>
      <c r="K55" s="10">
        <f t="shared" si="2"/>
        <v>0</v>
      </c>
      <c r="L55" s="10">
        <f t="shared" si="3"/>
        <v>0</v>
      </c>
    </row>
    <row r="56" spans="1:12" x14ac:dyDescent="0.3">
      <c r="A56" s="2">
        <f t="shared" si="5"/>
        <v>47</v>
      </c>
      <c r="B56" s="17" t="s">
        <v>945</v>
      </c>
      <c r="C56" s="18" t="s">
        <v>72</v>
      </c>
      <c r="D56" s="19"/>
      <c r="E56" s="19">
        <v>4</v>
      </c>
      <c r="F56" s="10"/>
      <c r="G56" s="10">
        <f t="shared" si="0"/>
        <v>0</v>
      </c>
      <c r="H56" s="10"/>
      <c r="I56" s="10">
        <f t="shared" si="1"/>
        <v>0</v>
      </c>
      <c r="J56" s="10"/>
      <c r="K56" s="10">
        <f t="shared" si="2"/>
        <v>0</v>
      </c>
      <c r="L56" s="10">
        <f t="shared" si="3"/>
        <v>0</v>
      </c>
    </row>
    <row r="57" spans="1:12" x14ac:dyDescent="0.3">
      <c r="A57" s="2">
        <f t="shared" si="5"/>
        <v>48</v>
      </c>
      <c r="B57" s="17" t="s">
        <v>946</v>
      </c>
      <c r="C57" s="18" t="s">
        <v>72</v>
      </c>
      <c r="D57" s="19"/>
      <c r="E57" s="19">
        <v>28</v>
      </c>
      <c r="F57" s="10"/>
      <c r="G57" s="10">
        <f t="shared" si="0"/>
        <v>0</v>
      </c>
      <c r="H57" s="10"/>
      <c r="I57" s="10">
        <f t="shared" si="1"/>
        <v>0</v>
      </c>
      <c r="J57" s="10"/>
      <c r="K57" s="10">
        <f t="shared" si="2"/>
        <v>0</v>
      </c>
      <c r="L57" s="10">
        <f t="shared" si="3"/>
        <v>0</v>
      </c>
    </row>
    <row r="58" spans="1:12" x14ac:dyDescent="0.3">
      <c r="A58" s="2">
        <f t="shared" si="5"/>
        <v>49</v>
      </c>
      <c r="B58" s="17" t="s">
        <v>947</v>
      </c>
      <c r="C58" s="18" t="s">
        <v>72</v>
      </c>
      <c r="D58" s="19"/>
      <c r="E58" s="19">
        <v>12</v>
      </c>
      <c r="F58" s="10"/>
      <c r="G58" s="10">
        <f t="shared" si="0"/>
        <v>0</v>
      </c>
      <c r="H58" s="10"/>
      <c r="I58" s="10">
        <f t="shared" si="1"/>
        <v>0</v>
      </c>
      <c r="J58" s="10"/>
      <c r="K58" s="10">
        <f t="shared" si="2"/>
        <v>0</v>
      </c>
      <c r="L58" s="10">
        <f t="shared" si="3"/>
        <v>0</v>
      </c>
    </row>
    <row r="59" spans="1:12" x14ac:dyDescent="0.3">
      <c r="A59" s="2">
        <f t="shared" si="5"/>
        <v>50</v>
      </c>
      <c r="B59" s="17" t="s">
        <v>948</v>
      </c>
      <c r="C59" s="18" t="s">
        <v>72</v>
      </c>
      <c r="D59" s="19"/>
      <c r="E59" s="19">
        <v>38</v>
      </c>
      <c r="F59" s="10"/>
      <c r="G59" s="10">
        <f t="shared" si="0"/>
        <v>0</v>
      </c>
      <c r="H59" s="10"/>
      <c r="I59" s="10">
        <f t="shared" si="1"/>
        <v>0</v>
      </c>
      <c r="J59" s="10"/>
      <c r="K59" s="10">
        <f t="shared" si="2"/>
        <v>0</v>
      </c>
      <c r="L59" s="10">
        <f t="shared" si="3"/>
        <v>0</v>
      </c>
    </row>
    <row r="60" spans="1:12" x14ac:dyDescent="0.3">
      <c r="A60" s="2">
        <f t="shared" si="5"/>
        <v>51</v>
      </c>
      <c r="B60" s="17" t="s">
        <v>949</v>
      </c>
      <c r="C60" s="18" t="s">
        <v>72</v>
      </c>
      <c r="D60" s="19"/>
      <c r="E60" s="19">
        <v>2</v>
      </c>
      <c r="F60" s="10"/>
      <c r="G60" s="10">
        <f t="shared" si="0"/>
        <v>0</v>
      </c>
      <c r="H60" s="10"/>
      <c r="I60" s="10">
        <f t="shared" si="1"/>
        <v>0</v>
      </c>
      <c r="J60" s="10"/>
      <c r="K60" s="10">
        <f t="shared" si="2"/>
        <v>0</v>
      </c>
      <c r="L60" s="10">
        <f t="shared" si="3"/>
        <v>0</v>
      </c>
    </row>
    <row r="61" spans="1:12" x14ac:dyDescent="0.3">
      <c r="A61" s="2">
        <f t="shared" si="5"/>
        <v>52</v>
      </c>
      <c r="B61" s="17" t="s">
        <v>785</v>
      </c>
      <c r="C61" s="18" t="s">
        <v>72</v>
      </c>
      <c r="D61" s="19"/>
      <c r="E61" s="19">
        <v>1</v>
      </c>
      <c r="F61" s="10"/>
      <c r="G61" s="10">
        <f t="shared" si="0"/>
        <v>0</v>
      </c>
      <c r="H61" s="10"/>
      <c r="I61" s="10">
        <f t="shared" si="1"/>
        <v>0</v>
      </c>
      <c r="J61" s="10"/>
      <c r="K61" s="10">
        <f t="shared" si="2"/>
        <v>0</v>
      </c>
      <c r="L61" s="10">
        <f t="shared" si="3"/>
        <v>0</v>
      </c>
    </row>
    <row r="62" spans="1:12" x14ac:dyDescent="0.3">
      <c r="A62" s="11"/>
      <c r="B62" s="11" t="s">
        <v>786</v>
      </c>
      <c r="C62" s="4"/>
      <c r="D62" s="12"/>
      <c r="E62" s="12"/>
      <c r="F62" s="13"/>
      <c r="G62" s="13">
        <f t="shared" si="0"/>
        <v>0</v>
      </c>
      <c r="H62" s="13"/>
      <c r="I62" s="13">
        <f t="shared" si="1"/>
        <v>0</v>
      </c>
      <c r="J62" s="13"/>
      <c r="K62" s="13">
        <f t="shared" si="2"/>
        <v>0</v>
      </c>
      <c r="L62" s="13">
        <f t="shared" si="3"/>
        <v>0</v>
      </c>
    </row>
    <row r="63" spans="1:12" ht="86.4" x14ac:dyDescent="0.3">
      <c r="A63" s="2">
        <f>A61+1</f>
        <v>53</v>
      </c>
      <c r="B63" s="17" t="s">
        <v>917</v>
      </c>
      <c r="C63" s="18" t="s">
        <v>72</v>
      </c>
      <c r="D63" s="19"/>
      <c r="E63" s="19">
        <v>2</v>
      </c>
      <c r="F63" s="10"/>
      <c r="G63" s="10">
        <f t="shared" si="0"/>
        <v>0</v>
      </c>
      <c r="H63" s="10"/>
      <c r="I63" s="10">
        <f t="shared" si="1"/>
        <v>0</v>
      </c>
      <c r="J63" s="10"/>
      <c r="K63" s="10">
        <f t="shared" si="2"/>
        <v>0</v>
      </c>
      <c r="L63" s="10">
        <f t="shared" si="3"/>
        <v>0</v>
      </c>
    </row>
    <row r="64" spans="1:12" x14ac:dyDescent="0.3">
      <c r="A64" s="2">
        <f t="shared" ref="A64:A73" si="6">A63+1</f>
        <v>54</v>
      </c>
      <c r="B64" s="17" t="s">
        <v>787</v>
      </c>
      <c r="C64" s="18" t="s">
        <v>12</v>
      </c>
      <c r="D64" s="19"/>
      <c r="E64" s="19">
        <v>10</v>
      </c>
      <c r="F64" s="10"/>
      <c r="G64" s="10">
        <f t="shared" si="0"/>
        <v>0</v>
      </c>
      <c r="H64" s="10"/>
      <c r="I64" s="10">
        <f t="shared" si="1"/>
        <v>0</v>
      </c>
      <c r="J64" s="10"/>
      <c r="K64" s="10">
        <f t="shared" si="2"/>
        <v>0</v>
      </c>
      <c r="L64" s="10">
        <f t="shared" si="3"/>
        <v>0</v>
      </c>
    </row>
    <row r="65" spans="1:14" x14ac:dyDescent="0.3">
      <c r="A65" s="2">
        <f t="shared" si="6"/>
        <v>55</v>
      </c>
      <c r="B65" s="17" t="s">
        <v>966</v>
      </c>
      <c r="C65" s="18" t="s">
        <v>1028</v>
      </c>
      <c r="D65" s="19"/>
      <c r="E65" s="19">
        <v>1</v>
      </c>
      <c r="F65" s="10"/>
      <c r="G65" s="10">
        <f t="shared" si="0"/>
        <v>0</v>
      </c>
      <c r="H65" s="10"/>
      <c r="I65" s="10">
        <f t="shared" si="1"/>
        <v>0</v>
      </c>
      <c r="J65" s="10"/>
      <c r="K65" s="10">
        <f t="shared" si="2"/>
        <v>0</v>
      </c>
      <c r="L65" s="10">
        <f t="shared" si="3"/>
        <v>0</v>
      </c>
    </row>
    <row r="66" spans="1:14" ht="28.8" x14ac:dyDescent="0.3">
      <c r="A66" s="2">
        <f t="shared" si="6"/>
        <v>56</v>
      </c>
      <c r="B66" s="17" t="s">
        <v>918</v>
      </c>
      <c r="C66" s="18" t="s">
        <v>72</v>
      </c>
      <c r="D66" s="19"/>
      <c r="E66" s="19">
        <v>1</v>
      </c>
      <c r="F66" s="10"/>
      <c r="G66" s="10">
        <f t="shared" si="0"/>
        <v>0</v>
      </c>
      <c r="H66" s="10"/>
      <c r="I66" s="10">
        <f t="shared" si="1"/>
        <v>0</v>
      </c>
      <c r="J66" s="10"/>
      <c r="K66" s="10">
        <f t="shared" si="2"/>
        <v>0</v>
      </c>
      <c r="L66" s="10">
        <f t="shared" si="3"/>
        <v>0</v>
      </c>
    </row>
    <row r="67" spans="1:14" x14ac:dyDescent="0.3">
      <c r="A67" s="2">
        <f t="shared" si="6"/>
        <v>57</v>
      </c>
      <c r="B67" s="17" t="s">
        <v>784</v>
      </c>
      <c r="C67" s="18" t="s">
        <v>72</v>
      </c>
      <c r="D67" s="19"/>
      <c r="E67" s="19">
        <v>2</v>
      </c>
      <c r="F67" s="10"/>
      <c r="G67" s="10">
        <f t="shared" si="0"/>
        <v>0</v>
      </c>
      <c r="H67" s="10"/>
      <c r="I67" s="10">
        <f t="shared" si="1"/>
        <v>0</v>
      </c>
      <c r="J67" s="10"/>
      <c r="K67" s="10">
        <f t="shared" si="2"/>
        <v>0</v>
      </c>
      <c r="L67" s="10">
        <f t="shared" si="3"/>
        <v>0</v>
      </c>
    </row>
    <row r="68" spans="1:14" x14ac:dyDescent="0.3">
      <c r="A68" s="2">
        <f t="shared" si="6"/>
        <v>58</v>
      </c>
      <c r="B68" s="17" t="s">
        <v>931</v>
      </c>
      <c r="C68" s="18" t="s">
        <v>72</v>
      </c>
      <c r="D68" s="27"/>
      <c r="E68" s="19">
        <v>1</v>
      </c>
      <c r="F68" s="10"/>
      <c r="G68" s="10">
        <f t="shared" si="0"/>
        <v>0</v>
      </c>
      <c r="H68" s="10"/>
      <c r="I68" s="10">
        <f t="shared" si="1"/>
        <v>0</v>
      </c>
      <c r="J68" s="10"/>
      <c r="K68" s="10">
        <f t="shared" si="2"/>
        <v>0</v>
      </c>
      <c r="L68" s="10">
        <f t="shared" si="3"/>
        <v>0</v>
      </c>
    </row>
    <row r="69" spans="1:14" x14ac:dyDescent="0.3">
      <c r="A69" s="2">
        <f t="shared" si="6"/>
        <v>59</v>
      </c>
      <c r="B69" s="17" t="s">
        <v>954</v>
      </c>
      <c r="C69" s="18" t="s">
        <v>72</v>
      </c>
      <c r="D69" s="19"/>
      <c r="E69" s="19">
        <v>1</v>
      </c>
      <c r="F69" s="10"/>
      <c r="G69" s="10">
        <f t="shared" si="0"/>
        <v>0</v>
      </c>
      <c r="H69" s="10"/>
      <c r="I69" s="10">
        <f t="shared" si="1"/>
        <v>0</v>
      </c>
      <c r="J69" s="10"/>
      <c r="K69" s="10">
        <f t="shared" si="2"/>
        <v>0</v>
      </c>
      <c r="L69" s="10">
        <f t="shared" si="3"/>
        <v>0</v>
      </c>
      <c r="N69" s="9"/>
    </row>
    <row r="70" spans="1:14" x14ac:dyDescent="0.3">
      <c r="A70" s="2">
        <f t="shared" si="6"/>
        <v>60</v>
      </c>
      <c r="B70" s="17" t="s">
        <v>955</v>
      </c>
      <c r="C70" s="18" t="s">
        <v>72</v>
      </c>
      <c r="D70" s="27"/>
      <c r="E70" s="19">
        <v>1</v>
      </c>
      <c r="F70" s="10"/>
      <c r="G70" s="10">
        <f t="shared" si="0"/>
        <v>0</v>
      </c>
      <c r="H70" s="10"/>
      <c r="I70" s="10">
        <f t="shared" si="1"/>
        <v>0</v>
      </c>
      <c r="J70" s="10"/>
      <c r="K70" s="10">
        <f t="shared" si="2"/>
        <v>0</v>
      </c>
      <c r="L70" s="10">
        <f t="shared" si="3"/>
        <v>0</v>
      </c>
    </row>
    <row r="71" spans="1:14" x14ac:dyDescent="0.3">
      <c r="A71" s="2">
        <f t="shared" si="6"/>
        <v>61</v>
      </c>
      <c r="B71" s="17" t="s">
        <v>943</v>
      </c>
      <c r="C71" s="18" t="s">
        <v>72</v>
      </c>
      <c r="D71" s="27"/>
      <c r="E71" s="19">
        <v>2</v>
      </c>
      <c r="F71" s="10"/>
      <c r="G71" s="10">
        <f t="shared" si="0"/>
        <v>0</v>
      </c>
      <c r="H71" s="10"/>
      <c r="I71" s="10">
        <f t="shared" si="1"/>
        <v>0</v>
      </c>
      <c r="J71" s="10"/>
      <c r="K71" s="10">
        <f t="shared" si="2"/>
        <v>0</v>
      </c>
      <c r="L71" s="10">
        <f t="shared" si="3"/>
        <v>0</v>
      </c>
    </row>
    <row r="72" spans="1:14" x14ac:dyDescent="0.3">
      <c r="A72" s="2">
        <f t="shared" si="6"/>
        <v>62</v>
      </c>
      <c r="B72" s="17" t="s">
        <v>945</v>
      </c>
      <c r="C72" s="18" t="s">
        <v>72</v>
      </c>
      <c r="D72" s="27"/>
      <c r="E72" s="19">
        <v>2</v>
      </c>
      <c r="F72" s="10"/>
      <c r="G72" s="10">
        <f t="shared" si="0"/>
        <v>0</v>
      </c>
      <c r="H72" s="10"/>
      <c r="I72" s="10">
        <f t="shared" si="1"/>
        <v>0</v>
      </c>
      <c r="J72" s="10"/>
      <c r="K72" s="10">
        <f t="shared" si="2"/>
        <v>0</v>
      </c>
      <c r="L72" s="10">
        <f t="shared" si="3"/>
        <v>0</v>
      </c>
    </row>
    <row r="73" spans="1:14" x14ac:dyDescent="0.3">
      <c r="A73" s="2">
        <f t="shared" si="6"/>
        <v>63</v>
      </c>
      <c r="B73" s="17" t="s">
        <v>788</v>
      </c>
      <c r="C73" s="18" t="s">
        <v>72</v>
      </c>
      <c r="D73" s="19"/>
      <c r="E73" s="19">
        <v>1</v>
      </c>
      <c r="F73" s="10"/>
      <c r="G73" s="10">
        <f t="shared" si="0"/>
        <v>0</v>
      </c>
      <c r="H73" s="10"/>
      <c r="I73" s="10">
        <f t="shared" si="1"/>
        <v>0</v>
      </c>
      <c r="J73" s="10"/>
      <c r="K73" s="10">
        <f t="shared" si="2"/>
        <v>0</v>
      </c>
      <c r="L73" s="10">
        <f t="shared" si="3"/>
        <v>0</v>
      </c>
    </row>
    <row r="74" spans="1:14" x14ac:dyDescent="0.3">
      <c r="A74" s="11"/>
      <c r="B74" s="11" t="s">
        <v>789</v>
      </c>
      <c r="C74" s="4"/>
      <c r="D74" s="12"/>
      <c r="E74" s="12"/>
      <c r="F74" s="13"/>
      <c r="G74" s="13">
        <f t="shared" si="0"/>
        <v>0</v>
      </c>
      <c r="H74" s="13"/>
      <c r="I74" s="13">
        <f t="shared" si="1"/>
        <v>0</v>
      </c>
      <c r="J74" s="13"/>
      <c r="K74" s="13">
        <f t="shared" si="2"/>
        <v>0</v>
      </c>
      <c r="L74" s="13">
        <f t="shared" si="3"/>
        <v>0</v>
      </c>
    </row>
    <row r="75" spans="1:14" ht="216" x14ac:dyDescent="0.3">
      <c r="A75" s="2">
        <f>A73+1</f>
        <v>64</v>
      </c>
      <c r="B75" s="17" t="s">
        <v>1006</v>
      </c>
      <c r="C75" s="18" t="s">
        <v>72</v>
      </c>
      <c r="D75" s="19"/>
      <c r="E75" s="19">
        <v>2</v>
      </c>
      <c r="F75" s="10"/>
      <c r="G75" s="10">
        <f t="shared" si="0"/>
        <v>0</v>
      </c>
      <c r="H75" s="10"/>
      <c r="I75" s="10">
        <f t="shared" si="1"/>
        <v>0</v>
      </c>
      <c r="J75" s="10"/>
      <c r="K75" s="10">
        <f t="shared" si="2"/>
        <v>0</v>
      </c>
      <c r="L75" s="10">
        <f t="shared" si="3"/>
        <v>0</v>
      </c>
    </row>
    <row r="76" spans="1:14" x14ac:dyDescent="0.3">
      <c r="A76" s="2">
        <f>A75+1</f>
        <v>65</v>
      </c>
      <c r="B76" s="17" t="s">
        <v>790</v>
      </c>
      <c r="C76" s="18" t="s">
        <v>72</v>
      </c>
      <c r="D76" s="19"/>
      <c r="E76" s="19">
        <v>2</v>
      </c>
      <c r="F76" s="10"/>
      <c r="G76" s="10">
        <f t="shared" si="0"/>
        <v>0</v>
      </c>
      <c r="H76" s="10"/>
      <c r="I76" s="10">
        <f t="shared" si="1"/>
        <v>0</v>
      </c>
      <c r="J76" s="10"/>
      <c r="K76" s="10">
        <f t="shared" si="2"/>
        <v>0</v>
      </c>
      <c r="L76" s="10">
        <f t="shared" si="3"/>
        <v>0</v>
      </c>
    </row>
    <row r="77" spans="1:14" x14ac:dyDescent="0.3">
      <c r="A77" s="11"/>
      <c r="B77" s="11" t="s">
        <v>791</v>
      </c>
      <c r="C77" s="4"/>
      <c r="D77" s="12"/>
      <c r="E77" s="12"/>
      <c r="F77" s="13"/>
      <c r="G77" s="13">
        <f t="shared" si="0"/>
        <v>0</v>
      </c>
      <c r="H77" s="13"/>
      <c r="I77" s="13">
        <f t="shared" si="1"/>
        <v>0</v>
      </c>
      <c r="J77" s="13"/>
      <c r="K77" s="13">
        <f t="shared" si="2"/>
        <v>0</v>
      </c>
      <c r="L77" s="13">
        <f t="shared" si="3"/>
        <v>0</v>
      </c>
    </row>
    <row r="78" spans="1:14" ht="72" x14ac:dyDescent="0.3">
      <c r="A78" s="2">
        <f>A76+1</f>
        <v>66</v>
      </c>
      <c r="B78" s="17" t="s">
        <v>1007</v>
      </c>
      <c r="C78" s="18" t="s">
        <v>72</v>
      </c>
      <c r="D78" s="19"/>
      <c r="E78" s="19">
        <v>5</v>
      </c>
      <c r="F78" s="10"/>
      <c r="G78" s="10">
        <f t="shared" si="0"/>
        <v>0</v>
      </c>
      <c r="H78" s="10"/>
      <c r="I78" s="10">
        <f t="shared" si="1"/>
        <v>0</v>
      </c>
      <c r="J78" s="10"/>
      <c r="K78" s="10">
        <f t="shared" si="2"/>
        <v>0</v>
      </c>
      <c r="L78" s="10">
        <f t="shared" si="3"/>
        <v>0</v>
      </c>
    </row>
    <row r="79" spans="1:14" ht="72" x14ac:dyDescent="0.3">
      <c r="A79" s="2">
        <f>A78+1</f>
        <v>67</v>
      </c>
      <c r="B79" s="17" t="s">
        <v>1008</v>
      </c>
      <c r="C79" s="18" t="s">
        <v>72</v>
      </c>
      <c r="D79" s="19"/>
      <c r="E79" s="19">
        <v>1</v>
      </c>
      <c r="F79" s="10"/>
      <c r="G79" s="10">
        <f t="shared" si="0"/>
        <v>0</v>
      </c>
      <c r="H79" s="10"/>
      <c r="I79" s="10">
        <f t="shared" si="1"/>
        <v>0</v>
      </c>
      <c r="J79" s="10"/>
      <c r="K79" s="10">
        <f t="shared" si="2"/>
        <v>0</v>
      </c>
      <c r="L79" s="10">
        <f t="shared" si="3"/>
        <v>0</v>
      </c>
    </row>
    <row r="80" spans="1:14" ht="72" x14ac:dyDescent="0.3">
      <c r="A80" s="2">
        <f>A79+1</f>
        <v>68</v>
      </c>
      <c r="B80" s="17" t="s">
        <v>1009</v>
      </c>
      <c r="C80" s="18" t="s">
        <v>72</v>
      </c>
      <c r="D80" s="19"/>
      <c r="E80" s="19">
        <v>9</v>
      </c>
      <c r="F80" s="10"/>
      <c r="G80" s="10">
        <f t="shared" si="0"/>
        <v>0</v>
      </c>
      <c r="H80" s="10"/>
      <c r="I80" s="10">
        <f t="shared" si="1"/>
        <v>0</v>
      </c>
      <c r="J80" s="10"/>
      <c r="K80" s="10">
        <f t="shared" si="2"/>
        <v>0</v>
      </c>
      <c r="L80" s="10">
        <f t="shared" si="3"/>
        <v>0</v>
      </c>
    </row>
    <row r="81" spans="1:12" ht="72" x14ac:dyDescent="0.3">
      <c r="A81" s="2">
        <f>A80+1</f>
        <v>69</v>
      </c>
      <c r="B81" s="17" t="s">
        <v>1010</v>
      </c>
      <c r="C81" s="18" t="s">
        <v>72</v>
      </c>
      <c r="D81" s="19"/>
      <c r="E81" s="19">
        <v>9</v>
      </c>
      <c r="F81" s="10"/>
      <c r="G81" s="10">
        <f t="shared" si="0"/>
        <v>0</v>
      </c>
      <c r="H81" s="10"/>
      <c r="I81" s="10">
        <f t="shared" si="1"/>
        <v>0</v>
      </c>
      <c r="J81" s="10"/>
      <c r="K81" s="10">
        <f t="shared" si="2"/>
        <v>0</v>
      </c>
      <c r="L81" s="10">
        <f t="shared" si="3"/>
        <v>0</v>
      </c>
    </row>
    <row r="82" spans="1:12" ht="72" x14ac:dyDescent="0.3">
      <c r="A82" s="2">
        <f>A81+1</f>
        <v>70</v>
      </c>
      <c r="B82" s="17" t="s">
        <v>1011</v>
      </c>
      <c r="C82" s="18" t="s">
        <v>72</v>
      </c>
      <c r="D82" s="19"/>
      <c r="E82" s="19">
        <v>4</v>
      </c>
      <c r="F82" s="10"/>
      <c r="G82" s="10">
        <f t="shared" si="0"/>
        <v>0</v>
      </c>
      <c r="H82" s="10"/>
      <c r="I82" s="10">
        <f t="shared" si="1"/>
        <v>0</v>
      </c>
      <c r="J82" s="10"/>
      <c r="K82" s="10">
        <f t="shared" si="2"/>
        <v>0</v>
      </c>
      <c r="L82" s="10">
        <f t="shared" si="3"/>
        <v>0</v>
      </c>
    </row>
    <row r="83" spans="1:12" ht="72" x14ac:dyDescent="0.3">
      <c r="A83" s="2">
        <f t="shared" ref="A83:A99" si="7">A82+1</f>
        <v>71</v>
      </c>
      <c r="B83" s="17" t="s">
        <v>1012</v>
      </c>
      <c r="C83" s="18" t="s">
        <v>72</v>
      </c>
      <c r="D83" s="19"/>
      <c r="E83" s="19">
        <v>5</v>
      </c>
      <c r="F83" s="10"/>
      <c r="G83" s="10">
        <f t="shared" si="0"/>
        <v>0</v>
      </c>
      <c r="H83" s="10"/>
      <c r="I83" s="10">
        <f t="shared" si="1"/>
        <v>0</v>
      </c>
      <c r="J83" s="10"/>
      <c r="K83" s="10">
        <f t="shared" si="2"/>
        <v>0</v>
      </c>
      <c r="L83" s="10">
        <f t="shared" si="3"/>
        <v>0</v>
      </c>
    </row>
    <row r="84" spans="1:12" ht="100.8" x14ac:dyDescent="0.3">
      <c r="A84" s="2">
        <f t="shared" si="7"/>
        <v>72</v>
      </c>
      <c r="B84" s="17" t="s">
        <v>1024</v>
      </c>
      <c r="C84" s="18" t="s">
        <v>72</v>
      </c>
      <c r="D84" s="19"/>
      <c r="E84" s="19">
        <v>33</v>
      </c>
      <c r="F84" s="10"/>
      <c r="G84" s="10">
        <f t="shared" si="0"/>
        <v>0</v>
      </c>
      <c r="H84" s="10"/>
      <c r="I84" s="10">
        <f t="shared" si="1"/>
        <v>0</v>
      </c>
      <c r="J84" s="10"/>
      <c r="K84" s="10">
        <f t="shared" si="2"/>
        <v>0</v>
      </c>
      <c r="L84" s="10">
        <f t="shared" si="3"/>
        <v>0</v>
      </c>
    </row>
    <row r="85" spans="1:12" ht="28.8" x14ac:dyDescent="0.3">
      <c r="A85" s="2">
        <f t="shared" si="7"/>
        <v>73</v>
      </c>
      <c r="B85" s="17" t="s">
        <v>792</v>
      </c>
      <c r="C85" s="18" t="s">
        <v>72</v>
      </c>
      <c r="D85" s="19"/>
      <c r="E85" s="19">
        <v>33</v>
      </c>
      <c r="F85" s="10"/>
      <c r="G85" s="10">
        <f t="shared" si="0"/>
        <v>0</v>
      </c>
      <c r="H85" s="10"/>
      <c r="I85" s="10">
        <f t="shared" si="1"/>
        <v>0</v>
      </c>
      <c r="J85" s="10"/>
      <c r="K85" s="10">
        <f t="shared" si="2"/>
        <v>0</v>
      </c>
      <c r="L85" s="10">
        <f t="shared" si="3"/>
        <v>0</v>
      </c>
    </row>
    <row r="86" spans="1:12" x14ac:dyDescent="0.3">
      <c r="A86" s="2">
        <f t="shared" si="7"/>
        <v>74</v>
      </c>
      <c r="B86" s="17" t="s">
        <v>793</v>
      </c>
      <c r="C86" s="18" t="s">
        <v>72</v>
      </c>
      <c r="D86" s="19"/>
      <c r="E86" s="19">
        <v>33</v>
      </c>
      <c r="F86" s="10"/>
      <c r="G86" s="10">
        <f t="shared" si="0"/>
        <v>0</v>
      </c>
      <c r="H86" s="10"/>
      <c r="I86" s="10">
        <f t="shared" si="1"/>
        <v>0</v>
      </c>
      <c r="J86" s="10"/>
      <c r="K86" s="10">
        <f t="shared" si="2"/>
        <v>0</v>
      </c>
      <c r="L86" s="10">
        <f t="shared" si="3"/>
        <v>0</v>
      </c>
    </row>
    <row r="87" spans="1:12" x14ac:dyDescent="0.3">
      <c r="A87" s="2">
        <f t="shared" si="7"/>
        <v>75</v>
      </c>
      <c r="B87" s="17" t="s">
        <v>794</v>
      </c>
      <c r="C87" s="18" t="s">
        <v>12</v>
      </c>
      <c r="D87" s="19"/>
      <c r="E87" s="19">
        <v>462</v>
      </c>
      <c r="F87" s="10"/>
      <c r="G87" s="10">
        <f t="shared" si="0"/>
        <v>0</v>
      </c>
      <c r="H87" s="10"/>
      <c r="I87" s="10">
        <f t="shared" si="1"/>
        <v>0</v>
      </c>
      <c r="J87" s="10"/>
      <c r="K87" s="10">
        <f t="shared" si="2"/>
        <v>0</v>
      </c>
      <c r="L87" s="10">
        <f t="shared" si="3"/>
        <v>0</v>
      </c>
    </row>
    <row r="88" spans="1:12" ht="28.8" x14ac:dyDescent="0.3">
      <c r="A88" s="2">
        <f t="shared" si="7"/>
        <v>76</v>
      </c>
      <c r="B88" s="17" t="s">
        <v>1023</v>
      </c>
      <c r="C88" s="18" t="s">
        <v>72</v>
      </c>
      <c r="D88" s="27"/>
      <c r="E88" s="19">
        <v>39</v>
      </c>
      <c r="F88" s="10"/>
      <c r="G88" s="10">
        <f t="shared" si="0"/>
        <v>0</v>
      </c>
      <c r="H88" s="10"/>
      <c r="I88" s="10">
        <f t="shared" si="1"/>
        <v>0</v>
      </c>
      <c r="J88" s="10"/>
      <c r="K88" s="10">
        <f t="shared" si="2"/>
        <v>0</v>
      </c>
      <c r="L88" s="10">
        <f t="shared" si="3"/>
        <v>0</v>
      </c>
    </row>
    <row r="89" spans="1:12" x14ac:dyDescent="0.3">
      <c r="A89" s="2">
        <f t="shared" si="7"/>
        <v>77</v>
      </c>
      <c r="B89" s="17" t="s">
        <v>795</v>
      </c>
      <c r="C89" s="18" t="s">
        <v>1028</v>
      </c>
      <c r="D89" s="27"/>
      <c r="E89" s="19">
        <v>33</v>
      </c>
      <c r="F89" s="10"/>
      <c r="G89" s="10">
        <f t="shared" si="0"/>
        <v>0</v>
      </c>
      <c r="H89" s="10"/>
      <c r="I89" s="10">
        <f t="shared" si="1"/>
        <v>0</v>
      </c>
      <c r="J89" s="10"/>
      <c r="K89" s="10">
        <f t="shared" si="2"/>
        <v>0</v>
      </c>
      <c r="L89" s="10">
        <f t="shared" si="3"/>
        <v>0</v>
      </c>
    </row>
    <row r="90" spans="1:12" x14ac:dyDescent="0.3">
      <c r="A90" s="2">
        <f t="shared" si="7"/>
        <v>78</v>
      </c>
      <c r="B90" s="17" t="s">
        <v>1022</v>
      </c>
      <c r="C90" s="18" t="s">
        <v>72</v>
      </c>
      <c r="D90" s="27"/>
      <c r="E90" s="19">
        <v>66</v>
      </c>
      <c r="F90" s="10"/>
      <c r="G90" s="10">
        <f t="shared" si="0"/>
        <v>0</v>
      </c>
      <c r="H90" s="10"/>
      <c r="I90" s="10">
        <f t="shared" si="1"/>
        <v>0</v>
      </c>
      <c r="J90" s="10"/>
      <c r="K90" s="10">
        <f t="shared" si="2"/>
        <v>0</v>
      </c>
      <c r="L90" s="10">
        <f t="shared" si="3"/>
        <v>0</v>
      </c>
    </row>
    <row r="91" spans="1:12" x14ac:dyDescent="0.3">
      <c r="A91" s="2">
        <f t="shared" si="7"/>
        <v>79</v>
      </c>
      <c r="B91" s="17" t="s">
        <v>956</v>
      </c>
      <c r="C91" s="18" t="s">
        <v>72</v>
      </c>
      <c r="D91" s="19"/>
      <c r="E91" s="19">
        <v>66</v>
      </c>
      <c r="F91" s="10"/>
      <c r="G91" s="10">
        <f t="shared" si="0"/>
        <v>0</v>
      </c>
      <c r="H91" s="10"/>
      <c r="I91" s="10">
        <f t="shared" si="1"/>
        <v>0</v>
      </c>
      <c r="J91" s="10"/>
      <c r="K91" s="10">
        <f t="shared" si="2"/>
        <v>0</v>
      </c>
      <c r="L91" s="10">
        <f t="shared" si="3"/>
        <v>0</v>
      </c>
    </row>
    <row r="92" spans="1:12" ht="28.8" x14ac:dyDescent="0.3">
      <c r="A92" s="2">
        <f t="shared" si="7"/>
        <v>80</v>
      </c>
      <c r="B92" s="17" t="s">
        <v>796</v>
      </c>
      <c r="C92" s="18" t="s">
        <v>12</v>
      </c>
      <c r="D92" s="19"/>
      <c r="E92" s="19">
        <v>130</v>
      </c>
      <c r="F92" s="10"/>
      <c r="G92" s="10">
        <f t="shared" si="0"/>
        <v>0</v>
      </c>
      <c r="H92" s="10"/>
      <c r="I92" s="10">
        <f t="shared" si="1"/>
        <v>0</v>
      </c>
      <c r="J92" s="10"/>
      <c r="K92" s="10">
        <f t="shared" si="2"/>
        <v>0</v>
      </c>
      <c r="L92" s="10">
        <f t="shared" si="3"/>
        <v>0</v>
      </c>
    </row>
    <row r="93" spans="1:12" ht="28.8" x14ac:dyDescent="0.3">
      <c r="A93" s="2">
        <f t="shared" si="7"/>
        <v>81</v>
      </c>
      <c r="B93" s="17" t="s">
        <v>797</v>
      </c>
      <c r="C93" s="18" t="s">
        <v>12</v>
      </c>
      <c r="D93" s="19"/>
      <c r="E93" s="19">
        <v>160</v>
      </c>
      <c r="F93" s="10"/>
      <c r="G93" s="10">
        <f t="shared" si="0"/>
        <v>0</v>
      </c>
      <c r="H93" s="10"/>
      <c r="I93" s="10">
        <f t="shared" si="1"/>
        <v>0</v>
      </c>
      <c r="J93" s="10"/>
      <c r="K93" s="10">
        <f t="shared" si="2"/>
        <v>0</v>
      </c>
      <c r="L93" s="10">
        <f t="shared" si="3"/>
        <v>0</v>
      </c>
    </row>
    <row r="94" spans="1:12" ht="28.8" x14ac:dyDescent="0.3">
      <c r="A94" s="2">
        <f t="shared" si="7"/>
        <v>82</v>
      </c>
      <c r="B94" s="17" t="s">
        <v>798</v>
      </c>
      <c r="C94" s="18" t="s">
        <v>12</v>
      </c>
      <c r="D94" s="19"/>
      <c r="E94" s="19">
        <v>200</v>
      </c>
      <c r="F94" s="10"/>
      <c r="G94" s="10">
        <f t="shared" si="0"/>
        <v>0</v>
      </c>
      <c r="H94" s="10"/>
      <c r="I94" s="10">
        <f t="shared" si="1"/>
        <v>0</v>
      </c>
      <c r="J94" s="10"/>
      <c r="K94" s="10">
        <f t="shared" si="2"/>
        <v>0</v>
      </c>
      <c r="L94" s="10">
        <f t="shared" si="3"/>
        <v>0</v>
      </c>
    </row>
    <row r="95" spans="1:12" ht="28.8" x14ac:dyDescent="0.3">
      <c r="A95" s="2">
        <f t="shared" si="7"/>
        <v>83</v>
      </c>
      <c r="B95" s="17" t="s">
        <v>799</v>
      </c>
      <c r="C95" s="18" t="s">
        <v>12</v>
      </c>
      <c r="D95" s="19"/>
      <c r="E95" s="19">
        <v>15</v>
      </c>
      <c r="F95" s="10"/>
      <c r="G95" s="10">
        <f t="shared" si="0"/>
        <v>0</v>
      </c>
      <c r="H95" s="10"/>
      <c r="I95" s="10">
        <f t="shared" si="1"/>
        <v>0</v>
      </c>
      <c r="J95" s="10"/>
      <c r="K95" s="10">
        <f t="shared" si="2"/>
        <v>0</v>
      </c>
      <c r="L95" s="10">
        <f t="shared" si="3"/>
        <v>0</v>
      </c>
    </row>
    <row r="96" spans="1:12" ht="28.8" x14ac:dyDescent="0.3">
      <c r="A96" s="2">
        <f t="shared" si="7"/>
        <v>84</v>
      </c>
      <c r="B96" s="17" t="s">
        <v>800</v>
      </c>
      <c r="C96" s="18" t="s">
        <v>12</v>
      </c>
      <c r="D96" s="19"/>
      <c r="E96" s="19">
        <v>10</v>
      </c>
      <c r="F96" s="10"/>
      <c r="G96" s="10">
        <f t="shared" si="0"/>
        <v>0</v>
      </c>
      <c r="H96" s="10"/>
      <c r="I96" s="10">
        <f t="shared" si="1"/>
        <v>0</v>
      </c>
      <c r="J96" s="10"/>
      <c r="K96" s="10">
        <f t="shared" si="2"/>
        <v>0</v>
      </c>
      <c r="L96" s="10">
        <f t="shared" si="3"/>
        <v>0</v>
      </c>
    </row>
    <row r="97" spans="1:14" ht="28.8" x14ac:dyDescent="0.3">
      <c r="A97" s="2">
        <f t="shared" si="7"/>
        <v>85</v>
      </c>
      <c r="B97" s="17" t="s">
        <v>801</v>
      </c>
      <c r="C97" s="18" t="s">
        <v>72</v>
      </c>
      <c r="D97" s="19"/>
      <c r="E97" s="19">
        <v>237.5</v>
      </c>
      <c r="F97" s="10"/>
      <c r="G97" s="10">
        <f t="shared" si="0"/>
        <v>0</v>
      </c>
      <c r="H97" s="10"/>
      <c r="I97" s="10">
        <f t="shared" si="1"/>
        <v>0</v>
      </c>
      <c r="J97" s="10"/>
      <c r="K97" s="10">
        <f t="shared" si="2"/>
        <v>0</v>
      </c>
      <c r="L97" s="10">
        <f t="shared" si="3"/>
        <v>0</v>
      </c>
    </row>
    <row r="98" spans="1:14" x14ac:dyDescent="0.3">
      <c r="A98" s="2">
        <f t="shared" si="7"/>
        <v>86</v>
      </c>
      <c r="B98" s="17" t="s">
        <v>802</v>
      </c>
      <c r="C98" s="18" t="s">
        <v>72</v>
      </c>
      <c r="D98" s="19"/>
      <c r="E98" s="19">
        <v>1</v>
      </c>
      <c r="F98" s="10"/>
      <c r="G98" s="10">
        <f t="shared" si="0"/>
        <v>0</v>
      </c>
      <c r="H98" s="10"/>
      <c r="I98" s="10">
        <f t="shared" si="1"/>
        <v>0</v>
      </c>
      <c r="J98" s="10"/>
      <c r="K98" s="10">
        <f t="shared" si="2"/>
        <v>0</v>
      </c>
      <c r="L98" s="10">
        <f t="shared" si="3"/>
        <v>0</v>
      </c>
    </row>
    <row r="99" spans="1:14" x14ac:dyDescent="0.3">
      <c r="A99" s="2">
        <f t="shared" si="7"/>
        <v>87</v>
      </c>
      <c r="B99" s="17" t="s">
        <v>803</v>
      </c>
      <c r="C99" s="18" t="s">
        <v>72</v>
      </c>
      <c r="D99" s="19"/>
      <c r="E99" s="19">
        <v>1</v>
      </c>
      <c r="F99" s="10"/>
      <c r="G99" s="10">
        <f t="shared" si="0"/>
        <v>0</v>
      </c>
      <c r="H99" s="10"/>
      <c r="I99" s="10">
        <f t="shared" si="1"/>
        <v>0</v>
      </c>
      <c r="J99" s="10"/>
      <c r="K99" s="10">
        <f t="shared" si="2"/>
        <v>0</v>
      </c>
      <c r="L99" s="10">
        <f t="shared" si="3"/>
        <v>0</v>
      </c>
    </row>
    <row r="100" spans="1:14" x14ac:dyDescent="0.3">
      <c r="A100" s="11"/>
      <c r="B100" s="11" t="s">
        <v>804</v>
      </c>
      <c r="C100" s="4"/>
      <c r="D100" s="12"/>
      <c r="E100" s="12"/>
      <c r="F100" s="13"/>
      <c r="G100" s="13">
        <f t="shared" si="0"/>
        <v>0</v>
      </c>
      <c r="H100" s="13"/>
      <c r="I100" s="13">
        <f t="shared" si="1"/>
        <v>0</v>
      </c>
      <c r="J100" s="13"/>
      <c r="K100" s="13">
        <f t="shared" si="2"/>
        <v>0</v>
      </c>
      <c r="L100" s="13">
        <f t="shared" si="3"/>
        <v>0</v>
      </c>
    </row>
    <row r="101" spans="1:14" ht="100.8" x14ac:dyDescent="0.3">
      <c r="A101" s="2">
        <f>A99+1</f>
        <v>88</v>
      </c>
      <c r="B101" s="17" t="s">
        <v>1021</v>
      </c>
      <c r="C101" s="18" t="s">
        <v>72</v>
      </c>
      <c r="D101" s="19"/>
      <c r="E101" s="19">
        <v>1</v>
      </c>
      <c r="F101" s="10"/>
      <c r="G101" s="10">
        <f t="shared" si="0"/>
        <v>0</v>
      </c>
      <c r="H101" s="10"/>
      <c r="I101" s="10">
        <f t="shared" si="1"/>
        <v>0</v>
      </c>
      <c r="J101" s="10"/>
      <c r="K101" s="10">
        <f t="shared" si="2"/>
        <v>0</v>
      </c>
      <c r="L101" s="10">
        <f t="shared" si="3"/>
        <v>0</v>
      </c>
    </row>
    <row r="102" spans="1:14" ht="28.8" x14ac:dyDescent="0.3">
      <c r="A102" s="2">
        <f>A101+1</f>
        <v>89</v>
      </c>
      <c r="B102" s="17" t="s">
        <v>805</v>
      </c>
      <c r="C102" s="18" t="s">
        <v>72</v>
      </c>
      <c r="D102" s="19"/>
      <c r="E102" s="19">
        <v>1</v>
      </c>
      <c r="F102" s="10"/>
      <c r="G102" s="10">
        <f t="shared" si="0"/>
        <v>0</v>
      </c>
      <c r="H102" s="10"/>
      <c r="I102" s="10">
        <f t="shared" si="1"/>
        <v>0</v>
      </c>
      <c r="J102" s="10"/>
      <c r="K102" s="10">
        <f t="shared" si="2"/>
        <v>0</v>
      </c>
      <c r="L102" s="10">
        <f t="shared" si="3"/>
        <v>0</v>
      </c>
    </row>
    <row r="103" spans="1:14" x14ac:dyDescent="0.3">
      <c r="A103" s="2">
        <f>A102+1</f>
        <v>90</v>
      </c>
      <c r="B103" s="17" t="s">
        <v>806</v>
      </c>
      <c r="C103" s="18" t="s">
        <v>12</v>
      </c>
      <c r="D103" s="27"/>
      <c r="E103" s="19">
        <v>18</v>
      </c>
      <c r="F103" s="10"/>
      <c r="G103" s="10">
        <f t="shared" si="0"/>
        <v>0</v>
      </c>
      <c r="H103" s="10"/>
      <c r="I103" s="10">
        <f t="shared" si="1"/>
        <v>0</v>
      </c>
      <c r="J103" s="10"/>
      <c r="K103" s="10">
        <f t="shared" si="2"/>
        <v>0</v>
      </c>
      <c r="L103" s="10">
        <f t="shared" si="3"/>
        <v>0</v>
      </c>
    </row>
    <row r="104" spans="1:14" x14ac:dyDescent="0.3">
      <c r="A104" s="2">
        <f>A103+1</f>
        <v>91</v>
      </c>
      <c r="B104" s="17" t="s">
        <v>807</v>
      </c>
      <c r="C104" s="18" t="s">
        <v>12</v>
      </c>
      <c r="D104" s="19"/>
      <c r="E104" s="19">
        <v>18</v>
      </c>
      <c r="F104" s="10"/>
      <c r="G104" s="10">
        <f t="shared" si="0"/>
        <v>0</v>
      </c>
      <c r="H104" s="10"/>
      <c r="I104" s="10">
        <f t="shared" si="1"/>
        <v>0</v>
      </c>
      <c r="J104" s="10"/>
      <c r="K104" s="10">
        <f t="shared" si="2"/>
        <v>0</v>
      </c>
      <c r="L104" s="10">
        <f t="shared" si="3"/>
        <v>0</v>
      </c>
      <c r="N104" s="9"/>
    </row>
    <row r="105" spans="1:14" ht="28.8" x14ac:dyDescent="0.3">
      <c r="A105" s="2">
        <f>A104+1</f>
        <v>92</v>
      </c>
      <c r="B105" s="17" t="s">
        <v>801</v>
      </c>
      <c r="C105" s="18" t="s">
        <v>72</v>
      </c>
      <c r="D105" s="27"/>
      <c r="E105" s="19">
        <v>8</v>
      </c>
      <c r="F105" s="10"/>
      <c r="G105" s="10">
        <f t="shared" si="0"/>
        <v>0</v>
      </c>
      <c r="H105" s="10"/>
      <c r="I105" s="10">
        <f t="shared" si="1"/>
        <v>0</v>
      </c>
      <c r="J105" s="10"/>
      <c r="K105" s="10">
        <f t="shared" si="2"/>
        <v>0</v>
      </c>
      <c r="L105" s="10">
        <f t="shared" si="3"/>
        <v>0</v>
      </c>
    </row>
    <row r="106" spans="1:14" x14ac:dyDescent="0.3">
      <c r="A106" s="2">
        <f>A105+1</f>
        <v>93</v>
      </c>
      <c r="B106" s="17" t="s">
        <v>808</v>
      </c>
      <c r="C106" s="18" t="s">
        <v>72</v>
      </c>
      <c r="D106" s="27"/>
      <c r="E106" s="19">
        <v>1</v>
      </c>
      <c r="F106" s="10"/>
      <c r="G106" s="10">
        <f t="shared" si="0"/>
        <v>0</v>
      </c>
      <c r="H106" s="10"/>
      <c r="I106" s="10">
        <f t="shared" si="1"/>
        <v>0</v>
      </c>
      <c r="J106" s="10"/>
      <c r="K106" s="10">
        <f t="shared" si="2"/>
        <v>0</v>
      </c>
      <c r="L106" s="10">
        <f t="shared" si="3"/>
        <v>0</v>
      </c>
    </row>
    <row r="107" spans="1:14" x14ac:dyDescent="0.3">
      <c r="A107" s="11"/>
      <c r="B107" s="11" t="s">
        <v>809</v>
      </c>
      <c r="C107" s="4"/>
      <c r="D107" s="12"/>
      <c r="E107" s="12"/>
      <c r="F107" s="13"/>
      <c r="G107" s="13">
        <f t="shared" si="0"/>
        <v>0</v>
      </c>
      <c r="H107" s="13"/>
      <c r="I107" s="13">
        <f t="shared" si="1"/>
        <v>0</v>
      </c>
      <c r="J107" s="13"/>
      <c r="K107" s="13">
        <f t="shared" si="2"/>
        <v>0</v>
      </c>
      <c r="L107" s="13">
        <f t="shared" si="3"/>
        <v>0</v>
      </c>
    </row>
    <row r="108" spans="1:14" ht="115.2" x14ac:dyDescent="0.3">
      <c r="A108" s="2">
        <f>A106+1</f>
        <v>94</v>
      </c>
      <c r="B108" s="17" t="s">
        <v>1013</v>
      </c>
      <c r="C108" s="18" t="s">
        <v>1028</v>
      </c>
      <c r="D108" s="19"/>
      <c r="E108" s="19">
        <v>1</v>
      </c>
      <c r="F108" s="10"/>
      <c r="G108" s="10">
        <f t="shared" si="0"/>
        <v>0</v>
      </c>
      <c r="H108" s="10"/>
      <c r="I108" s="10">
        <f t="shared" si="1"/>
        <v>0</v>
      </c>
      <c r="J108" s="10"/>
      <c r="K108" s="10">
        <f t="shared" si="2"/>
        <v>0</v>
      </c>
      <c r="L108" s="10">
        <f t="shared" si="3"/>
        <v>0</v>
      </c>
    </row>
    <row r="109" spans="1:14" ht="28.8" x14ac:dyDescent="0.3">
      <c r="A109" s="2">
        <f t="shared" ref="A109:A121" si="8">A108+1</f>
        <v>95</v>
      </c>
      <c r="B109" s="17" t="s">
        <v>810</v>
      </c>
      <c r="C109" s="18" t="s">
        <v>72</v>
      </c>
      <c r="D109" s="19"/>
      <c r="E109" s="19">
        <v>1</v>
      </c>
      <c r="F109" s="10"/>
      <c r="G109" s="10">
        <f t="shared" si="0"/>
        <v>0</v>
      </c>
      <c r="H109" s="10"/>
      <c r="I109" s="10">
        <f t="shared" si="1"/>
        <v>0</v>
      </c>
      <c r="J109" s="10"/>
      <c r="K109" s="10">
        <f t="shared" si="2"/>
        <v>0</v>
      </c>
      <c r="L109" s="10">
        <f t="shared" si="3"/>
        <v>0</v>
      </c>
    </row>
    <row r="110" spans="1:14" x14ac:dyDescent="0.3">
      <c r="A110" s="2">
        <f t="shared" si="8"/>
        <v>96</v>
      </c>
      <c r="B110" s="17" t="s">
        <v>811</v>
      </c>
      <c r="C110" s="18" t="s">
        <v>72</v>
      </c>
      <c r="D110" s="19"/>
      <c r="E110" s="19">
        <v>1</v>
      </c>
      <c r="F110" s="10"/>
      <c r="G110" s="10">
        <f t="shared" si="0"/>
        <v>0</v>
      </c>
      <c r="H110" s="10"/>
      <c r="I110" s="10">
        <f t="shared" si="1"/>
        <v>0</v>
      </c>
      <c r="J110" s="10"/>
      <c r="K110" s="10">
        <f t="shared" si="2"/>
        <v>0</v>
      </c>
      <c r="L110" s="10">
        <f t="shared" si="3"/>
        <v>0</v>
      </c>
    </row>
    <row r="111" spans="1:14" x14ac:dyDescent="0.3">
      <c r="A111" s="2">
        <f t="shared" si="8"/>
        <v>97</v>
      </c>
      <c r="B111" s="17" t="s">
        <v>812</v>
      </c>
      <c r="C111" s="18" t="s">
        <v>1028</v>
      </c>
      <c r="D111" s="19"/>
      <c r="E111" s="19">
        <v>2</v>
      </c>
      <c r="F111" s="10"/>
      <c r="G111" s="10">
        <f t="shared" si="0"/>
        <v>0</v>
      </c>
      <c r="H111" s="10"/>
      <c r="I111" s="10">
        <f t="shared" si="1"/>
        <v>0</v>
      </c>
      <c r="J111" s="10"/>
      <c r="K111" s="10">
        <f t="shared" si="2"/>
        <v>0</v>
      </c>
      <c r="L111" s="10">
        <f t="shared" si="3"/>
        <v>0</v>
      </c>
    </row>
    <row r="112" spans="1:14" ht="28.8" x14ac:dyDescent="0.3">
      <c r="A112" s="2">
        <f t="shared" si="8"/>
        <v>98</v>
      </c>
      <c r="B112" s="17" t="s">
        <v>973</v>
      </c>
      <c r="C112" s="18" t="s">
        <v>72</v>
      </c>
      <c r="D112" s="19"/>
      <c r="E112" s="19">
        <v>1</v>
      </c>
      <c r="F112" s="10"/>
      <c r="G112" s="10">
        <f t="shared" si="0"/>
        <v>0</v>
      </c>
      <c r="H112" s="10"/>
      <c r="I112" s="10">
        <f t="shared" si="1"/>
        <v>0</v>
      </c>
      <c r="J112" s="10"/>
      <c r="K112" s="10">
        <f t="shared" si="2"/>
        <v>0</v>
      </c>
      <c r="L112" s="10">
        <f t="shared" si="3"/>
        <v>0</v>
      </c>
    </row>
    <row r="113" spans="1:12" ht="28.8" x14ac:dyDescent="0.3">
      <c r="A113" s="2">
        <f t="shared" si="8"/>
        <v>99</v>
      </c>
      <c r="B113" s="17" t="s">
        <v>974</v>
      </c>
      <c r="C113" s="18" t="s">
        <v>72</v>
      </c>
      <c r="D113" s="19"/>
      <c r="E113" s="19">
        <v>1</v>
      </c>
      <c r="F113" s="10"/>
      <c r="G113" s="10">
        <f t="shared" si="0"/>
        <v>0</v>
      </c>
      <c r="H113" s="10"/>
      <c r="I113" s="10">
        <f t="shared" si="1"/>
        <v>0</v>
      </c>
      <c r="J113" s="10"/>
      <c r="K113" s="10">
        <f t="shared" si="2"/>
        <v>0</v>
      </c>
      <c r="L113" s="10">
        <f t="shared" si="3"/>
        <v>0</v>
      </c>
    </row>
    <row r="114" spans="1:12" x14ac:dyDescent="0.3">
      <c r="A114" s="2">
        <f t="shared" si="8"/>
        <v>100</v>
      </c>
      <c r="B114" s="17" t="s">
        <v>813</v>
      </c>
      <c r="C114" s="18" t="s">
        <v>72</v>
      </c>
      <c r="D114" s="19"/>
      <c r="E114" s="19">
        <v>1</v>
      </c>
      <c r="F114" s="10"/>
      <c r="G114" s="10">
        <f t="shared" si="0"/>
        <v>0</v>
      </c>
      <c r="H114" s="10"/>
      <c r="I114" s="10">
        <f t="shared" si="1"/>
        <v>0</v>
      </c>
      <c r="J114" s="10"/>
      <c r="K114" s="10">
        <f t="shared" si="2"/>
        <v>0</v>
      </c>
      <c r="L114" s="10">
        <f t="shared" si="3"/>
        <v>0</v>
      </c>
    </row>
    <row r="115" spans="1:12" x14ac:dyDescent="0.3">
      <c r="A115" s="2">
        <f t="shared" si="8"/>
        <v>101</v>
      </c>
      <c r="B115" s="17" t="s">
        <v>814</v>
      </c>
      <c r="C115" s="18" t="s">
        <v>72</v>
      </c>
      <c r="D115" s="19"/>
      <c r="E115" s="19">
        <v>1</v>
      </c>
      <c r="F115" s="10"/>
      <c r="G115" s="10">
        <f t="shared" si="0"/>
        <v>0</v>
      </c>
      <c r="H115" s="10"/>
      <c r="I115" s="10">
        <f t="shared" si="1"/>
        <v>0</v>
      </c>
      <c r="J115" s="10"/>
      <c r="K115" s="10">
        <f t="shared" si="2"/>
        <v>0</v>
      </c>
      <c r="L115" s="10">
        <f t="shared" si="3"/>
        <v>0</v>
      </c>
    </row>
    <row r="116" spans="1:12" x14ac:dyDescent="0.3">
      <c r="A116" s="2">
        <f t="shared" si="8"/>
        <v>102</v>
      </c>
      <c r="B116" s="17" t="s">
        <v>815</v>
      </c>
      <c r="C116" s="18" t="s">
        <v>72</v>
      </c>
      <c r="D116" s="19"/>
      <c r="E116" s="19">
        <v>1</v>
      </c>
      <c r="F116" s="10"/>
      <c r="G116" s="10">
        <f t="shared" si="0"/>
        <v>0</v>
      </c>
      <c r="H116" s="10"/>
      <c r="I116" s="10">
        <f t="shared" si="1"/>
        <v>0</v>
      </c>
      <c r="J116" s="10"/>
      <c r="K116" s="10">
        <f t="shared" si="2"/>
        <v>0</v>
      </c>
      <c r="L116" s="10">
        <f t="shared" si="3"/>
        <v>0</v>
      </c>
    </row>
    <row r="117" spans="1:12" x14ac:dyDescent="0.3">
      <c r="A117" s="2">
        <f t="shared" si="8"/>
        <v>103</v>
      </c>
      <c r="B117" s="17" t="s">
        <v>816</v>
      </c>
      <c r="C117" s="18" t="s">
        <v>72</v>
      </c>
      <c r="D117" s="19"/>
      <c r="E117" s="19">
        <v>2</v>
      </c>
      <c r="F117" s="10"/>
      <c r="G117" s="10">
        <f t="shared" si="0"/>
        <v>0</v>
      </c>
      <c r="H117" s="10"/>
      <c r="I117" s="10">
        <f t="shared" si="1"/>
        <v>0</v>
      </c>
      <c r="J117" s="10"/>
      <c r="K117" s="10">
        <f t="shared" si="2"/>
        <v>0</v>
      </c>
      <c r="L117" s="10">
        <f t="shared" si="3"/>
        <v>0</v>
      </c>
    </row>
    <row r="118" spans="1:12" x14ac:dyDescent="0.3">
      <c r="A118" s="2">
        <f t="shared" si="8"/>
        <v>104</v>
      </c>
      <c r="B118" s="17" t="s">
        <v>817</v>
      </c>
      <c r="C118" s="18" t="s">
        <v>72</v>
      </c>
      <c r="D118" s="19"/>
      <c r="E118" s="19">
        <v>1</v>
      </c>
      <c r="F118" s="10"/>
      <c r="G118" s="10">
        <f t="shared" si="0"/>
        <v>0</v>
      </c>
      <c r="H118" s="10"/>
      <c r="I118" s="10">
        <f t="shared" si="1"/>
        <v>0</v>
      </c>
      <c r="J118" s="10"/>
      <c r="K118" s="10">
        <f t="shared" si="2"/>
        <v>0</v>
      </c>
      <c r="L118" s="10">
        <f t="shared" si="3"/>
        <v>0</v>
      </c>
    </row>
    <row r="119" spans="1:12" x14ac:dyDescent="0.3">
      <c r="A119" s="2">
        <f t="shared" si="8"/>
        <v>105</v>
      </c>
      <c r="B119" s="17" t="s">
        <v>795</v>
      </c>
      <c r="C119" s="18" t="s">
        <v>72</v>
      </c>
      <c r="D119" s="19"/>
      <c r="E119" s="19">
        <v>2</v>
      </c>
      <c r="F119" s="10"/>
      <c r="G119" s="10">
        <f t="shared" si="0"/>
        <v>0</v>
      </c>
      <c r="H119" s="10"/>
      <c r="I119" s="10">
        <f t="shared" si="1"/>
        <v>0</v>
      </c>
      <c r="J119" s="10"/>
      <c r="K119" s="10">
        <f t="shared" si="2"/>
        <v>0</v>
      </c>
      <c r="L119" s="10">
        <f t="shared" si="3"/>
        <v>0</v>
      </c>
    </row>
    <row r="120" spans="1:12" x14ac:dyDescent="0.3">
      <c r="A120" s="2">
        <f t="shared" si="8"/>
        <v>106</v>
      </c>
      <c r="B120" s="17" t="s">
        <v>818</v>
      </c>
      <c r="C120" s="18" t="s">
        <v>72</v>
      </c>
      <c r="D120" s="19"/>
      <c r="E120" s="19">
        <v>3</v>
      </c>
      <c r="F120" s="10"/>
      <c r="G120" s="10">
        <f t="shared" si="0"/>
        <v>0</v>
      </c>
      <c r="H120" s="10"/>
      <c r="I120" s="10">
        <f t="shared" si="1"/>
        <v>0</v>
      </c>
      <c r="J120" s="10"/>
      <c r="K120" s="10">
        <f t="shared" si="2"/>
        <v>0</v>
      </c>
      <c r="L120" s="10">
        <f t="shared" si="3"/>
        <v>0</v>
      </c>
    </row>
    <row r="121" spans="1:12" x14ac:dyDescent="0.3">
      <c r="A121" s="2">
        <f t="shared" si="8"/>
        <v>107</v>
      </c>
      <c r="B121" s="17" t="s">
        <v>819</v>
      </c>
      <c r="C121" s="18" t="s">
        <v>72</v>
      </c>
      <c r="D121" s="19"/>
      <c r="E121" s="19">
        <v>3</v>
      </c>
      <c r="F121" s="10"/>
      <c r="G121" s="10">
        <f t="shared" si="0"/>
        <v>0</v>
      </c>
      <c r="H121" s="10"/>
      <c r="I121" s="10">
        <f t="shared" si="1"/>
        <v>0</v>
      </c>
      <c r="J121" s="10"/>
      <c r="K121" s="10">
        <f t="shared" si="2"/>
        <v>0</v>
      </c>
      <c r="L121" s="10">
        <f t="shared" si="3"/>
        <v>0</v>
      </c>
    </row>
    <row r="122" spans="1:12" x14ac:dyDescent="0.3">
      <c r="A122" s="11"/>
      <c r="B122" s="11" t="s">
        <v>820</v>
      </c>
      <c r="C122" s="4"/>
      <c r="D122" s="12"/>
      <c r="E122" s="12"/>
      <c r="F122" s="13"/>
      <c r="G122" s="13">
        <f t="shared" si="0"/>
        <v>0</v>
      </c>
      <c r="H122" s="13"/>
      <c r="I122" s="13">
        <f t="shared" si="1"/>
        <v>0</v>
      </c>
      <c r="J122" s="13"/>
      <c r="K122" s="13">
        <f t="shared" si="2"/>
        <v>0</v>
      </c>
      <c r="L122" s="13">
        <f t="shared" si="3"/>
        <v>0</v>
      </c>
    </row>
    <row r="123" spans="1:12" ht="115.2" x14ac:dyDescent="0.3">
      <c r="A123" s="2">
        <f>A121+1</f>
        <v>108</v>
      </c>
      <c r="B123" s="17" t="s">
        <v>1013</v>
      </c>
      <c r="C123" s="18" t="s">
        <v>1028</v>
      </c>
      <c r="D123" s="27"/>
      <c r="E123" s="19">
        <v>1</v>
      </c>
      <c r="F123" s="10"/>
      <c r="G123" s="10">
        <f t="shared" si="0"/>
        <v>0</v>
      </c>
      <c r="H123" s="10"/>
      <c r="I123" s="10">
        <f t="shared" si="1"/>
        <v>0</v>
      </c>
      <c r="J123" s="10"/>
      <c r="K123" s="10">
        <f t="shared" si="2"/>
        <v>0</v>
      </c>
      <c r="L123" s="10">
        <f t="shared" si="3"/>
        <v>0</v>
      </c>
    </row>
    <row r="124" spans="1:12" ht="28.8" x14ac:dyDescent="0.3">
      <c r="A124" s="2">
        <f t="shared" ref="A124:A136" si="9">A123+1</f>
        <v>109</v>
      </c>
      <c r="B124" s="17" t="s">
        <v>810</v>
      </c>
      <c r="C124" s="18" t="s">
        <v>72</v>
      </c>
      <c r="D124" s="19"/>
      <c r="E124" s="19">
        <v>1</v>
      </c>
      <c r="F124" s="10"/>
      <c r="G124" s="10">
        <f t="shared" si="0"/>
        <v>0</v>
      </c>
      <c r="H124" s="10"/>
      <c r="I124" s="10">
        <f t="shared" si="1"/>
        <v>0</v>
      </c>
      <c r="J124" s="10"/>
      <c r="K124" s="10">
        <f t="shared" si="2"/>
        <v>0</v>
      </c>
      <c r="L124" s="10">
        <f t="shared" si="3"/>
        <v>0</v>
      </c>
    </row>
    <row r="125" spans="1:12" x14ac:dyDescent="0.3">
      <c r="A125" s="2">
        <f t="shared" si="9"/>
        <v>110</v>
      </c>
      <c r="B125" s="17" t="s">
        <v>811</v>
      </c>
      <c r="C125" s="18" t="s">
        <v>72</v>
      </c>
      <c r="D125" s="19"/>
      <c r="E125" s="19">
        <v>1</v>
      </c>
      <c r="F125" s="10"/>
      <c r="G125" s="10">
        <f t="shared" si="0"/>
        <v>0</v>
      </c>
      <c r="H125" s="10"/>
      <c r="I125" s="10">
        <f t="shared" si="1"/>
        <v>0</v>
      </c>
      <c r="J125" s="10"/>
      <c r="K125" s="10">
        <f t="shared" si="2"/>
        <v>0</v>
      </c>
      <c r="L125" s="10">
        <f t="shared" si="3"/>
        <v>0</v>
      </c>
    </row>
    <row r="126" spans="1:12" x14ac:dyDescent="0.3">
      <c r="A126" s="2">
        <f t="shared" si="9"/>
        <v>111</v>
      </c>
      <c r="B126" s="17" t="s">
        <v>812</v>
      </c>
      <c r="C126" s="18" t="s">
        <v>1028</v>
      </c>
      <c r="D126" s="19"/>
      <c r="E126" s="19">
        <v>2</v>
      </c>
      <c r="F126" s="10"/>
      <c r="G126" s="10">
        <f t="shared" si="0"/>
        <v>0</v>
      </c>
      <c r="H126" s="10"/>
      <c r="I126" s="10">
        <f t="shared" si="1"/>
        <v>0</v>
      </c>
      <c r="J126" s="10"/>
      <c r="K126" s="10">
        <f t="shared" si="2"/>
        <v>0</v>
      </c>
      <c r="L126" s="10">
        <f t="shared" si="3"/>
        <v>0</v>
      </c>
    </row>
    <row r="127" spans="1:12" ht="28.8" x14ac:dyDescent="0.3">
      <c r="A127" s="2">
        <f t="shared" si="9"/>
        <v>112</v>
      </c>
      <c r="B127" s="17" t="s">
        <v>973</v>
      </c>
      <c r="C127" s="18" t="s">
        <v>72</v>
      </c>
      <c r="D127" s="19"/>
      <c r="E127" s="19">
        <v>1</v>
      </c>
      <c r="F127" s="10"/>
      <c r="G127" s="10">
        <f t="shared" si="0"/>
        <v>0</v>
      </c>
      <c r="H127" s="10"/>
      <c r="I127" s="10">
        <f t="shared" si="1"/>
        <v>0</v>
      </c>
      <c r="J127" s="10"/>
      <c r="K127" s="10">
        <f t="shared" si="2"/>
        <v>0</v>
      </c>
      <c r="L127" s="10">
        <f t="shared" si="3"/>
        <v>0</v>
      </c>
    </row>
    <row r="128" spans="1:12" ht="28.8" x14ac:dyDescent="0.3">
      <c r="A128" s="2">
        <f t="shared" si="9"/>
        <v>113</v>
      </c>
      <c r="B128" s="17" t="s">
        <v>974</v>
      </c>
      <c r="C128" s="18" t="s">
        <v>72</v>
      </c>
      <c r="D128" s="19"/>
      <c r="E128" s="19">
        <v>1</v>
      </c>
      <c r="F128" s="10"/>
      <c r="G128" s="10">
        <f t="shared" si="0"/>
        <v>0</v>
      </c>
      <c r="H128" s="10"/>
      <c r="I128" s="10">
        <f t="shared" si="1"/>
        <v>0</v>
      </c>
      <c r="J128" s="10"/>
      <c r="K128" s="10">
        <f t="shared" si="2"/>
        <v>0</v>
      </c>
      <c r="L128" s="10">
        <f t="shared" si="3"/>
        <v>0</v>
      </c>
    </row>
    <row r="129" spans="1:12" x14ac:dyDescent="0.3">
      <c r="A129" s="2">
        <f t="shared" si="9"/>
        <v>114</v>
      </c>
      <c r="B129" s="17" t="s">
        <v>813</v>
      </c>
      <c r="C129" s="18" t="s">
        <v>72</v>
      </c>
      <c r="D129" s="27"/>
      <c r="E129" s="19">
        <v>1</v>
      </c>
      <c r="F129" s="10"/>
      <c r="G129" s="10">
        <f t="shared" si="0"/>
        <v>0</v>
      </c>
      <c r="H129" s="10"/>
      <c r="I129" s="10">
        <f t="shared" si="1"/>
        <v>0</v>
      </c>
      <c r="J129" s="10"/>
      <c r="K129" s="10">
        <f t="shared" si="2"/>
        <v>0</v>
      </c>
      <c r="L129" s="10">
        <f t="shared" si="3"/>
        <v>0</v>
      </c>
    </row>
    <row r="130" spans="1:12" x14ac:dyDescent="0.3">
      <c r="A130" s="2">
        <f t="shared" si="9"/>
        <v>115</v>
      </c>
      <c r="B130" s="17" t="s">
        <v>814</v>
      </c>
      <c r="C130" s="18" t="s">
        <v>72</v>
      </c>
      <c r="D130" s="27"/>
      <c r="E130" s="19">
        <v>1</v>
      </c>
      <c r="F130" s="10"/>
      <c r="G130" s="10">
        <f t="shared" si="0"/>
        <v>0</v>
      </c>
      <c r="H130" s="10"/>
      <c r="I130" s="10">
        <f t="shared" si="1"/>
        <v>0</v>
      </c>
      <c r="J130" s="10"/>
      <c r="K130" s="10">
        <f t="shared" si="2"/>
        <v>0</v>
      </c>
      <c r="L130" s="10">
        <f t="shared" si="3"/>
        <v>0</v>
      </c>
    </row>
    <row r="131" spans="1:12" x14ac:dyDescent="0.3">
      <c r="A131" s="2">
        <f t="shared" si="9"/>
        <v>116</v>
      </c>
      <c r="B131" s="17" t="s">
        <v>815</v>
      </c>
      <c r="C131" s="18" t="s">
        <v>72</v>
      </c>
      <c r="D131" s="27"/>
      <c r="E131" s="19">
        <v>1</v>
      </c>
      <c r="F131" s="10"/>
      <c r="G131" s="10">
        <f t="shared" si="0"/>
        <v>0</v>
      </c>
      <c r="H131" s="10"/>
      <c r="I131" s="10">
        <f t="shared" si="1"/>
        <v>0</v>
      </c>
      <c r="J131" s="10"/>
      <c r="K131" s="10">
        <f t="shared" si="2"/>
        <v>0</v>
      </c>
      <c r="L131" s="10">
        <f t="shared" si="3"/>
        <v>0</v>
      </c>
    </row>
    <row r="132" spans="1:12" x14ac:dyDescent="0.3">
      <c r="A132" s="2">
        <f t="shared" si="9"/>
        <v>117</v>
      </c>
      <c r="B132" s="17" t="s">
        <v>816</v>
      </c>
      <c r="C132" s="18" t="s">
        <v>72</v>
      </c>
      <c r="D132" s="19"/>
      <c r="E132" s="19">
        <v>2</v>
      </c>
      <c r="F132" s="10"/>
      <c r="G132" s="10">
        <f t="shared" si="0"/>
        <v>0</v>
      </c>
      <c r="H132" s="10"/>
      <c r="I132" s="10">
        <f t="shared" si="1"/>
        <v>0</v>
      </c>
      <c r="J132" s="10"/>
      <c r="K132" s="10">
        <f t="shared" si="2"/>
        <v>0</v>
      </c>
      <c r="L132" s="10">
        <f t="shared" si="3"/>
        <v>0</v>
      </c>
    </row>
    <row r="133" spans="1:12" x14ac:dyDescent="0.3">
      <c r="A133" s="2">
        <f t="shared" si="9"/>
        <v>118</v>
      </c>
      <c r="B133" s="17" t="s">
        <v>817</v>
      </c>
      <c r="C133" s="18" t="s">
        <v>72</v>
      </c>
      <c r="D133" s="19"/>
      <c r="E133" s="19">
        <v>1</v>
      </c>
      <c r="F133" s="10"/>
      <c r="G133" s="10">
        <f t="shared" si="0"/>
        <v>0</v>
      </c>
      <c r="H133" s="10"/>
      <c r="I133" s="10">
        <f t="shared" si="1"/>
        <v>0</v>
      </c>
      <c r="J133" s="10"/>
      <c r="K133" s="10">
        <f t="shared" si="2"/>
        <v>0</v>
      </c>
      <c r="L133" s="10">
        <f t="shared" si="3"/>
        <v>0</v>
      </c>
    </row>
    <row r="134" spans="1:12" x14ac:dyDescent="0.3">
      <c r="A134" s="2">
        <f t="shared" si="9"/>
        <v>119</v>
      </c>
      <c r="B134" s="17" t="s">
        <v>795</v>
      </c>
      <c r="C134" s="18" t="s">
        <v>72</v>
      </c>
      <c r="D134" s="19"/>
      <c r="E134" s="19">
        <v>2</v>
      </c>
      <c r="F134" s="10"/>
      <c r="G134" s="10">
        <f t="shared" si="0"/>
        <v>0</v>
      </c>
      <c r="H134" s="10"/>
      <c r="I134" s="10">
        <f t="shared" si="1"/>
        <v>0</v>
      </c>
      <c r="J134" s="10"/>
      <c r="K134" s="10">
        <f t="shared" si="2"/>
        <v>0</v>
      </c>
      <c r="L134" s="10">
        <f t="shared" si="3"/>
        <v>0</v>
      </c>
    </row>
    <row r="135" spans="1:12" x14ac:dyDescent="0.3">
      <c r="A135" s="2">
        <f t="shared" si="9"/>
        <v>120</v>
      </c>
      <c r="B135" s="17" t="s">
        <v>818</v>
      </c>
      <c r="C135" s="18" t="s">
        <v>72</v>
      </c>
      <c r="D135" s="19"/>
      <c r="E135" s="19">
        <v>3</v>
      </c>
      <c r="F135" s="10"/>
      <c r="G135" s="10">
        <f t="shared" si="0"/>
        <v>0</v>
      </c>
      <c r="H135" s="10"/>
      <c r="I135" s="10">
        <f t="shared" si="1"/>
        <v>0</v>
      </c>
      <c r="J135" s="10"/>
      <c r="K135" s="10">
        <f t="shared" si="2"/>
        <v>0</v>
      </c>
      <c r="L135" s="10">
        <f t="shared" si="3"/>
        <v>0</v>
      </c>
    </row>
    <row r="136" spans="1:12" x14ac:dyDescent="0.3">
      <c r="A136" s="2">
        <f t="shared" si="9"/>
        <v>121</v>
      </c>
      <c r="B136" s="17" t="s">
        <v>819</v>
      </c>
      <c r="C136" s="18" t="s">
        <v>72</v>
      </c>
      <c r="D136" s="19"/>
      <c r="E136" s="19">
        <v>3</v>
      </c>
      <c r="F136" s="10"/>
      <c r="G136" s="10">
        <f t="shared" si="0"/>
        <v>0</v>
      </c>
      <c r="H136" s="10"/>
      <c r="I136" s="10">
        <f t="shared" si="1"/>
        <v>0</v>
      </c>
      <c r="J136" s="10"/>
      <c r="K136" s="10">
        <f t="shared" si="2"/>
        <v>0</v>
      </c>
      <c r="L136" s="10">
        <f t="shared" si="3"/>
        <v>0</v>
      </c>
    </row>
    <row r="137" spans="1:12" x14ac:dyDescent="0.3">
      <c r="A137" s="11"/>
      <c r="B137" s="11" t="s">
        <v>821</v>
      </c>
      <c r="C137" s="4"/>
      <c r="D137" s="12"/>
      <c r="E137" s="12"/>
      <c r="F137" s="13"/>
      <c r="G137" s="13">
        <f t="shared" si="0"/>
        <v>0</v>
      </c>
      <c r="H137" s="13"/>
      <c r="I137" s="13">
        <f t="shared" si="1"/>
        <v>0</v>
      </c>
      <c r="J137" s="13"/>
      <c r="K137" s="13">
        <f t="shared" si="2"/>
        <v>0</v>
      </c>
      <c r="L137" s="13">
        <f t="shared" si="3"/>
        <v>0</v>
      </c>
    </row>
    <row r="138" spans="1:12" ht="115.2" x14ac:dyDescent="0.3">
      <c r="A138" s="2">
        <f>A136+1</f>
        <v>122</v>
      </c>
      <c r="B138" s="17" t="s">
        <v>1013</v>
      </c>
      <c r="C138" s="18" t="s">
        <v>1028</v>
      </c>
      <c r="D138" s="27"/>
      <c r="E138" s="19">
        <v>1</v>
      </c>
      <c r="F138" s="10"/>
      <c r="G138" s="10">
        <f t="shared" si="0"/>
        <v>0</v>
      </c>
      <c r="H138" s="10"/>
      <c r="I138" s="10">
        <f t="shared" si="1"/>
        <v>0</v>
      </c>
      <c r="J138" s="10"/>
      <c r="K138" s="10">
        <f t="shared" si="2"/>
        <v>0</v>
      </c>
      <c r="L138" s="10">
        <f t="shared" si="3"/>
        <v>0</v>
      </c>
    </row>
    <row r="139" spans="1:12" ht="28.8" x14ac:dyDescent="0.3">
      <c r="A139" s="2">
        <f>A138+1</f>
        <v>123</v>
      </c>
      <c r="B139" s="17" t="s">
        <v>810</v>
      </c>
      <c r="C139" s="18" t="s">
        <v>72</v>
      </c>
      <c r="D139" s="27"/>
      <c r="E139" s="19">
        <v>1</v>
      </c>
      <c r="F139" s="10"/>
      <c r="G139" s="10">
        <f t="shared" si="0"/>
        <v>0</v>
      </c>
      <c r="H139" s="10"/>
      <c r="I139" s="10">
        <f t="shared" si="1"/>
        <v>0</v>
      </c>
      <c r="J139" s="10"/>
      <c r="K139" s="10">
        <f t="shared" si="2"/>
        <v>0</v>
      </c>
      <c r="L139" s="10">
        <f t="shared" si="3"/>
        <v>0</v>
      </c>
    </row>
    <row r="140" spans="1:12" x14ac:dyDescent="0.3">
      <c r="A140" s="2">
        <f t="shared" ref="A140:A151" si="10">A139+1</f>
        <v>124</v>
      </c>
      <c r="B140" s="17" t="s">
        <v>811</v>
      </c>
      <c r="C140" s="18" t="s">
        <v>72</v>
      </c>
      <c r="D140" s="27"/>
      <c r="E140" s="19">
        <v>1</v>
      </c>
      <c r="F140" s="10"/>
      <c r="G140" s="10">
        <f t="shared" si="0"/>
        <v>0</v>
      </c>
      <c r="H140" s="10"/>
      <c r="I140" s="10">
        <f t="shared" si="1"/>
        <v>0</v>
      </c>
      <c r="J140" s="10"/>
      <c r="K140" s="10">
        <f t="shared" si="2"/>
        <v>0</v>
      </c>
      <c r="L140" s="10">
        <f t="shared" si="3"/>
        <v>0</v>
      </c>
    </row>
    <row r="141" spans="1:12" x14ac:dyDescent="0.3">
      <c r="A141" s="2">
        <f t="shared" si="10"/>
        <v>125</v>
      </c>
      <c r="B141" s="17" t="s">
        <v>812</v>
      </c>
      <c r="C141" s="18" t="s">
        <v>1028</v>
      </c>
      <c r="D141" s="19"/>
      <c r="E141" s="19">
        <v>2</v>
      </c>
      <c r="F141" s="10"/>
      <c r="G141" s="10">
        <f t="shared" si="0"/>
        <v>0</v>
      </c>
      <c r="H141" s="10"/>
      <c r="I141" s="10">
        <f t="shared" si="1"/>
        <v>0</v>
      </c>
      <c r="J141" s="10"/>
      <c r="K141" s="10">
        <f t="shared" si="2"/>
        <v>0</v>
      </c>
      <c r="L141" s="10">
        <f t="shared" si="3"/>
        <v>0</v>
      </c>
    </row>
    <row r="142" spans="1:12" ht="28.8" x14ac:dyDescent="0.3">
      <c r="A142" s="2">
        <f t="shared" si="10"/>
        <v>126</v>
      </c>
      <c r="B142" s="17" t="s">
        <v>975</v>
      </c>
      <c r="C142" s="18" t="s">
        <v>72</v>
      </c>
      <c r="D142" s="19"/>
      <c r="E142" s="19">
        <v>1</v>
      </c>
      <c r="F142" s="10"/>
      <c r="G142" s="10">
        <f t="shared" si="0"/>
        <v>0</v>
      </c>
      <c r="H142" s="10"/>
      <c r="I142" s="10">
        <f t="shared" si="1"/>
        <v>0</v>
      </c>
      <c r="J142" s="10"/>
      <c r="K142" s="10">
        <f t="shared" si="2"/>
        <v>0</v>
      </c>
      <c r="L142" s="10">
        <f t="shared" si="3"/>
        <v>0</v>
      </c>
    </row>
    <row r="143" spans="1:12" ht="28.8" x14ac:dyDescent="0.3">
      <c r="A143" s="2">
        <f t="shared" si="10"/>
        <v>127</v>
      </c>
      <c r="B143" s="17" t="s">
        <v>976</v>
      </c>
      <c r="C143" s="18" t="s">
        <v>72</v>
      </c>
      <c r="D143" s="19"/>
      <c r="E143" s="19">
        <v>1</v>
      </c>
      <c r="F143" s="10"/>
      <c r="G143" s="10">
        <f t="shared" si="0"/>
        <v>0</v>
      </c>
      <c r="H143" s="10"/>
      <c r="I143" s="10">
        <f t="shared" si="1"/>
        <v>0</v>
      </c>
      <c r="J143" s="10"/>
      <c r="K143" s="10">
        <f t="shared" si="2"/>
        <v>0</v>
      </c>
      <c r="L143" s="10">
        <f t="shared" si="3"/>
        <v>0</v>
      </c>
    </row>
    <row r="144" spans="1:12" x14ac:dyDescent="0.3">
      <c r="A144" s="2">
        <f t="shared" si="10"/>
        <v>128</v>
      </c>
      <c r="B144" s="17" t="s">
        <v>822</v>
      </c>
      <c r="C144" s="18" t="s">
        <v>72</v>
      </c>
      <c r="D144" s="19"/>
      <c r="E144" s="19">
        <v>1</v>
      </c>
      <c r="F144" s="10"/>
      <c r="G144" s="10">
        <f t="shared" si="0"/>
        <v>0</v>
      </c>
      <c r="H144" s="10"/>
      <c r="I144" s="10">
        <f t="shared" si="1"/>
        <v>0</v>
      </c>
      <c r="J144" s="10"/>
      <c r="K144" s="10">
        <f t="shared" si="2"/>
        <v>0</v>
      </c>
      <c r="L144" s="10">
        <f t="shared" si="3"/>
        <v>0</v>
      </c>
    </row>
    <row r="145" spans="1:14" x14ac:dyDescent="0.3">
      <c r="A145" s="2">
        <f t="shared" si="10"/>
        <v>129</v>
      </c>
      <c r="B145" s="17" t="s">
        <v>823</v>
      </c>
      <c r="C145" s="18" t="s">
        <v>72</v>
      </c>
      <c r="D145" s="19"/>
      <c r="E145" s="19">
        <v>1</v>
      </c>
      <c r="F145" s="10"/>
      <c r="G145" s="10">
        <f t="shared" si="0"/>
        <v>0</v>
      </c>
      <c r="H145" s="10"/>
      <c r="I145" s="10">
        <f t="shared" si="1"/>
        <v>0</v>
      </c>
      <c r="J145" s="10"/>
      <c r="K145" s="10">
        <f t="shared" si="2"/>
        <v>0</v>
      </c>
      <c r="L145" s="10">
        <f t="shared" si="3"/>
        <v>0</v>
      </c>
    </row>
    <row r="146" spans="1:14" x14ac:dyDescent="0.3">
      <c r="A146" s="2">
        <f t="shared" si="10"/>
        <v>130</v>
      </c>
      <c r="B146" s="17" t="s">
        <v>815</v>
      </c>
      <c r="C146" s="18" t="s">
        <v>72</v>
      </c>
      <c r="D146" s="19"/>
      <c r="E146" s="19">
        <v>1</v>
      </c>
      <c r="F146" s="10"/>
      <c r="G146" s="10">
        <f t="shared" si="0"/>
        <v>0</v>
      </c>
      <c r="H146" s="10"/>
      <c r="I146" s="10">
        <f t="shared" si="1"/>
        <v>0</v>
      </c>
      <c r="J146" s="10"/>
      <c r="K146" s="10">
        <f t="shared" si="2"/>
        <v>0</v>
      </c>
      <c r="L146" s="10">
        <f t="shared" si="3"/>
        <v>0</v>
      </c>
    </row>
    <row r="147" spans="1:14" x14ac:dyDescent="0.3">
      <c r="A147" s="2">
        <f t="shared" si="10"/>
        <v>131</v>
      </c>
      <c r="B147" s="17" t="s">
        <v>816</v>
      </c>
      <c r="C147" s="18" t="s">
        <v>72</v>
      </c>
      <c r="D147" s="19"/>
      <c r="E147" s="19">
        <v>2</v>
      </c>
      <c r="F147" s="10"/>
      <c r="G147" s="10">
        <f t="shared" si="0"/>
        <v>0</v>
      </c>
      <c r="H147" s="10"/>
      <c r="I147" s="10">
        <f t="shared" si="1"/>
        <v>0</v>
      </c>
      <c r="J147" s="10"/>
      <c r="K147" s="10">
        <f t="shared" si="2"/>
        <v>0</v>
      </c>
      <c r="L147" s="10">
        <f t="shared" si="3"/>
        <v>0</v>
      </c>
    </row>
    <row r="148" spans="1:14" x14ac:dyDescent="0.3">
      <c r="A148" s="2">
        <f t="shared" si="10"/>
        <v>132</v>
      </c>
      <c r="B148" s="17" t="s">
        <v>817</v>
      </c>
      <c r="C148" s="18" t="s">
        <v>72</v>
      </c>
      <c r="D148" s="19"/>
      <c r="E148" s="19">
        <v>1</v>
      </c>
      <c r="F148" s="10"/>
      <c r="G148" s="10">
        <f t="shared" si="0"/>
        <v>0</v>
      </c>
      <c r="H148" s="10"/>
      <c r="I148" s="10">
        <f t="shared" si="1"/>
        <v>0</v>
      </c>
      <c r="J148" s="10"/>
      <c r="K148" s="10">
        <f t="shared" si="2"/>
        <v>0</v>
      </c>
      <c r="L148" s="10">
        <f t="shared" si="3"/>
        <v>0</v>
      </c>
    </row>
    <row r="149" spans="1:14" x14ac:dyDescent="0.3">
      <c r="A149" s="2">
        <f t="shared" si="10"/>
        <v>133</v>
      </c>
      <c r="B149" s="17" t="s">
        <v>795</v>
      </c>
      <c r="C149" s="18" t="s">
        <v>72</v>
      </c>
      <c r="D149" s="19"/>
      <c r="E149" s="19">
        <v>2</v>
      </c>
      <c r="F149" s="10"/>
      <c r="G149" s="10">
        <f t="shared" si="0"/>
        <v>0</v>
      </c>
      <c r="H149" s="10"/>
      <c r="I149" s="10">
        <f t="shared" si="1"/>
        <v>0</v>
      </c>
      <c r="J149" s="10"/>
      <c r="K149" s="10">
        <f t="shared" si="2"/>
        <v>0</v>
      </c>
      <c r="L149" s="10">
        <f t="shared" si="3"/>
        <v>0</v>
      </c>
    </row>
    <row r="150" spans="1:14" x14ac:dyDescent="0.3">
      <c r="A150" s="2">
        <f t="shared" si="10"/>
        <v>134</v>
      </c>
      <c r="B150" s="17" t="s">
        <v>818</v>
      </c>
      <c r="C150" s="18" t="s">
        <v>72</v>
      </c>
      <c r="D150" s="19"/>
      <c r="E150" s="19">
        <v>3</v>
      </c>
      <c r="F150" s="10"/>
      <c r="G150" s="10">
        <f t="shared" si="0"/>
        <v>0</v>
      </c>
      <c r="H150" s="10"/>
      <c r="I150" s="10">
        <f t="shared" si="1"/>
        <v>0</v>
      </c>
      <c r="J150" s="10"/>
      <c r="K150" s="10">
        <f t="shared" si="2"/>
        <v>0</v>
      </c>
      <c r="L150" s="10">
        <f t="shared" si="3"/>
        <v>0</v>
      </c>
    </row>
    <row r="151" spans="1:14" x14ac:dyDescent="0.3">
      <c r="A151" s="2">
        <f t="shared" si="10"/>
        <v>135</v>
      </c>
      <c r="B151" s="17" t="s">
        <v>819</v>
      </c>
      <c r="C151" s="18" t="s">
        <v>72</v>
      </c>
      <c r="D151" s="19"/>
      <c r="E151" s="19">
        <v>3</v>
      </c>
      <c r="F151" s="10"/>
      <c r="G151" s="10">
        <f t="shared" si="0"/>
        <v>0</v>
      </c>
      <c r="H151" s="10"/>
      <c r="I151" s="10">
        <f t="shared" si="1"/>
        <v>0</v>
      </c>
      <c r="J151" s="10"/>
      <c r="K151" s="10">
        <f t="shared" si="2"/>
        <v>0</v>
      </c>
      <c r="L151" s="10">
        <f t="shared" si="3"/>
        <v>0</v>
      </c>
    </row>
    <row r="152" spans="1:14" x14ac:dyDescent="0.3">
      <c r="A152" s="11"/>
      <c r="B152" s="11" t="s">
        <v>824</v>
      </c>
      <c r="C152" s="4"/>
      <c r="D152" s="12"/>
      <c r="E152" s="12"/>
      <c r="F152" s="13"/>
      <c r="G152" s="13">
        <f t="shared" si="0"/>
        <v>0</v>
      </c>
      <c r="H152" s="13"/>
      <c r="I152" s="13">
        <f t="shared" si="1"/>
        <v>0</v>
      </c>
      <c r="J152" s="13"/>
      <c r="K152" s="13">
        <f t="shared" si="2"/>
        <v>0</v>
      </c>
      <c r="L152" s="13">
        <f t="shared" si="3"/>
        <v>0</v>
      </c>
    </row>
    <row r="153" spans="1:14" ht="115.2" x14ac:dyDescent="0.3">
      <c r="A153" s="2">
        <f>A151+1</f>
        <v>136</v>
      </c>
      <c r="B153" s="17" t="s">
        <v>1013</v>
      </c>
      <c r="C153" s="18" t="s">
        <v>1028</v>
      </c>
      <c r="D153" s="27"/>
      <c r="E153" s="19">
        <v>1</v>
      </c>
      <c r="F153" s="10"/>
      <c r="G153" s="10">
        <f t="shared" si="0"/>
        <v>0</v>
      </c>
      <c r="H153" s="10"/>
      <c r="I153" s="10">
        <f t="shared" si="1"/>
        <v>0</v>
      </c>
      <c r="J153" s="10"/>
      <c r="K153" s="10">
        <f t="shared" si="2"/>
        <v>0</v>
      </c>
      <c r="L153" s="10">
        <f t="shared" si="3"/>
        <v>0</v>
      </c>
    </row>
    <row r="154" spans="1:14" ht="28.8" x14ac:dyDescent="0.3">
      <c r="A154" s="2">
        <f>A153+1</f>
        <v>137</v>
      </c>
      <c r="B154" s="17" t="s">
        <v>810</v>
      </c>
      <c r="C154" s="18" t="s">
        <v>72</v>
      </c>
      <c r="D154" s="19"/>
      <c r="E154" s="19">
        <v>1</v>
      </c>
      <c r="F154" s="10"/>
      <c r="G154" s="10">
        <f t="shared" si="0"/>
        <v>0</v>
      </c>
      <c r="H154" s="10"/>
      <c r="I154" s="10">
        <f t="shared" si="1"/>
        <v>0</v>
      </c>
      <c r="J154" s="10"/>
      <c r="K154" s="10">
        <f t="shared" si="2"/>
        <v>0</v>
      </c>
      <c r="L154" s="10">
        <f t="shared" si="3"/>
        <v>0</v>
      </c>
      <c r="N154" s="9"/>
    </row>
    <row r="155" spans="1:14" x14ac:dyDescent="0.3">
      <c r="A155" s="2">
        <f t="shared" ref="A155:A166" si="11">A154+1</f>
        <v>138</v>
      </c>
      <c r="B155" s="17" t="s">
        <v>811</v>
      </c>
      <c r="C155" s="18" t="s">
        <v>72</v>
      </c>
      <c r="D155" s="27"/>
      <c r="E155" s="19">
        <v>1</v>
      </c>
      <c r="F155" s="10"/>
      <c r="G155" s="10">
        <f t="shared" si="0"/>
        <v>0</v>
      </c>
      <c r="H155" s="10"/>
      <c r="I155" s="10">
        <f t="shared" si="1"/>
        <v>0</v>
      </c>
      <c r="J155" s="10"/>
      <c r="K155" s="10">
        <f t="shared" si="2"/>
        <v>0</v>
      </c>
      <c r="L155" s="10">
        <f t="shared" si="3"/>
        <v>0</v>
      </c>
    </row>
    <row r="156" spans="1:14" x14ac:dyDescent="0.3">
      <c r="A156" s="2">
        <f t="shared" si="11"/>
        <v>139</v>
      </c>
      <c r="B156" s="17" t="s">
        <v>812</v>
      </c>
      <c r="C156" s="18" t="s">
        <v>1028</v>
      </c>
      <c r="D156" s="27"/>
      <c r="E156" s="19">
        <v>2</v>
      </c>
      <c r="F156" s="10"/>
      <c r="G156" s="10">
        <f t="shared" si="0"/>
        <v>0</v>
      </c>
      <c r="H156" s="10"/>
      <c r="I156" s="10">
        <f t="shared" si="1"/>
        <v>0</v>
      </c>
      <c r="J156" s="10"/>
      <c r="K156" s="10">
        <f t="shared" si="2"/>
        <v>0</v>
      </c>
      <c r="L156" s="10">
        <f t="shared" si="3"/>
        <v>0</v>
      </c>
    </row>
    <row r="157" spans="1:14" ht="28.8" x14ac:dyDescent="0.3">
      <c r="A157" s="2">
        <f t="shared" si="11"/>
        <v>140</v>
      </c>
      <c r="B157" s="17" t="s">
        <v>975</v>
      </c>
      <c r="C157" s="18" t="s">
        <v>72</v>
      </c>
      <c r="D157" s="19"/>
      <c r="E157" s="19">
        <v>1</v>
      </c>
      <c r="F157" s="10"/>
      <c r="G157" s="10">
        <f t="shared" si="0"/>
        <v>0</v>
      </c>
      <c r="H157" s="10"/>
      <c r="I157" s="10">
        <f t="shared" si="1"/>
        <v>0</v>
      </c>
      <c r="J157" s="10"/>
      <c r="K157" s="10">
        <f t="shared" si="2"/>
        <v>0</v>
      </c>
      <c r="L157" s="10">
        <f t="shared" si="3"/>
        <v>0</v>
      </c>
    </row>
    <row r="158" spans="1:14" ht="28.8" x14ac:dyDescent="0.3">
      <c r="A158" s="2">
        <f t="shared" si="11"/>
        <v>141</v>
      </c>
      <c r="B158" s="17" t="s">
        <v>976</v>
      </c>
      <c r="C158" s="18" t="s">
        <v>72</v>
      </c>
      <c r="D158" s="19"/>
      <c r="E158" s="19">
        <v>1</v>
      </c>
      <c r="F158" s="10"/>
      <c r="G158" s="10">
        <f t="shared" si="0"/>
        <v>0</v>
      </c>
      <c r="H158" s="10"/>
      <c r="I158" s="10">
        <f t="shared" si="1"/>
        <v>0</v>
      </c>
      <c r="J158" s="10"/>
      <c r="K158" s="10">
        <f t="shared" si="2"/>
        <v>0</v>
      </c>
      <c r="L158" s="10">
        <f t="shared" si="3"/>
        <v>0</v>
      </c>
    </row>
    <row r="159" spans="1:14" x14ac:dyDescent="0.3">
      <c r="A159" s="2">
        <f t="shared" si="11"/>
        <v>142</v>
      </c>
      <c r="B159" s="17" t="s">
        <v>822</v>
      </c>
      <c r="C159" s="18" t="s">
        <v>72</v>
      </c>
      <c r="D159" s="27"/>
      <c r="E159" s="19">
        <v>1</v>
      </c>
      <c r="F159" s="10"/>
      <c r="G159" s="10">
        <f t="shared" si="0"/>
        <v>0</v>
      </c>
      <c r="H159" s="10"/>
      <c r="I159" s="10">
        <f t="shared" si="1"/>
        <v>0</v>
      </c>
      <c r="J159" s="10"/>
      <c r="K159" s="10">
        <f t="shared" si="2"/>
        <v>0</v>
      </c>
      <c r="L159" s="10">
        <f t="shared" si="3"/>
        <v>0</v>
      </c>
    </row>
    <row r="160" spans="1:14" x14ac:dyDescent="0.3">
      <c r="A160" s="2">
        <f t="shared" si="11"/>
        <v>143</v>
      </c>
      <c r="B160" s="17" t="s">
        <v>823</v>
      </c>
      <c r="C160" s="18" t="s">
        <v>72</v>
      </c>
      <c r="D160" s="27"/>
      <c r="E160" s="19">
        <v>1</v>
      </c>
      <c r="F160" s="10"/>
      <c r="G160" s="10">
        <f t="shared" si="0"/>
        <v>0</v>
      </c>
      <c r="H160" s="10"/>
      <c r="I160" s="10">
        <f t="shared" si="1"/>
        <v>0</v>
      </c>
      <c r="J160" s="10"/>
      <c r="K160" s="10">
        <f t="shared" si="2"/>
        <v>0</v>
      </c>
      <c r="L160" s="10">
        <f t="shared" si="3"/>
        <v>0</v>
      </c>
    </row>
    <row r="161" spans="1:12" x14ac:dyDescent="0.3">
      <c r="A161" s="2">
        <f t="shared" si="11"/>
        <v>144</v>
      </c>
      <c r="B161" s="17" t="s">
        <v>815</v>
      </c>
      <c r="C161" s="18" t="s">
        <v>72</v>
      </c>
      <c r="D161" s="27"/>
      <c r="E161" s="19">
        <v>1</v>
      </c>
      <c r="F161" s="10"/>
      <c r="G161" s="10">
        <f t="shared" si="0"/>
        <v>0</v>
      </c>
      <c r="H161" s="10"/>
      <c r="I161" s="10">
        <f t="shared" si="1"/>
        <v>0</v>
      </c>
      <c r="J161" s="10"/>
      <c r="K161" s="10">
        <f t="shared" si="2"/>
        <v>0</v>
      </c>
      <c r="L161" s="10">
        <f t="shared" si="3"/>
        <v>0</v>
      </c>
    </row>
    <row r="162" spans="1:12" x14ac:dyDescent="0.3">
      <c r="A162" s="2">
        <f t="shared" si="11"/>
        <v>145</v>
      </c>
      <c r="B162" s="17" t="s">
        <v>816</v>
      </c>
      <c r="C162" s="18" t="s">
        <v>72</v>
      </c>
      <c r="D162" s="19"/>
      <c r="E162" s="19">
        <v>2</v>
      </c>
      <c r="F162" s="10"/>
      <c r="G162" s="10">
        <f t="shared" si="0"/>
        <v>0</v>
      </c>
      <c r="H162" s="10"/>
      <c r="I162" s="10">
        <f t="shared" si="1"/>
        <v>0</v>
      </c>
      <c r="J162" s="10"/>
      <c r="K162" s="10">
        <f t="shared" si="2"/>
        <v>0</v>
      </c>
      <c r="L162" s="10">
        <f t="shared" si="3"/>
        <v>0</v>
      </c>
    </row>
    <row r="163" spans="1:12" x14ac:dyDescent="0.3">
      <c r="A163" s="2">
        <f t="shared" si="11"/>
        <v>146</v>
      </c>
      <c r="B163" s="17" t="s">
        <v>817</v>
      </c>
      <c r="C163" s="18" t="s">
        <v>72</v>
      </c>
      <c r="D163" s="19"/>
      <c r="E163" s="19">
        <v>1</v>
      </c>
      <c r="F163" s="10"/>
      <c r="G163" s="10">
        <f t="shared" si="0"/>
        <v>0</v>
      </c>
      <c r="H163" s="10"/>
      <c r="I163" s="10">
        <f t="shared" si="1"/>
        <v>0</v>
      </c>
      <c r="J163" s="10"/>
      <c r="K163" s="10">
        <f t="shared" si="2"/>
        <v>0</v>
      </c>
      <c r="L163" s="10">
        <f t="shared" si="3"/>
        <v>0</v>
      </c>
    </row>
    <row r="164" spans="1:12" x14ac:dyDescent="0.3">
      <c r="A164" s="2">
        <f t="shared" si="11"/>
        <v>147</v>
      </c>
      <c r="B164" s="17" t="s">
        <v>795</v>
      </c>
      <c r="C164" s="18" t="s">
        <v>72</v>
      </c>
      <c r="D164" s="19"/>
      <c r="E164" s="19">
        <v>2</v>
      </c>
      <c r="F164" s="10"/>
      <c r="G164" s="10">
        <f t="shared" si="0"/>
        <v>0</v>
      </c>
      <c r="H164" s="10"/>
      <c r="I164" s="10">
        <f t="shared" si="1"/>
        <v>0</v>
      </c>
      <c r="J164" s="10"/>
      <c r="K164" s="10">
        <f t="shared" si="2"/>
        <v>0</v>
      </c>
      <c r="L164" s="10">
        <f t="shared" si="3"/>
        <v>0</v>
      </c>
    </row>
    <row r="165" spans="1:12" x14ac:dyDescent="0.3">
      <c r="A165" s="2">
        <f t="shared" si="11"/>
        <v>148</v>
      </c>
      <c r="B165" s="17" t="s">
        <v>818</v>
      </c>
      <c r="C165" s="18" t="s">
        <v>72</v>
      </c>
      <c r="D165" s="19"/>
      <c r="E165" s="19">
        <v>3</v>
      </c>
      <c r="F165" s="10"/>
      <c r="G165" s="10">
        <f t="shared" si="0"/>
        <v>0</v>
      </c>
      <c r="H165" s="10"/>
      <c r="I165" s="10">
        <f t="shared" si="1"/>
        <v>0</v>
      </c>
      <c r="J165" s="10"/>
      <c r="K165" s="10">
        <f t="shared" si="2"/>
        <v>0</v>
      </c>
      <c r="L165" s="10">
        <f t="shared" si="3"/>
        <v>0</v>
      </c>
    </row>
    <row r="166" spans="1:12" x14ac:dyDescent="0.3">
      <c r="A166" s="2">
        <f t="shared" si="11"/>
        <v>149</v>
      </c>
      <c r="B166" s="17" t="s">
        <v>819</v>
      </c>
      <c r="C166" s="18" t="s">
        <v>72</v>
      </c>
      <c r="D166" s="19"/>
      <c r="E166" s="19">
        <v>3</v>
      </c>
      <c r="F166" s="10"/>
      <c r="G166" s="10">
        <f t="shared" si="0"/>
        <v>0</v>
      </c>
      <c r="H166" s="10"/>
      <c r="I166" s="10">
        <f t="shared" si="1"/>
        <v>0</v>
      </c>
      <c r="J166" s="10"/>
      <c r="K166" s="10">
        <f t="shared" si="2"/>
        <v>0</v>
      </c>
      <c r="L166" s="10">
        <f t="shared" si="3"/>
        <v>0</v>
      </c>
    </row>
    <row r="167" spans="1:12" x14ac:dyDescent="0.3">
      <c r="A167" s="11"/>
      <c r="B167" s="11" t="s">
        <v>825</v>
      </c>
      <c r="C167" s="4"/>
      <c r="D167" s="12"/>
      <c r="E167" s="12"/>
      <c r="F167" s="13"/>
      <c r="G167" s="13">
        <f t="shared" si="0"/>
        <v>0</v>
      </c>
      <c r="H167" s="13"/>
      <c r="I167" s="13">
        <f t="shared" si="1"/>
        <v>0</v>
      </c>
      <c r="J167" s="13"/>
      <c r="K167" s="13">
        <f t="shared" si="2"/>
        <v>0</v>
      </c>
      <c r="L167" s="13">
        <f t="shared" si="3"/>
        <v>0</v>
      </c>
    </row>
    <row r="168" spans="1:12" ht="115.2" x14ac:dyDescent="0.3">
      <c r="A168" s="2">
        <f>A166+1</f>
        <v>150</v>
      </c>
      <c r="B168" s="17" t="s">
        <v>1013</v>
      </c>
      <c r="C168" s="18" t="s">
        <v>1028</v>
      </c>
      <c r="D168" s="27"/>
      <c r="E168" s="19">
        <v>1</v>
      </c>
      <c r="F168" s="10"/>
      <c r="G168" s="10">
        <f t="shared" si="0"/>
        <v>0</v>
      </c>
      <c r="H168" s="10"/>
      <c r="I168" s="10">
        <f t="shared" si="1"/>
        <v>0</v>
      </c>
      <c r="J168" s="10"/>
      <c r="K168" s="10">
        <f t="shared" si="2"/>
        <v>0</v>
      </c>
      <c r="L168" s="10">
        <f t="shared" si="3"/>
        <v>0</v>
      </c>
    </row>
    <row r="169" spans="1:12" ht="28.8" x14ac:dyDescent="0.3">
      <c r="A169" s="2">
        <f>A168+1</f>
        <v>151</v>
      </c>
      <c r="B169" s="17" t="s">
        <v>810</v>
      </c>
      <c r="C169" s="18" t="s">
        <v>72</v>
      </c>
      <c r="D169" s="27"/>
      <c r="E169" s="19">
        <v>1</v>
      </c>
      <c r="F169" s="10"/>
      <c r="G169" s="10">
        <f t="shared" si="0"/>
        <v>0</v>
      </c>
      <c r="H169" s="10"/>
      <c r="I169" s="10">
        <f t="shared" si="1"/>
        <v>0</v>
      </c>
      <c r="J169" s="10"/>
      <c r="K169" s="10">
        <f t="shared" si="2"/>
        <v>0</v>
      </c>
      <c r="L169" s="10">
        <f t="shared" si="3"/>
        <v>0</v>
      </c>
    </row>
    <row r="170" spans="1:12" x14ac:dyDescent="0.3">
      <c r="A170" s="2">
        <f t="shared" ref="A170:A181" si="12">A169+1</f>
        <v>152</v>
      </c>
      <c r="B170" s="17" t="s">
        <v>811</v>
      </c>
      <c r="C170" s="18" t="s">
        <v>72</v>
      </c>
      <c r="D170" s="27"/>
      <c r="E170" s="19">
        <v>1</v>
      </c>
      <c r="F170" s="10"/>
      <c r="G170" s="10">
        <f t="shared" si="0"/>
        <v>0</v>
      </c>
      <c r="H170" s="10"/>
      <c r="I170" s="10">
        <f t="shared" si="1"/>
        <v>0</v>
      </c>
      <c r="J170" s="10"/>
      <c r="K170" s="10">
        <f t="shared" si="2"/>
        <v>0</v>
      </c>
      <c r="L170" s="10">
        <f t="shared" si="3"/>
        <v>0</v>
      </c>
    </row>
    <row r="171" spans="1:12" x14ac:dyDescent="0.3">
      <c r="A171" s="2">
        <f t="shared" si="12"/>
        <v>153</v>
      </c>
      <c r="B171" s="17" t="s">
        <v>812</v>
      </c>
      <c r="C171" s="18" t="s">
        <v>1028</v>
      </c>
      <c r="D171" s="19"/>
      <c r="E171" s="19">
        <v>2</v>
      </c>
      <c r="F171" s="10"/>
      <c r="G171" s="10">
        <f t="shared" si="0"/>
        <v>0</v>
      </c>
      <c r="H171" s="10"/>
      <c r="I171" s="10">
        <f t="shared" si="1"/>
        <v>0</v>
      </c>
      <c r="J171" s="10"/>
      <c r="K171" s="10">
        <f t="shared" si="2"/>
        <v>0</v>
      </c>
      <c r="L171" s="10">
        <f t="shared" si="3"/>
        <v>0</v>
      </c>
    </row>
    <row r="172" spans="1:12" ht="28.8" x14ac:dyDescent="0.3">
      <c r="A172" s="2">
        <f t="shared" si="12"/>
        <v>154</v>
      </c>
      <c r="B172" s="17" t="s">
        <v>975</v>
      </c>
      <c r="C172" s="18" t="s">
        <v>72</v>
      </c>
      <c r="D172" s="19"/>
      <c r="E172" s="19">
        <v>1</v>
      </c>
      <c r="F172" s="10"/>
      <c r="G172" s="10">
        <f t="shared" si="0"/>
        <v>0</v>
      </c>
      <c r="H172" s="10"/>
      <c r="I172" s="10">
        <f t="shared" si="1"/>
        <v>0</v>
      </c>
      <c r="J172" s="10"/>
      <c r="K172" s="10">
        <f t="shared" si="2"/>
        <v>0</v>
      </c>
      <c r="L172" s="10">
        <f t="shared" si="3"/>
        <v>0</v>
      </c>
    </row>
    <row r="173" spans="1:12" ht="28.8" x14ac:dyDescent="0.3">
      <c r="A173" s="2">
        <f t="shared" si="12"/>
        <v>155</v>
      </c>
      <c r="B173" s="17" t="s">
        <v>976</v>
      </c>
      <c r="C173" s="18" t="s">
        <v>72</v>
      </c>
      <c r="D173" s="19"/>
      <c r="E173" s="19">
        <v>1</v>
      </c>
      <c r="F173" s="10"/>
      <c r="G173" s="10">
        <f t="shared" si="0"/>
        <v>0</v>
      </c>
      <c r="H173" s="10"/>
      <c r="I173" s="10">
        <f t="shared" si="1"/>
        <v>0</v>
      </c>
      <c r="J173" s="10"/>
      <c r="K173" s="10">
        <f t="shared" si="2"/>
        <v>0</v>
      </c>
      <c r="L173" s="10">
        <f t="shared" si="3"/>
        <v>0</v>
      </c>
    </row>
    <row r="174" spans="1:12" x14ac:dyDescent="0.3">
      <c r="A174" s="2">
        <f t="shared" si="12"/>
        <v>156</v>
      </c>
      <c r="B174" s="17" t="s">
        <v>822</v>
      </c>
      <c r="C174" s="18" t="s">
        <v>72</v>
      </c>
      <c r="D174" s="19"/>
      <c r="E174" s="19">
        <v>1</v>
      </c>
      <c r="F174" s="10"/>
      <c r="G174" s="10">
        <f t="shared" si="0"/>
        <v>0</v>
      </c>
      <c r="H174" s="10"/>
      <c r="I174" s="10">
        <f t="shared" si="1"/>
        <v>0</v>
      </c>
      <c r="J174" s="10"/>
      <c r="K174" s="10">
        <f t="shared" si="2"/>
        <v>0</v>
      </c>
      <c r="L174" s="10">
        <f t="shared" si="3"/>
        <v>0</v>
      </c>
    </row>
    <row r="175" spans="1:12" x14ac:dyDescent="0.3">
      <c r="A175" s="2">
        <f t="shared" si="12"/>
        <v>157</v>
      </c>
      <c r="B175" s="17" t="s">
        <v>823</v>
      </c>
      <c r="C175" s="18" t="s">
        <v>72</v>
      </c>
      <c r="D175" s="19"/>
      <c r="E175" s="19">
        <v>1</v>
      </c>
      <c r="F175" s="10"/>
      <c r="G175" s="10">
        <f t="shared" si="0"/>
        <v>0</v>
      </c>
      <c r="H175" s="10"/>
      <c r="I175" s="10">
        <f t="shared" si="1"/>
        <v>0</v>
      </c>
      <c r="J175" s="10"/>
      <c r="K175" s="10">
        <f t="shared" si="2"/>
        <v>0</v>
      </c>
      <c r="L175" s="10">
        <f t="shared" si="3"/>
        <v>0</v>
      </c>
    </row>
    <row r="176" spans="1:12" x14ac:dyDescent="0.3">
      <c r="A176" s="2">
        <f t="shared" si="12"/>
        <v>158</v>
      </c>
      <c r="B176" s="17" t="s">
        <v>815</v>
      </c>
      <c r="C176" s="18" t="s">
        <v>72</v>
      </c>
      <c r="D176" s="19"/>
      <c r="E176" s="19">
        <v>1</v>
      </c>
      <c r="F176" s="10"/>
      <c r="G176" s="10">
        <f t="shared" si="0"/>
        <v>0</v>
      </c>
      <c r="H176" s="10"/>
      <c r="I176" s="10">
        <f t="shared" si="1"/>
        <v>0</v>
      </c>
      <c r="J176" s="10"/>
      <c r="K176" s="10">
        <f t="shared" si="2"/>
        <v>0</v>
      </c>
      <c r="L176" s="10">
        <f t="shared" si="3"/>
        <v>0</v>
      </c>
    </row>
    <row r="177" spans="1:14" x14ac:dyDescent="0.3">
      <c r="A177" s="2">
        <f t="shared" si="12"/>
        <v>159</v>
      </c>
      <c r="B177" s="17" t="s">
        <v>816</v>
      </c>
      <c r="C177" s="18" t="s">
        <v>72</v>
      </c>
      <c r="D177" s="19"/>
      <c r="E177" s="19">
        <v>2</v>
      </c>
      <c r="F177" s="10"/>
      <c r="G177" s="10">
        <f t="shared" si="0"/>
        <v>0</v>
      </c>
      <c r="H177" s="10"/>
      <c r="I177" s="10">
        <f t="shared" si="1"/>
        <v>0</v>
      </c>
      <c r="J177" s="10"/>
      <c r="K177" s="10">
        <f t="shared" si="2"/>
        <v>0</v>
      </c>
      <c r="L177" s="10">
        <f t="shared" si="3"/>
        <v>0</v>
      </c>
    </row>
    <row r="178" spans="1:14" x14ac:dyDescent="0.3">
      <c r="A178" s="2">
        <f t="shared" si="12"/>
        <v>160</v>
      </c>
      <c r="B178" s="17" t="s">
        <v>817</v>
      </c>
      <c r="C178" s="18" t="s">
        <v>72</v>
      </c>
      <c r="D178" s="19"/>
      <c r="E178" s="19">
        <v>1</v>
      </c>
      <c r="F178" s="10"/>
      <c r="G178" s="10">
        <f t="shared" si="0"/>
        <v>0</v>
      </c>
      <c r="H178" s="10"/>
      <c r="I178" s="10">
        <f t="shared" si="1"/>
        <v>0</v>
      </c>
      <c r="J178" s="10"/>
      <c r="K178" s="10">
        <f t="shared" si="2"/>
        <v>0</v>
      </c>
      <c r="L178" s="10">
        <f t="shared" si="3"/>
        <v>0</v>
      </c>
    </row>
    <row r="179" spans="1:14" x14ac:dyDescent="0.3">
      <c r="A179" s="2">
        <f t="shared" si="12"/>
        <v>161</v>
      </c>
      <c r="B179" s="17" t="s">
        <v>795</v>
      </c>
      <c r="C179" s="18" t="s">
        <v>72</v>
      </c>
      <c r="D179" s="19"/>
      <c r="E179" s="19">
        <v>2</v>
      </c>
      <c r="F179" s="10"/>
      <c r="G179" s="10">
        <f t="shared" si="0"/>
        <v>0</v>
      </c>
      <c r="H179" s="10"/>
      <c r="I179" s="10">
        <f t="shared" si="1"/>
        <v>0</v>
      </c>
      <c r="J179" s="10"/>
      <c r="K179" s="10">
        <f t="shared" si="2"/>
        <v>0</v>
      </c>
      <c r="L179" s="10">
        <f t="shared" si="3"/>
        <v>0</v>
      </c>
    </row>
    <row r="180" spans="1:14" x14ac:dyDescent="0.3">
      <c r="A180" s="2">
        <f t="shared" si="12"/>
        <v>162</v>
      </c>
      <c r="B180" s="17" t="s">
        <v>818</v>
      </c>
      <c r="C180" s="18" t="s">
        <v>72</v>
      </c>
      <c r="D180" s="19"/>
      <c r="E180" s="19">
        <v>3</v>
      </c>
      <c r="F180" s="10"/>
      <c r="G180" s="10">
        <f t="shared" si="0"/>
        <v>0</v>
      </c>
      <c r="H180" s="10"/>
      <c r="I180" s="10">
        <f t="shared" si="1"/>
        <v>0</v>
      </c>
      <c r="J180" s="10"/>
      <c r="K180" s="10">
        <f t="shared" si="2"/>
        <v>0</v>
      </c>
      <c r="L180" s="10">
        <f t="shared" si="3"/>
        <v>0</v>
      </c>
    </row>
    <row r="181" spans="1:14" x14ac:dyDescent="0.3">
      <c r="A181" s="2">
        <f t="shared" si="12"/>
        <v>163</v>
      </c>
      <c r="B181" s="17" t="s">
        <v>819</v>
      </c>
      <c r="C181" s="18" t="s">
        <v>72</v>
      </c>
      <c r="D181" s="19"/>
      <c r="E181" s="19">
        <v>3</v>
      </c>
      <c r="F181" s="10"/>
      <c r="G181" s="10">
        <f t="shared" si="0"/>
        <v>0</v>
      </c>
      <c r="H181" s="10"/>
      <c r="I181" s="10">
        <f t="shared" si="1"/>
        <v>0</v>
      </c>
      <c r="J181" s="10"/>
      <c r="K181" s="10">
        <f t="shared" si="2"/>
        <v>0</v>
      </c>
      <c r="L181" s="10">
        <f t="shared" si="3"/>
        <v>0</v>
      </c>
    </row>
    <row r="182" spans="1:14" x14ac:dyDescent="0.3">
      <c r="A182" s="11"/>
      <c r="B182" s="11" t="s">
        <v>826</v>
      </c>
      <c r="C182" s="4"/>
      <c r="D182" s="12"/>
      <c r="E182" s="12"/>
      <c r="F182" s="13"/>
      <c r="G182" s="13">
        <f t="shared" si="0"/>
        <v>0</v>
      </c>
      <c r="H182" s="13"/>
      <c r="I182" s="13">
        <f t="shared" si="1"/>
        <v>0</v>
      </c>
      <c r="J182" s="13"/>
      <c r="K182" s="13">
        <f t="shared" si="2"/>
        <v>0</v>
      </c>
      <c r="L182" s="13">
        <f t="shared" si="3"/>
        <v>0</v>
      </c>
    </row>
    <row r="183" spans="1:14" ht="115.2" x14ac:dyDescent="0.3">
      <c r="A183" s="2">
        <f>A181+1</f>
        <v>164</v>
      </c>
      <c r="B183" s="17" t="s">
        <v>1013</v>
      </c>
      <c r="C183" s="18" t="s">
        <v>1028</v>
      </c>
      <c r="D183" s="27"/>
      <c r="E183" s="19">
        <v>1</v>
      </c>
      <c r="F183" s="10"/>
      <c r="G183" s="10">
        <f t="shared" si="0"/>
        <v>0</v>
      </c>
      <c r="H183" s="10"/>
      <c r="I183" s="10">
        <f t="shared" si="1"/>
        <v>0</v>
      </c>
      <c r="J183" s="10"/>
      <c r="K183" s="10">
        <f t="shared" si="2"/>
        <v>0</v>
      </c>
      <c r="L183" s="10">
        <f t="shared" si="3"/>
        <v>0</v>
      </c>
    </row>
    <row r="184" spans="1:14" ht="28.8" x14ac:dyDescent="0.3">
      <c r="A184" s="2">
        <f>A183+1</f>
        <v>165</v>
      </c>
      <c r="B184" s="17" t="s">
        <v>810</v>
      </c>
      <c r="C184" s="18" t="s">
        <v>72</v>
      </c>
      <c r="D184" s="19"/>
      <c r="E184" s="19">
        <v>1</v>
      </c>
      <c r="F184" s="10"/>
      <c r="G184" s="10">
        <f t="shared" si="0"/>
        <v>0</v>
      </c>
      <c r="H184" s="10"/>
      <c r="I184" s="10">
        <f t="shared" si="1"/>
        <v>0</v>
      </c>
      <c r="J184" s="10"/>
      <c r="K184" s="10">
        <f t="shared" si="2"/>
        <v>0</v>
      </c>
      <c r="L184" s="10">
        <f t="shared" si="3"/>
        <v>0</v>
      </c>
      <c r="N184" s="9"/>
    </row>
    <row r="185" spans="1:14" x14ac:dyDescent="0.3">
      <c r="A185" s="2">
        <f t="shared" ref="A185:A196" si="13">A184+1</f>
        <v>166</v>
      </c>
      <c r="B185" s="17" t="s">
        <v>811</v>
      </c>
      <c r="C185" s="18" t="s">
        <v>72</v>
      </c>
      <c r="D185" s="27"/>
      <c r="E185" s="19">
        <v>1</v>
      </c>
      <c r="F185" s="10"/>
      <c r="G185" s="10">
        <f t="shared" si="0"/>
        <v>0</v>
      </c>
      <c r="H185" s="10"/>
      <c r="I185" s="10">
        <f t="shared" si="1"/>
        <v>0</v>
      </c>
      <c r="J185" s="10"/>
      <c r="K185" s="10">
        <f t="shared" si="2"/>
        <v>0</v>
      </c>
      <c r="L185" s="10">
        <f t="shared" si="3"/>
        <v>0</v>
      </c>
    </row>
    <row r="186" spans="1:14" x14ac:dyDescent="0.3">
      <c r="A186" s="2">
        <f t="shared" si="13"/>
        <v>167</v>
      </c>
      <c r="B186" s="17" t="s">
        <v>812</v>
      </c>
      <c r="C186" s="18" t="s">
        <v>1028</v>
      </c>
      <c r="D186" s="27"/>
      <c r="E186" s="19">
        <v>2</v>
      </c>
      <c r="F186" s="10"/>
      <c r="G186" s="10">
        <f t="shared" si="0"/>
        <v>0</v>
      </c>
      <c r="H186" s="10"/>
      <c r="I186" s="10">
        <f t="shared" si="1"/>
        <v>0</v>
      </c>
      <c r="J186" s="10"/>
      <c r="K186" s="10">
        <f t="shared" si="2"/>
        <v>0</v>
      </c>
      <c r="L186" s="10">
        <f t="shared" si="3"/>
        <v>0</v>
      </c>
    </row>
    <row r="187" spans="1:14" ht="28.8" x14ac:dyDescent="0.3">
      <c r="A187" s="2">
        <f t="shared" si="13"/>
        <v>168</v>
      </c>
      <c r="B187" s="17" t="s">
        <v>977</v>
      </c>
      <c r="C187" s="18" t="s">
        <v>72</v>
      </c>
      <c r="D187" s="27"/>
      <c r="E187" s="19">
        <v>1</v>
      </c>
      <c r="F187" s="10"/>
      <c r="G187" s="10">
        <f t="shared" si="0"/>
        <v>0</v>
      </c>
      <c r="H187" s="10"/>
      <c r="I187" s="10">
        <f t="shared" si="1"/>
        <v>0</v>
      </c>
      <c r="J187" s="10"/>
      <c r="K187" s="10">
        <f t="shared" si="2"/>
        <v>0</v>
      </c>
      <c r="L187" s="10">
        <f t="shared" si="3"/>
        <v>0</v>
      </c>
    </row>
    <row r="188" spans="1:14" ht="28.8" x14ac:dyDescent="0.3">
      <c r="A188" s="2">
        <f t="shared" si="13"/>
        <v>169</v>
      </c>
      <c r="B188" s="17" t="s">
        <v>978</v>
      </c>
      <c r="C188" s="18" t="s">
        <v>72</v>
      </c>
      <c r="D188" s="19"/>
      <c r="E188" s="19">
        <v>1</v>
      </c>
      <c r="F188" s="10"/>
      <c r="G188" s="10">
        <f t="shared" si="0"/>
        <v>0</v>
      </c>
      <c r="H188" s="10"/>
      <c r="I188" s="10">
        <f t="shared" si="1"/>
        <v>0</v>
      </c>
      <c r="J188" s="10"/>
      <c r="K188" s="10">
        <f t="shared" si="2"/>
        <v>0</v>
      </c>
      <c r="L188" s="10">
        <f t="shared" si="3"/>
        <v>0</v>
      </c>
    </row>
    <row r="189" spans="1:14" x14ac:dyDescent="0.3">
      <c r="A189" s="2">
        <f t="shared" si="13"/>
        <v>170</v>
      </c>
      <c r="B189" s="17" t="s">
        <v>827</v>
      </c>
      <c r="C189" s="18" t="s">
        <v>72</v>
      </c>
      <c r="D189" s="19"/>
      <c r="E189" s="19">
        <v>1</v>
      </c>
      <c r="F189" s="10"/>
      <c r="G189" s="10">
        <f t="shared" si="0"/>
        <v>0</v>
      </c>
      <c r="H189" s="10"/>
      <c r="I189" s="10">
        <f t="shared" si="1"/>
        <v>0</v>
      </c>
      <c r="J189" s="10"/>
      <c r="K189" s="10">
        <f t="shared" si="2"/>
        <v>0</v>
      </c>
      <c r="L189" s="10">
        <f t="shared" si="3"/>
        <v>0</v>
      </c>
    </row>
    <row r="190" spans="1:14" x14ac:dyDescent="0.3">
      <c r="A190" s="2">
        <f t="shared" si="13"/>
        <v>171</v>
      </c>
      <c r="B190" s="17" t="s">
        <v>828</v>
      </c>
      <c r="C190" s="18" t="s">
        <v>72</v>
      </c>
      <c r="D190" s="19"/>
      <c r="E190" s="19">
        <v>1</v>
      </c>
      <c r="F190" s="10"/>
      <c r="G190" s="10">
        <f t="shared" si="0"/>
        <v>0</v>
      </c>
      <c r="H190" s="10"/>
      <c r="I190" s="10">
        <f t="shared" si="1"/>
        <v>0</v>
      </c>
      <c r="J190" s="10"/>
      <c r="K190" s="10">
        <f t="shared" si="2"/>
        <v>0</v>
      </c>
      <c r="L190" s="10">
        <f t="shared" si="3"/>
        <v>0</v>
      </c>
    </row>
    <row r="191" spans="1:14" x14ac:dyDescent="0.3">
      <c r="A191" s="2">
        <f t="shared" si="13"/>
        <v>172</v>
      </c>
      <c r="B191" s="17" t="s">
        <v>815</v>
      </c>
      <c r="C191" s="18" t="s">
        <v>72</v>
      </c>
      <c r="D191" s="19"/>
      <c r="E191" s="19">
        <v>1</v>
      </c>
      <c r="F191" s="10"/>
      <c r="G191" s="10">
        <f t="shared" si="0"/>
        <v>0</v>
      </c>
      <c r="H191" s="10"/>
      <c r="I191" s="10">
        <f t="shared" si="1"/>
        <v>0</v>
      </c>
      <c r="J191" s="10"/>
      <c r="K191" s="10">
        <f t="shared" si="2"/>
        <v>0</v>
      </c>
      <c r="L191" s="10">
        <f t="shared" si="3"/>
        <v>0</v>
      </c>
    </row>
    <row r="192" spans="1:14" x14ac:dyDescent="0.3">
      <c r="A192" s="2">
        <f t="shared" si="13"/>
        <v>173</v>
      </c>
      <c r="B192" s="17" t="s">
        <v>816</v>
      </c>
      <c r="C192" s="18" t="s">
        <v>72</v>
      </c>
      <c r="D192" s="19"/>
      <c r="E192" s="19">
        <v>2</v>
      </c>
      <c r="F192" s="10"/>
      <c r="G192" s="10">
        <f t="shared" si="0"/>
        <v>0</v>
      </c>
      <c r="H192" s="10"/>
      <c r="I192" s="10">
        <f t="shared" si="1"/>
        <v>0</v>
      </c>
      <c r="J192" s="10"/>
      <c r="K192" s="10">
        <f t="shared" si="2"/>
        <v>0</v>
      </c>
      <c r="L192" s="10">
        <f t="shared" si="3"/>
        <v>0</v>
      </c>
    </row>
    <row r="193" spans="1:12" x14ac:dyDescent="0.3">
      <c r="A193" s="2">
        <f t="shared" si="13"/>
        <v>174</v>
      </c>
      <c r="B193" s="17" t="s">
        <v>817</v>
      </c>
      <c r="C193" s="18" t="s">
        <v>72</v>
      </c>
      <c r="D193" s="19"/>
      <c r="E193" s="19">
        <v>1</v>
      </c>
      <c r="F193" s="10"/>
      <c r="G193" s="10">
        <f t="shared" si="0"/>
        <v>0</v>
      </c>
      <c r="H193" s="10"/>
      <c r="I193" s="10">
        <f t="shared" si="1"/>
        <v>0</v>
      </c>
      <c r="J193" s="10"/>
      <c r="K193" s="10">
        <f t="shared" si="2"/>
        <v>0</v>
      </c>
      <c r="L193" s="10">
        <f t="shared" si="3"/>
        <v>0</v>
      </c>
    </row>
    <row r="194" spans="1:12" x14ac:dyDescent="0.3">
      <c r="A194" s="2">
        <f t="shared" si="13"/>
        <v>175</v>
      </c>
      <c r="B194" s="17" t="s">
        <v>795</v>
      </c>
      <c r="C194" s="18" t="s">
        <v>72</v>
      </c>
      <c r="D194" s="19"/>
      <c r="E194" s="19">
        <v>2</v>
      </c>
      <c r="F194" s="10"/>
      <c r="G194" s="10">
        <f t="shared" si="0"/>
        <v>0</v>
      </c>
      <c r="H194" s="10"/>
      <c r="I194" s="10">
        <f t="shared" si="1"/>
        <v>0</v>
      </c>
      <c r="J194" s="10"/>
      <c r="K194" s="10">
        <f t="shared" si="2"/>
        <v>0</v>
      </c>
      <c r="L194" s="10">
        <f t="shared" si="3"/>
        <v>0</v>
      </c>
    </row>
    <row r="195" spans="1:12" x14ac:dyDescent="0.3">
      <c r="A195" s="2">
        <f t="shared" si="13"/>
        <v>176</v>
      </c>
      <c r="B195" s="17" t="s">
        <v>818</v>
      </c>
      <c r="C195" s="18" t="s">
        <v>72</v>
      </c>
      <c r="D195" s="19"/>
      <c r="E195" s="19">
        <v>3</v>
      </c>
      <c r="F195" s="10"/>
      <c r="G195" s="10">
        <f t="shared" si="0"/>
        <v>0</v>
      </c>
      <c r="H195" s="10"/>
      <c r="I195" s="10">
        <f t="shared" si="1"/>
        <v>0</v>
      </c>
      <c r="J195" s="10"/>
      <c r="K195" s="10">
        <f t="shared" si="2"/>
        <v>0</v>
      </c>
      <c r="L195" s="10">
        <f t="shared" si="3"/>
        <v>0</v>
      </c>
    </row>
    <row r="196" spans="1:12" x14ac:dyDescent="0.3">
      <c r="A196" s="2">
        <f t="shared" si="13"/>
        <v>177</v>
      </c>
      <c r="B196" s="17" t="s">
        <v>819</v>
      </c>
      <c r="C196" s="18" t="s">
        <v>72</v>
      </c>
      <c r="D196" s="19"/>
      <c r="E196" s="19">
        <v>3</v>
      </c>
      <c r="F196" s="10"/>
      <c r="G196" s="10">
        <f t="shared" si="0"/>
        <v>0</v>
      </c>
      <c r="H196" s="10"/>
      <c r="I196" s="10">
        <f t="shared" si="1"/>
        <v>0</v>
      </c>
      <c r="J196" s="10"/>
      <c r="K196" s="10">
        <f t="shared" si="2"/>
        <v>0</v>
      </c>
      <c r="L196" s="10">
        <f t="shared" si="3"/>
        <v>0</v>
      </c>
    </row>
    <row r="197" spans="1:12" x14ac:dyDescent="0.3">
      <c r="A197" s="11"/>
      <c r="B197" s="11" t="s">
        <v>829</v>
      </c>
      <c r="C197" s="4"/>
      <c r="D197" s="12"/>
      <c r="E197" s="12"/>
      <c r="F197" s="13"/>
      <c r="G197" s="13">
        <f t="shared" si="0"/>
        <v>0</v>
      </c>
      <c r="H197" s="13"/>
      <c r="I197" s="13">
        <f t="shared" si="1"/>
        <v>0</v>
      </c>
      <c r="J197" s="13"/>
      <c r="K197" s="13">
        <f t="shared" si="2"/>
        <v>0</v>
      </c>
      <c r="L197" s="13">
        <f t="shared" si="3"/>
        <v>0</v>
      </c>
    </row>
    <row r="198" spans="1:12" ht="115.2" x14ac:dyDescent="0.3">
      <c r="A198" s="2">
        <f>A196+1</f>
        <v>178</v>
      </c>
      <c r="B198" s="17" t="s">
        <v>1013</v>
      </c>
      <c r="C198" s="18" t="s">
        <v>1028</v>
      </c>
      <c r="D198" s="19"/>
      <c r="E198" s="19">
        <v>1</v>
      </c>
      <c r="F198" s="10"/>
      <c r="G198" s="10">
        <f t="shared" si="0"/>
        <v>0</v>
      </c>
      <c r="H198" s="10"/>
      <c r="I198" s="10">
        <f t="shared" si="1"/>
        <v>0</v>
      </c>
      <c r="J198" s="10"/>
      <c r="K198" s="10">
        <f t="shared" si="2"/>
        <v>0</v>
      </c>
      <c r="L198" s="10">
        <f t="shared" si="3"/>
        <v>0</v>
      </c>
    </row>
    <row r="199" spans="1:12" ht="28.8" x14ac:dyDescent="0.3">
      <c r="A199" s="2">
        <f>A198+1</f>
        <v>179</v>
      </c>
      <c r="B199" s="17" t="s">
        <v>810</v>
      </c>
      <c r="C199" s="18" t="s">
        <v>72</v>
      </c>
      <c r="D199" s="19"/>
      <c r="E199" s="19">
        <v>1</v>
      </c>
      <c r="F199" s="10"/>
      <c r="G199" s="10">
        <f t="shared" si="0"/>
        <v>0</v>
      </c>
      <c r="H199" s="10"/>
      <c r="I199" s="10">
        <f t="shared" si="1"/>
        <v>0</v>
      </c>
      <c r="J199" s="10"/>
      <c r="K199" s="10">
        <f t="shared" si="2"/>
        <v>0</v>
      </c>
      <c r="L199" s="10">
        <f t="shared" si="3"/>
        <v>0</v>
      </c>
    </row>
    <row r="200" spans="1:12" x14ac:dyDescent="0.3">
      <c r="A200" s="2">
        <f t="shared" ref="A200:A211" si="14">A199+1</f>
        <v>180</v>
      </c>
      <c r="B200" s="17" t="s">
        <v>811</v>
      </c>
      <c r="C200" s="18" t="s">
        <v>72</v>
      </c>
      <c r="D200" s="19"/>
      <c r="E200" s="19">
        <v>1</v>
      </c>
      <c r="F200" s="10"/>
      <c r="G200" s="10">
        <f t="shared" si="0"/>
        <v>0</v>
      </c>
      <c r="H200" s="10"/>
      <c r="I200" s="10">
        <f t="shared" si="1"/>
        <v>0</v>
      </c>
      <c r="J200" s="10"/>
      <c r="K200" s="10">
        <f t="shared" si="2"/>
        <v>0</v>
      </c>
      <c r="L200" s="10">
        <f t="shared" si="3"/>
        <v>0</v>
      </c>
    </row>
    <row r="201" spans="1:12" x14ac:dyDescent="0.3">
      <c r="A201" s="2">
        <f t="shared" si="14"/>
        <v>181</v>
      </c>
      <c r="B201" s="17" t="s">
        <v>812</v>
      </c>
      <c r="C201" s="18" t="s">
        <v>1028</v>
      </c>
      <c r="D201" s="19"/>
      <c r="E201" s="19">
        <v>2</v>
      </c>
      <c r="F201" s="10"/>
      <c r="G201" s="10">
        <f t="shared" si="0"/>
        <v>0</v>
      </c>
      <c r="H201" s="10"/>
      <c r="I201" s="10">
        <f t="shared" si="1"/>
        <v>0</v>
      </c>
      <c r="J201" s="10"/>
      <c r="K201" s="10">
        <f t="shared" si="2"/>
        <v>0</v>
      </c>
      <c r="L201" s="10">
        <f t="shared" si="3"/>
        <v>0</v>
      </c>
    </row>
    <row r="202" spans="1:12" ht="28.8" x14ac:dyDescent="0.3">
      <c r="A202" s="2">
        <f t="shared" si="14"/>
        <v>182</v>
      </c>
      <c r="B202" s="17" t="s">
        <v>977</v>
      </c>
      <c r="C202" s="18" t="s">
        <v>72</v>
      </c>
      <c r="D202" s="19"/>
      <c r="E202" s="19">
        <v>1</v>
      </c>
      <c r="F202" s="10"/>
      <c r="G202" s="10">
        <f t="shared" si="0"/>
        <v>0</v>
      </c>
      <c r="H202" s="10"/>
      <c r="I202" s="10">
        <f t="shared" si="1"/>
        <v>0</v>
      </c>
      <c r="J202" s="10"/>
      <c r="K202" s="10">
        <f t="shared" si="2"/>
        <v>0</v>
      </c>
      <c r="L202" s="10">
        <f t="shared" si="3"/>
        <v>0</v>
      </c>
    </row>
    <row r="203" spans="1:12" ht="28.8" x14ac:dyDescent="0.3">
      <c r="A203" s="2">
        <f t="shared" si="14"/>
        <v>183</v>
      </c>
      <c r="B203" s="17" t="s">
        <v>978</v>
      </c>
      <c r="C203" s="18" t="s">
        <v>72</v>
      </c>
      <c r="D203" s="19"/>
      <c r="E203" s="19">
        <v>1</v>
      </c>
      <c r="F203" s="10"/>
      <c r="G203" s="10">
        <f t="shared" si="0"/>
        <v>0</v>
      </c>
      <c r="H203" s="10"/>
      <c r="I203" s="10">
        <f t="shared" si="1"/>
        <v>0</v>
      </c>
      <c r="J203" s="10"/>
      <c r="K203" s="10">
        <f t="shared" si="2"/>
        <v>0</v>
      </c>
      <c r="L203" s="10">
        <f t="shared" si="3"/>
        <v>0</v>
      </c>
    </row>
    <row r="204" spans="1:12" x14ac:dyDescent="0.3">
      <c r="A204" s="2">
        <f t="shared" si="14"/>
        <v>184</v>
      </c>
      <c r="B204" s="17" t="s">
        <v>827</v>
      </c>
      <c r="C204" s="18" t="s">
        <v>72</v>
      </c>
      <c r="D204" s="19"/>
      <c r="E204" s="19">
        <v>1</v>
      </c>
      <c r="F204" s="10"/>
      <c r="G204" s="10">
        <f t="shared" si="0"/>
        <v>0</v>
      </c>
      <c r="H204" s="10"/>
      <c r="I204" s="10">
        <f t="shared" si="1"/>
        <v>0</v>
      </c>
      <c r="J204" s="10"/>
      <c r="K204" s="10">
        <f t="shared" si="2"/>
        <v>0</v>
      </c>
      <c r="L204" s="10">
        <f t="shared" si="3"/>
        <v>0</v>
      </c>
    </row>
    <row r="205" spans="1:12" x14ac:dyDescent="0.3">
      <c r="A205" s="2">
        <f t="shared" si="14"/>
        <v>185</v>
      </c>
      <c r="B205" s="17" t="s">
        <v>828</v>
      </c>
      <c r="C205" s="18" t="s">
        <v>72</v>
      </c>
      <c r="D205" s="19"/>
      <c r="E205" s="19">
        <v>1</v>
      </c>
      <c r="F205" s="10"/>
      <c r="G205" s="10">
        <f t="shared" si="0"/>
        <v>0</v>
      </c>
      <c r="H205" s="10"/>
      <c r="I205" s="10">
        <f t="shared" si="1"/>
        <v>0</v>
      </c>
      <c r="J205" s="10"/>
      <c r="K205" s="10">
        <f t="shared" si="2"/>
        <v>0</v>
      </c>
      <c r="L205" s="10">
        <f t="shared" si="3"/>
        <v>0</v>
      </c>
    </row>
    <row r="206" spans="1:12" x14ac:dyDescent="0.3">
      <c r="A206" s="2">
        <f t="shared" si="14"/>
        <v>186</v>
      </c>
      <c r="B206" s="17" t="s">
        <v>815</v>
      </c>
      <c r="C206" s="18" t="s">
        <v>72</v>
      </c>
      <c r="D206" s="19"/>
      <c r="E206" s="19">
        <v>1</v>
      </c>
      <c r="F206" s="10"/>
      <c r="G206" s="10">
        <f t="shared" si="0"/>
        <v>0</v>
      </c>
      <c r="H206" s="10"/>
      <c r="I206" s="10">
        <f t="shared" si="1"/>
        <v>0</v>
      </c>
      <c r="J206" s="10"/>
      <c r="K206" s="10">
        <f t="shared" si="2"/>
        <v>0</v>
      </c>
      <c r="L206" s="10">
        <f t="shared" si="3"/>
        <v>0</v>
      </c>
    </row>
    <row r="207" spans="1:12" x14ac:dyDescent="0.3">
      <c r="A207" s="2">
        <f t="shared" si="14"/>
        <v>187</v>
      </c>
      <c r="B207" s="17" t="s">
        <v>816</v>
      </c>
      <c r="C207" s="18" t="s">
        <v>72</v>
      </c>
      <c r="D207" s="19"/>
      <c r="E207" s="19">
        <v>2</v>
      </c>
      <c r="F207" s="10"/>
      <c r="G207" s="10">
        <f t="shared" si="0"/>
        <v>0</v>
      </c>
      <c r="H207" s="10"/>
      <c r="I207" s="10">
        <f t="shared" si="1"/>
        <v>0</v>
      </c>
      <c r="J207" s="10"/>
      <c r="K207" s="10">
        <f t="shared" si="2"/>
        <v>0</v>
      </c>
      <c r="L207" s="10">
        <f t="shared" si="3"/>
        <v>0</v>
      </c>
    </row>
    <row r="208" spans="1:12" x14ac:dyDescent="0.3">
      <c r="A208" s="2">
        <f t="shared" si="14"/>
        <v>188</v>
      </c>
      <c r="B208" s="17" t="s">
        <v>817</v>
      </c>
      <c r="C208" s="18" t="s">
        <v>72</v>
      </c>
      <c r="D208" s="19"/>
      <c r="E208" s="19">
        <v>1</v>
      </c>
      <c r="F208" s="10"/>
      <c r="G208" s="10">
        <f t="shared" si="0"/>
        <v>0</v>
      </c>
      <c r="H208" s="10"/>
      <c r="I208" s="10">
        <f t="shared" si="1"/>
        <v>0</v>
      </c>
      <c r="J208" s="10"/>
      <c r="K208" s="10">
        <f t="shared" si="2"/>
        <v>0</v>
      </c>
      <c r="L208" s="10">
        <f t="shared" si="3"/>
        <v>0</v>
      </c>
    </row>
    <row r="209" spans="1:12" x14ac:dyDescent="0.3">
      <c r="A209" s="2">
        <f t="shared" si="14"/>
        <v>189</v>
      </c>
      <c r="B209" s="17" t="s">
        <v>795</v>
      </c>
      <c r="C209" s="18" t="s">
        <v>72</v>
      </c>
      <c r="D209" s="19"/>
      <c r="E209" s="19">
        <v>2</v>
      </c>
      <c r="F209" s="10"/>
      <c r="G209" s="10">
        <f t="shared" ref="G209:G403" si="15">F209*E209</f>
        <v>0</v>
      </c>
      <c r="H209" s="10"/>
      <c r="I209" s="10">
        <f t="shared" ref="I209:I403" si="16">H209*E209</f>
        <v>0</v>
      </c>
      <c r="J209" s="10"/>
      <c r="K209" s="10">
        <f t="shared" ref="K209:K403" si="17">J209*E209</f>
        <v>0</v>
      </c>
      <c r="L209" s="10">
        <f t="shared" ref="L209:L403" si="18">K209+I209+G209</f>
        <v>0</v>
      </c>
    </row>
    <row r="210" spans="1:12" x14ac:dyDescent="0.3">
      <c r="A210" s="2">
        <f t="shared" si="14"/>
        <v>190</v>
      </c>
      <c r="B210" s="17" t="s">
        <v>818</v>
      </c>
      <c r="C210" s="18" t="s">
        <v>72</v>
      </c>
      <c r="D210" s="19"/>
      <c r="E210" s="19">
        <v>3</v>
      </c>
      <c r="F210" s="10"/>
      <c r="G210" s="10">
        <f t="shared" si="15"/>
        <v>0</v>
      </c>
      <c r="H210" s="10"/>
      <c r="I210" s="10">
        <f t="shared" si="16"/>
        <v>0</v>
      </c>
      <c r="J210" s="10"/>
      <c r="K210" s="10">
        <f t="shared" si="17"/>
        <v>0</v>
      </c>
      <c r="L210" s="10">
        <f t="shared" si="18"/>
        <v>0</v>
      </c>
    </row>
    <row r="211" spans="1:12" x14ac:dyDescent="0.3">
      <c r="A211" s="2">
        <f t="shared" si="14"/>
        <v>191</v>
      </c>
      <c r="B211" s="17" t="s">
        <v>819</v>
      </c>
      <c r="C211" s="18" t="s">
        <v>72</v>
      </c>
      <c r="D211" s="19"/>
      <c r="E211" s="19">
        <v>3</v>
      </c>
      <c r="F211" s="10"/>
      <c r="G211" s="10">
        <f t="shared" si="15"/>
        <v>0</v>
      </c>
      <c r="H211" s="10"/>
      <c r="I211" s="10">
        <f t="shared" si="16"/>
        <v>0</v>
      </c>
      <c r="J211" s="10"/>
      <c r="K211" s="10">
        <f t="shared" si="17"/>
        <v>0</v>
      </c>
      <c r="L211" s="10">
        <f t="shared" si="18"/>
        <v>0</v>
      </c>
    </row>
    <row r="212" spans="1:12" x14ac:dyDescent="0.3">
      <c r="A212" s="11"/>
      <c r="B212" s="11" t="s">
        <v>830</v>
      </c>
      <c r="C212" s="4"/>
      <c r="D212" s="12"/>
      <c r="E212" s="12"/>
      <c r="F212" s="13"/>
      <c r="G212" s="13">
        <f t="shared" si="15"/>
        <v>0</v>
      </c>
      <c r="H212" s="13"/>
      <c r="I212" s="13">
        <f t="shared" si="16"/>
        <v>0</v>
      </c>
      <c r="J212" s="13"/>
      <c r="K212" s="13">
        <f t="shared" si="17"/>
        <v>0</v>
      </c>
      <c r="L212" s="13">
        <f t="shared" si="18"/>
        <v>0</v>
      </c>
    </row>
    <row r="213" spans="1:12" ht="115.2" x14ac:dyDescent="0.3">
      <c r="A213" s="2">
        <f>A211+1</f>
        <v>192</v>
      </c>
      <c r="B213" s="17" t="s">
        <v>1013</v>
      </c>
      <c r="C213" s="18" t="s">
        <v>1028</v>
      </c>
      <c r="D213" s="19"/>
      <c r="E213" s="19">
        <v>1</v>
      </c>
      <c r="F213" s="10"/>
      <c r="G213" s="10">
        <f t="shared" si="15"/>
        <v>0</v>
      </c>
      <c r="H213" s="10"/>
      <c r="I213" s="10">
        <f t="shared" si="16"/>
        <v>0</v>
      </c>
      <c r="J213" s="10"/>
      <c r="K213" s="10">
        <f t="shared" si="17"/>
        <v>0</v>
      </c>
      <c r="L213" s="10">
        <f t="shared" si="18"/>
        <v>0</v>
      </c>
    </row>
    <row r="214" spans="1:12" ht="28.8" x14ac:dyDescent="0.3">
      <c r="A214" s="2">
        <f>A213+1</f>
        <v>193</v>
      </c>
      <c r="B214" s="17" t="s">
        <v>810</v>
      </c>
      <c r="C214" s="18" t="s">
        <v>72</v>
      </c>
      <c r="D214" s="19"/>
      <c r="E214" s="19">
        <v>1</v>
      </c>
      <c r="F214" s="10"/>
      <c r="G214" s="10">
        <f t="shared" si="15"/>
        <v>0</v>
      </c>
      <c r="H214" s="10"/>
      <c r="I214" s="10">
        <f t="shared" si="16"/>
        <v>0</v>
      </c>
      <c r="J214" s="10"/>
      <c r="K214" s="10">
        <f t="shared" si="17"/>
        <v>0</v>
      </c>
      <c r="L214" s="10">
        <f t="shared" si="18"/>
        <v>0</v>
      </c>
    </row>
    <row r="215" spans="1:12" x14ac:dyDescent="0.3">
      <c r="A215" s="2">
        <f t="shared" ref="A215:A226" si="19">A214+1</f>
        <v>194</v>
      </c>
      <c r="B215" s="17" t="s">
        <v>811</v>
      </c>
      <c r="C215" s="18" t="s">
        <v>72</v>
      </c>
      <c r="D215" s="27"/>
      <c r="E215" s="19">
        <v>1</v>
      </c>
      <c r="F215" s="10"/>
      <c r="G215" s="10">
        <f t="shared" si="15"/>
        <v>0</v>
      </c>
      <c r="H215" s="10"/>
      <c r="I215" s="10">
        <f t="shared" si="16"/>
        <v>0</v>
      </c>
      <c r="J215" s="10"/>
      <c r="K215" s="10">
        <f t="shared" si="17"/>
        <v>0</v>
      </c>
      <c r="L215" s="10">
        <f t="shared" si="18"/>
        <v>0</v>
      </c>
    </row>
    <row r="216" spans="1:12" x14ac:dyDescent="0.3">
      <c r="A216" s="2">
        <f t="shared" si="19"/>
        <v>195</v>
      </c>
      <c r="B216" s="17" t="s">
        <v>812</v>
      </c>
      <c r="C216" s="18" t="s">
        <v>1028</v>
      </c>
      <c r="D216" s="27"/>
      <c r="E216" s="19">
        <v>2</v>
      </c>
      <c r="F216" s="10"/>
      <c r="G216" s="10">
        <f t="shared" si="15"/>
        <v>0</v>
      </c>
      <c r="H216" s="10"/>
      <c r="I216" s="10">
        <f t="shared" si="16"/>
        <v>0</v>
      </c>
      <c r="J216" s="10"/>
      <c r="K216" s="10">
        <f t="shared" si="17"/>
        <v>0</v>
      </c>
      <c r="L216" s="10">
        <f t="shared" si="18"/>
        <v>0</v>
      </c>
    </row>
    <row r="217" spans="1:12" ht="28.8" x14ac:dyDescent="0.3">
      <c r="A217" s="2">
        <f t="shared" si="19"/>
        <v>196</v>
      </c>
      <c r="B217" s="17" t="s">
        <v>977</v>
      </c>
      <c r="C217" s="18" t="s">
        <v>72</v>
      </c>
      <c r="D217" s="27"/>
      <c r="E217" s="19">
        <v>1</v>
      </c>
      <c r="F217" s="10"/>
      <c r="G217" s="10">
        <f t="shared" si="15"/>
        <v>0</v>
      </c>
      <c r="H217" s="10"/>
      <c r="I217" s="10">
        <f t="shared" si="16"/>
        <v>0</v>
      </c>
      <c r="J217" s="10"/>
      <c r="K217" s="10">
        <f t="shared" si="17"/>
        <v>0</v>
      </c>
      <c r="L217" s="10">
        <f t="shared" si="18"/>
        <v>0</v>
      </c>
    </row>
    <row r="218" spans="1:12" ht="28.8" x14ac:dyDescent="0.3">
      <c r="A218" s="2">
        <f t="shared" si="19"/>
        <v>197</v>
      </c>
      <c r="B218" s="17" t="s">
        <v>978</v>
      </c>
      <c r="C218" s="18" t="s">
        <v>72</v>
      </c>
      <c r="D218" s="19"/>
      <c r="E218" s="19">
        <v>1</v>
      </c>
      <c r="F218" s="10"/>
      <c r="G218" s="10">
        <f t="shared" si="15"/>
        <v>0</v>
      </c>
      <c r="H218" s="10"/>
      <c r="I218" s="10">
        <f t="shared" si="16"/>
        <v>0</v>
      </c>
      <c r="J218" s="10"/>
      <c r="K218" s="10">
        <f t="shared" si="17"/>
        <v>0</v>
      </c>
      <c r="L218" s="10">
        <f t="shared" si="18"/>
        <v>0</v>
      </c>
    </row>
    <row r="219" spans="1:12" x14ac:dyDescent="0.3">
      <c r="A219" s="2">
        <f t="shared" si="19"/>
        <v>198</v>
      </c>
      <c r="B219" s="17" t="s">
        <v>827</v>
      </c>
      <c r="C219" s="18" t="s">
        <v>72</v>
      </c>
      <c r="D219" s="19"/>
      <c r="E219" s="19">
        <v>1</v>
      </c>
      <c r="F219" s="10"/>
      <c r="G219" s="10">
        <f t="shared" si="15"/>
        <v>0</v>
      </c>
      <c r="H219" s="10"/>
      <c r="I219" s="10">
        <f t="shared" si="16"/>
        <v>0</v>
      </c>
      <c r="J219" s="10"/>
      <c r="K219" s="10">
        <f t="shared" si="17"/>
        <v>0</v>
      </c>
      <c r="L219" s="10">
        <f t="shared" si="18"/>
        <v>0</v>
      </c>
    </row>
    <row r="220" spans="1:12" x14ac:dyDescent="0.3">
      <c r="A220" s="2">
        <f t="shared" si="19"/>
        <v>199</v>
      </c>
      <c r="B220" s="17" t="s">
        <v>828</v>
      </c>
      <c r="C220" s="18" t="s">
        <v>72</v>
      </c>
      <c r="D220" s="19"/>
      <c r="E220" s="19">
        <v>1</v>
      </c>
      <c r="F220" s="10"/>
      <c r="G220" s="10">
        <f t="shared" si="15"/>
        <v>0</v>
      </c>
      <c r="H220" s="10"/>
      <c r="I220" s="10">
        <f t="shared" si="16"/>
        <v>0</v>
      </c>
      <c r="J220" s="10"/>
      <c r="K220" s="10">
        <f t="shared" si="17"/>
        <v>0</v>
      </c>
      <c r="L220" s="10">
        <f t="shared" si="18"/>
        <v>0</v>
      </c>
    </row>
    <row r="221" spans="1:12" x14ac:dyDescent="0.3">
      <c r="A221" s="2">
        <f t="shared" si="19"/>
        <v>200</v>
      </c>
      <c r="B221" s="17" t="s">
        <v>815</v>
      </c>
      <c r="C221" s="18" t="s">
        <v>72</v>
      </c>
      <c r="D221" s="19"/>
      <c r="E221" s="19">
        <v>1</v>
      </c>
      <c r="F221" s="10"/>
      <c r="G221" s="10">
        <f t="shared" si="15"/>
        <v>0</v>
      </c>
      <c r="H221" s="10"/>
      <c r="I221" s="10">
        <f t="shared" si="16"/>
        <v>0</v>
      </c>
      <c r="J221" s="10"/>
      <c r="K221" s="10">
        <f t="shared" si="17"/>
        <v>0</v>
      </c>
      <c r="L221" s="10">
        <f t="shared" si="18"/>
        <v>0</v>
      </c>
    </row>
    <row r="222" spans="1:12" x14ac:dyDescent="0.3">
      <c r="A222" s="2">
        <f t="shared" si="19"/>
        <v>201</v>
      </c>
      <c r="B222" s="17" t="s">
        <v>816</v>
      </c>
      <c r="C222" s="18" t="s">
        <v>72</v>
      </c>
      <c r="D222" s="19"/>
      <c r="E222" s="19">
        <v>2</v>
      </c>
      <c r="F222" s="10"/>
      <c r="G222" s="10">
        <f t="shared" si="15"/>
        <v>0</v>
      </c>
      <c r="H222" s="10"/>
      <c r="I222" s="10">
        <f t="shared" si="16"/>
        <v>0</v>
      </c>
      <c r="J222" s="10"/>
      <c r="K222" s="10">
        <f t="shared" si="17"/>
        <v>0</v>
      </c>
      <c r="L222" s="10">
        <f t="shared" si="18"/>
        <v>0</v>
      </c>
    </row>
    <row r="223" spans="1:12" x14ac:dyDescent="0.3">
      <c r="A223" s="2">
        <f t="shared" si="19"/>
        <v>202</v>
      </c>
      <c r="B223" s="17" t="s">
        <v>817</v>
      </c>
      <c r="C223" s="18" t="s">
        <v>72</v>
      </c>
      <c r="D223" s="19"/>
      <c r="E223" s="19">
        <v>1</v>
      </c>
      <c r="F223" s="10"/>
      <c r="G223" s="10">
        <f t="shared" si="15"/>
        <v>0</v>
      </c>
      <c r="H223" s="10"/>
      <c r="I223" s="10">
        <f t="shared" si="16"/>
        <v>0</v>
      </c>
      <c r="J223" s="10"/>
      <c r="K223" s="10">
        <f t="shared" si="17"/>
        <v>0</v>
      </c>
      <c r="L223" s="10">
        <f t="shared" si="18"/>
        <v>0</v>
      </c>
    </row>
    <row r="224" spans="1:12" x14ac:dyDescent="0.3">
      <c r="A224" s="2">
        <f t="shared" si="19"/>
        <v>203</v>
      </c>
      <c r="B224" s="17" t="s">
        <v>795</v>
      </c>
      <c r="C224" s="18" t="s">
        <v>72</v>
      </c>
      <c r="D224" s="27"/>
      <c r="E224" s="19">
        <v>2</v>
      </c>
      <c r="F224" s="10"/>
      <c r="G224" s="10">
        <f t="shared" si="15"/>
        <v>0</v>
      </c>
      <c r="H224" s="10"/>
      <c r="I224" s="10">
        <f t="shared" si="16"/>
        <v>0</v>
      </c>
      <c r="J224" s="10"/>
      <c r="K224" s="10">
        <f t="shared" si="17"/>
        <v>0</v>
      </c>
      <c r="L224" s="10">
        <f t="shared" si="18"/>
        <v>0</v>
      </c>
    </row>
    <row r="225" spans="1:14" x14ac:dyDescent="0.3">
      <c r="A225" s="2">
        <f t="shared" si="19"/>
        <v>204</v>
      </c>
      <c r="B225" s="17" t="s">
        <v>818</v>
      </c>
      <c r="C225" s="18" t="s">
        <v>72</v>
      </c>
      <c r="D225" s="27"/>
      <c r="E225" s="19">
        <v>3</v>
      </c>
      <c r="F225" s="10"/>
      <c r="G225" s="10">
        <f t="shared" si="15"/>
        <v>0</v>
      </c>
      <c r="H225" s="10"/>
      <c r="I225" s="10">
        <f t="shared" si="16"/>
        <v>0</v>
      </c>
      <c r="J225" s="10"/>
      <c r="K225" s="10">
        <f t="shared" si="17"/>
        <v>0</v>
      </c>
      <c r="L225" s="10">
        <f t="shared" si="18"/>
        <v>0</v>
      </c>
    </row>
    <row r="226" spans="1:14" x14ac:dyDescent="0.3">
      <c r="A226" s="2">
        <f t="shared" si="19"/>
        <v>205</v>
      </c>
      <c r="B226" s="17" t="s">
        <v>819</v>
      </c>
      <c r="C226" s="18" t="s">
        <v>72</v>
      </c>
      <c r="D226" s="27"/>
      <c r="E226" s="19">
        <v>3</v>
      </c>
      <c r="F226" s="10"/>
      <c r="G226" s="10">
        <f t="shared" si="15"/>
        <v>0</v>
      </c>
      <c r="H226" s="10"/>
      <c r="I226" s="10">
        <f t="shared" si="16"/>
        <v>0</v>
      </c>
      <c r="J226" s="10"/>
      <c r="K226" s="10">
        <f t="shared" si="17"/>
        <v>0</v>
      </c>
      <c r="L226" s="10">
        <f t="shared" si="18"/>
        <v>0</v>
      </c>
    </row>
    <row r="227" spans="1:14" x14ac:dyDescent="0.3">
      <c r="A227" s="11"/>
      <c r="B227" s="11" t="s">
        <v>831</v>
      </c>
      <c r="C227" s="4"/>
      <c r="D227" s="12"/>
      <c r="E227" s="12"/>
      <c r="F227" s="13"/>
      <c r="G227" s="13">
        <f t="shared" si="15"/>
        <v>0</v>
      </c>
      <c r="H227" s="13"/>
      <c r="I227" s="13">
        <f t="shared" si="16"/>
        <v>0</v>
      </c>
      <c r="J227" s="13"/>
      <c r="K227" s="13">
        <f t="shared" si="17"/>
        <v>0</v>
      </c>
      <c r="L227" s="13">
        <f t="shared" si="18"/>
        <v>0</v>
      </c>
    </row>
    <row r="228" spans="1:14" ht="72" x14ac:dyDescent="0.3">
      <c r="A228" s="2">
        <f>A226+1</f>
        <v>206</v>
      </c>
      <c r="B228" s="17" t="s">
        <v>1014</v>
      </c>
      <c r="C228" s="18" t="s">
        <v>1028</v>
      </c>
      <c r="D228" s="19"/>
      <c r="E228" s="19">
        <v>1</v>
      </c>
      <c r="F228" s="10"/>
      <c r="G228" s="10">
        <f t="shared" si="15"/>
        <v>0</v>
      </c>
      <c r="H228" s="10"/>
      <c r="I228" s="10">
        <f t="shared" si="16"/>
        <v>0</v>
      </c>
      <c r="J228" s="10"/>
      <c r="K228" s="10">
        <f t="shared" si="17"/>
        <v>0</v>
      </c>
      <c r="L228" s="10">
        <f t="shared" si="18"/>
        <v>0</v>
      </c>
    </row>
    <row r="229" spans="1:14" ht="28.8" x14ac:dyDescent="0.3">
      <c r="A229" s="2">
        <f>A228+1</f>
        <v>207</v>
      </c>
      <c r="B229" s="17" t="s">
        <v>810</v>
      </c>
      <c r="C229" s="18" t="s">
        <v>72</v>
      </c>
      <c r="D229" s="19"/>
      <c r="E229" s="19">
        <v>1</v>
      </c>
      <c r="F229" s="10"/>
      <c r="G229" s="10">
        <f t="shared" si="15"/>
        <v>0</v>
      </c>
      <c r="H229" s="10"/>
      <c r="I229" s="10">
        <f t="shared" si="16"/>
        <v>0</v>
      </c>
      <c r="J229" s="10"/>
      <c r="K229" s="10">
        <f t="shared" si="17"/>
        <v>0</v>
      </c>
      <c r="L229" s="10">
        <f t="shared" si="18"/>
        <v>0</v>
      </c>
    </row>
    <row r="230" spans="1:14" x14ac:dyDescent="0.3">
      <c r="A230" s="2">
        <f t="shared" ref="A230:A242" si="20">A229+1</f>
        <v>208</v>
      </c>
      <c r="B230" s="17" t="s">
        <v>811</v>
      </c>
      <c r="C230" s="18" t="s">
        <v>72</v>
      </c>
      <c r="D230" s="19"/>
      <c r="E230" s="19">
        <v>1</v>
      </c>
      <c r="F230" s="10"/>
      <c r="G230" s="10">
        <f t="shared" si="15"/>
        <v>0</v>
      </c>
      <c r="H230" s="10"/>
      <c r="I230" s="10">
        <f t="shared" si="16"/>
        <v>0</v>
      </c>
      <c r="J230" s="10"/>
      <c r="K230" s="10">
        <f t="shared" si="17"/>
        <v>0</v>
      </c>
      <c r="L230" s="10">
        <f t="shared" si="18"/>
        <v>0</v>
      </c>
    </row>
    <row r="231" spans="1:14" x14ac:dyDescent="0.3">
      <c r="A231" s="2">
        <f t="shared" si="20"/>
        <v>209</v>
      </c>
      <c r="B231" s="17" t="s">
        <v>812</v>
      </c>
      <c r="C231" s="18" t="s">
        <v>1028</v>
      </c>
      <c r="D231" s="19"/>
      <c r="E231" s="19">
        <v>2</v>
      </c>
      <c r="F231" s="10"/>
      <c r="G231" s="10">
        <f t="shared" si="15"/>
        <v>0</v>
      </c>
      <c r="H231" s="10"/>
      <c r="I231" s="10">
        <f t="shared" si="16"/>
        <v>0</v>
      </c>
      <c r="J231" s="10"/>
      <c r="K231" s="10">
        <f t="shared" si="17"/>
        <v>0</v>
      </c>
      <c r="L231" s="10">
        <f t="shared" si="18"/>
        <v>0</v>
      </c>
    </row>
    <row r="232" spans="1:14" ht="28.8" x14ac:dyDescent="0.3">
      <c r="A232" s="2">
        <f t="shared" si="20"/>
        <v>210</v>
      </c>
      <c r="B232" s="17" t="s">
        <v>979</v>
      </c>
      <c r="C232" s="18" t="s">
        <v>72</v>
      </c>
      <c r="D232" s="19"/>
      <c r="E232" s="19">
        <v>1</v>
      </c>
      <c r="F232" s="10"/>
      <c r="G232" s="10">
        <f t="shared" si="15"/>
        <v>0</v>
      </c>
      <c r="H232" s="10"/>
      <c r="I232" s="10">
        <f t="shared" si="16"/>
        <v>0</v>
      </c>
      <c r="J232" s="10"/>
      <c r="K232" s="10">
        <f t="shared" si="17"/>
        <v>0</v>
      </c>
      <c r="L232" s="10">
        <f t="shared" si="18"/>
        <v>0</v>
      </c>
    </row>
    <row r="233" spans="1:14" ht="28.8" x14ac:dyDescent="0.3">
      <c r="A233" s="2">
        <f t="shared" si="20"/>
        <v>211</v>
      </c>
      <c r="B233" s="17" t="s">
        <v>980</v>
      </c>
      <c r="C233" s="18" t="s">
        <v>72</v>
      </c>
      <c r="D233" s="19"/>
      <c r="E233" s="19">
        <v>1</v>
      </c>
      <c r="F233" s="10"/>
      <c r="G233" s="10">
        <f t="shared" si="15"/>
        <v>0</v>
      </c>
      <c r="H233" s="10"/>
      <c r="I233" s="10">
        <f t="shared" si="16"/>
        <v>0</v>
      </c>
      <c r="J233" s="10"/>
      <c r="K233" s="10">
        <f t="shared" si="17"/>
        <v>0</v>
      </c>
      <c r="L233" s="10">
        <f t="shared" si="18"/>
        <v>0</v>
      </c>
    </row>
    <row r="234" spans="1:14" x14ac:dyDescent="0.3">
      <c r="A234" s="2">
        <f t="shared" si="20"/>
        <v>212</v>
      </c>
      <c r="B234" s="17" t="s">
        <v>832</v>
      </c>
      <c r="C234" s="18" t="s">
        <v>72</v>
      </c>
      <c r="D234" s="19"/>
      <c r="E234" s="19">
        <v>1</v>
      </c>
      <c r="F234" s="10"/>
      <c r="G234" s="10">
        <f t="shared" si="15"/>
        <v>0</v>
      </c>
      <c r="H234" s="10"/>
      <c r="I234" s="10">
        <f t="shared" si="16"/>
        <v>0</v>
      </c>
      <c r="J234" s="10"/>
      <c r="K234" s="10">
        <f t="shared" si="17"/>
        <v>0</v>
      </c>
      <c r="L234" s="10">
        <f t="shared" si="18"/>
        <v>0</v>
      </c>
    </row>
    <row r="235" spans="1:14" ht="28.8" x14ac:dyDescent="0.3">
      <c r="A235" s="2">
        <f t="shared" si="20"/>
        <v>213</v>
      </c>
      <c r="B235" s="17" t="s">
        <v>833</v>
      </c>
      <c r="C235" s="18" t="s">
        <v>72</v>
      </c>
      <c r="D235" s="19"/>
      <c r="E235" s="19">
        <v>1</v>
      </c>
      <c r="F235" s="10"/>
      <c r="G235" s="10">
        <f t="shared" si="15"/>
        <v>0</v>
      </c>
      <c r="H235" s="10"/>
      <c r="I235" s="10">
        <f t="shared" si="16"/>
        <v>0</v>
      </c>
      <c r="J235" s="10"/>
      <c r="K235" s="10">
        <f t="shared" si="17"/>
        <v>0</v>
      </c>
      <c r="L235" s="10">
        <f t="shared" si="18"/>
        <v>0</v>
      </c>
    </row>
    <row r="236" spans="1:14" ht="28.8" x14ac:dyDescent="0.3">
      <c r="A236" s="2">
        <f t="shared" si="20"/>
        <v>214</v>
      </c>
      <c r="B236" s="17" t="s">
        <v>834</v>
      </c>
      <c r="C236" s="18" t="s">
        <v>72</v>
      </c>
      <c r="D236" s="19"/>
      <c r="E236" s="19">
        <v>1</v>
      </c>
      <c r="F236" s="10"/>
      <c r="G236" s="10">
        <f t="shared" si="15"/>
        <v>0</v>
      </c>
      <c r="H236" s="10"/>
      <c r="I236" s="10">
        <f t="shared" si="16"/>
        <v>0</v>
      </c>
      <c r="J236" s="10"/>
      <c r="K236" s="10">
        <f t="shared" si="17"/>
        <v>0</v>
      </c>
      <c r="L236" s="10">
        <f t="shared" si="18"/>
        <v>0</v>
      </c>
    </row>
    <row r="237" spans="1:14" x14ac:dyDescent="0.3">
      <c r="A237" s="2">
        <f t="shared" si="20"/>
        <v>215</v>
      </c>
      <c r="B237" s="17" t="s">
        <v>835</v>
      </c>
      <c r="C237" s="18" t="s">
        <v>72</v>
      </c>
      <c r="D237" s="19"/>
      <c r="E237" s="19">
        <v>1</v>
      </c>
      <c r="F237" s="10"/>
      <c r="G237" s="10">
        <f t="shared" si="15"/>
        <v>0</v>
      </c>
      <c r="H237" s="10"/>
      <c r="I237" s="10">
        <f t="shared" si="16"/>
        <v>0</v>
      </c>
      <c r="J237" s="10"/>
      <c r="K237" s="10">
        <f t="shared" si="17"/>
        <v>0</v>
      </c>
      <c r="L237" s="10">
        <f t="shared" si="18"/>
        <v>0</v>
      </c>
    </row>
    <row r="238" spans="1:14" x14ac:dyDescent="0.3">
      <c r="A238" s="2">
        <f t="shared" si="20"/>
        <v>216</v>
      </c>
      <c r="B238" s="17" t="s">
        <v>836</v>
      </c>
      <c r="C238" s="18" t="s">
        <v>72</v>
      </c>
      <c r="D238" s="19"/>
      <c r="E238" s="19">
        <v>2</v>
      </c>
      <c r="F238" s="10"/>
      <c r="G238" s="10">
        <f t="shared" si="15"/>
        <v>0</v>
      </c>
      <c r="H238" s="10"/>
      <c r="I238" s="10">
        <f t="shared" si="16"/>
        <v>0</v>
      </c>
      <c r="J238" s="10"/>
      <c r="K238" s="10">
        <f t="shared" si="17"/>
        <v>0</v>
      </c>
      <c r="L238" s="10">
        <f t="shared" si="18"/>
        <v>0</v>
      </c>
    </row>
    <row r="239" spans="1:14" x14ac:dyDescent="0.3">
      <c r="A239" s="2">
        <f t="shared" si="20"/>
        <v>217</v>
      </c>
      <c r="B239" s="17" t="s">
        <v>795</v>
      </c>
      <c r="C239" s="18" t="s">
        <v>72</v>
      </c>
      <c r="D239" s="27"/>
      <c r="E239" s="19">
        <v>2</v>
      </c>
      <c r="F239" s="10"/>
      <c r="G239" s="10">
        <f t="shared" si="15"/>
        <v>0</v>
      </c>
      <c r="H239" s="10"/>
      <c r="I239" s="10">
        <f t="shared" si="16"/>
        <v>0</v>
      </c>
      <c r="J239" s="10"/>
      <c r="K239" s="10">
        <f t="shared" si="17"/>
        <v>0</v>
      </c>
      <c r="L239" s="10">
        <f t="shared" si="18"/>
        <v>0</v>
      </c>
    </row>
    <row r="240" spans="1:14" x14ac:dyDescent="0.3">
      <c r="A240" s="2">
        <f t="shared" si="20"/>
        <v>218</v>
      </c>
      <c r="B240" s="17" t="s">
        <v>818</v>
      </c>
      <c r="C240" s="18" t="s">
        <v>72</v>
      </c>
      <c r="D240" s="19"/>
      <c r="E240" s="19">
        <v>2</v>
      </c>
      <c r="F240" s="10"/>
      <c r="G240" s="10">
        <f t="shared" si="15"/>
        <v>0</v>
      </c>
      <c r="H240" s="10"/>
      <c r="I240" s="10">
        <f t="shared" si="16"/>
        <v>0</v>
      </c>
      <c r="J240" s="10"/>
      <c r="K240" s="10">
        <f t="shared" si="17"/>
        <v>0</v>
      </c>
      <c r="L240" s="10">
        <f t="shared" si="18"/>
        <v>0</v>
      </c>
      <c r="N240" s="9"/>
    </row>
    <row r="241" spans="1:12" x14ac:dyDescent="0.3">
      <c r="A241" s="2">
        <f t="shared" si="20"/>
        <v>219</v>
      </c>
      <c r="B241" s="17" t="s">
        <v>819</v>
      </c>
      <c r="C241" s="18" t="s">
        <v>72</v>
      </c>
      <c r="D241" s="27"/>
      <c r="E241" s="19">
        <v>2</v>
      </c>
      <c r="F241" s="10"/>
      <c r="G241" s="10">
        <f t="shared" si="15"/>
        <v>0</v>
      </c>
      <c r="H241" s="10"/>
      <c r="I241" s="10">
        <f t="shared" si="16"/>
        <v>0</v>
      </c>
      <c r="J241" s="10"/>
      <c r="K241" s="10">
        <f t="shared" si="17"/>
        <v>0</v>
      </c>
      <c r="L241" s="10">
        <f t="shared" si="18"/>
        <v>0</v>
      </c>
    </row>
    <row r="242" spans="1:12" x14ac:dyDescent="0.3">
      <c r="A242" s="2">
        <f t="shared" si="20"/>
        <v>220</v>
      </c>
      <c r="B242" s="17" t="s">
        <v>837</v>
      </c>
      <c r="C242" s="18" t="s">
        <v>72</v>
      </c>
      <c r="D242" s="27"/>
      <c r="E242" s="19">
        <v>2</v>
      </c>
      <c r="F242" s="10"/>
      <c r="G242" s="10">
        <f t="shared" si="15"/>
        <v>0</v>
      </c>
      <c r="H242" s="10"/>
      <c r="I242" s="10">
        <f t="shared" si="16"/>
        <v>0</v>
      </c>
      <c r="J242" s="10"/>
      <c r="K242" s="10">
        <f t="shared" si="17"/>
        <v>0</v>
      </c>
      <c r="L242" s="10">
        <f t="shared" si="18"/>
        <v>0</v>
      </c>
    </row>
    <row r="243" spans="1:12" x14ac:dyDescent="0.3">
      <c r="A243" s="11"/>
      <c r="B243" s="11" t="s">
        <v>838</v>
      </c>
      <c r="C243" s="4"/>
      <c r="D243" s="12"/>
      <c r="E243" s="12"/>
      <c r="F243" s="13"/>
      <c r="G243" s="13">
        <f t="shared" si="15"/>
        <v>0</v>
      </c>
      <c r="H243" s="13"/>
      <c r="I243" s="13">
        <f t="shared" si="16"/>
        <v>0</v>
      </c>
      <c r="J243" s="13"/>
      <c r="K243" s="13">
        <f t="shared" si="17"/>
        <v>0</v>
      </c>
      <c r="L243" s="13">
        <f t="shared" si="18"/>
        <v>0</v>
      </c>
    </row>
    <row r="244" spans="1:12" ht="72" x14ac:dyDescent="0.3">
      <c r="A244" s="2">
        <f>A242+1</f>
        <v>221</v>
      </c>
      <c r="B244" s="17" t="s">
        <v>1005</v>
      </c>
      <c r="C244" s="18" t="s">
        <v>1028</v>
      </c>
      <c r="D244" s="19"/>
      <c r="E244" s="19">
        <v>1</v>
      </c>
      <c r="F244" s="10"/>
      <c r="G244" s="10">
        <f t="shared" si="15"/>
        <v>0</v>
      </c>
      <c r="H244" s="10"/>
      <c r="I244" s="10">
        <f t="shared" si="16"/>
        <v>0</v>
      </c>
      <c r="J244" s="10"/>
      <c r="K244" s="10">
        <f t="shared" si="17"/>
        <v>0</v>
      </c>
      <c r="L244" s="10">
        <f t="shared" si="18"/>
        <v>0</v>
      </c>
    </row>
    <row r="245" spans="1:12" ht="28.8" x14ac:dyDescent="0.3">
      <c r="A245" s="2">
        <f>A244+1</f>
        <v>222</v>
      </c>
      <c r="B245" s="17" t="s">
        <v>810</v>
      </c>
      <c r="C245" s="18" t="s">
        <v>72</v>
      </c>
      <c r="D245" s="19"/>
      <c r="E245" s="19">
        <v>1</v>
      </c>
      <c r="F245" s="10"/>
      <c r="G245" s="10">
        <f t="shared" si="15"/>
        <v>0</v>
      </c>
      <c r="H245" s="10"/>
      <c r="I245" s="10">
        <f t="shared" si="16"/>
        <v>0</v>
      </c>
      <c r="J245" s="10"/>
      <c r="K245" s="10">
        <f t="shared" si="17"/>
        <v>0</v>
      </c>
      <c r="L245" s="10">
        <f t="shared" si="18"/>
        <v>0</v>
      </c>
    </row>
    <row r="246" spans="1:12" x14ac:dyDescent="0.3">
      <c r="A246" s="2">
        <f t="shared" ref="A246:A258" si="21">A245+1</f>
        <v>223</v>
      </c>
      <c r="B246" s="17" t="s">
        <v>811</v>
      </c>
      <c r="C246" s="18" t="s">
        <v>72</v>
      </c>
      <c r="D246" s="19"/>
      <c r="E246" s="19">
        <v>1</v>
      </c>
      <c r="F246" s="10"/>
      <c r="G246" s="10">
        <f t="shared" si="15"/>
        <v>0</v>
      </c>
      <c r="H246" s="10"/>
      <c r="I246" s="10">
        <f t="shared" si="16"/>
        <v>0</v>
      </c>
      <c r="J246" s="10"/>
      <c r="K246" s="10">
        <f t="shared" si="17"/>
        <v>0</v>
      </c>
      <c r="L246" s="10">
        <f t="shared" si="18"/>
        <v>0</v>
      </c>
    </row>
    <row r="247" spans="1:12" x14ac:dyDescent="0.3">
      <c r="A247" s="2">
        <f t="shared" si="21"/>
        <v>224</v>
      </c>
      <c r="B247" s="17" t="s">
        <v>812</v>
      </c>
      <c r="C247" s="18" t="s">
        <v>1028</v>
      </c>
      <c r="D247" s="19"/>
      <c r="E247" s="19">
        <v>2</v>
      </c>
      <c r="F247" s="10"/>
      <c r="G247" s="10">
        <f t="shared" si="15"/>
        <v>0</v>
      </c>
      <c r="H247" s="10"/>
      <c r="I247" s="10">
        <f t="shared" si="16"/>
        <v>0</v>
      </c>
      <c r="J247" s="10"/>
      <c r="K247" s="10">
        <f t="shared" si="17"/>
        <v>0</v>
      </c>
      <c r="L247" s="10">
        <f t="shared" si="18"/>
        <v>0</v>
      </c>
    </row>
    <row r="248" spans="1:12" ht="28.8" x14ac:dyDescent="0.3">
      <c r="A248" s="2">
        <f t="shared" si="21"/>
        <v>225</v>
      </c>
      <c r="B248" s="17" t="s">
        <v>981</v>
      </c>
      <c r="C248" s="18" t="s">
        <v>72</v>
      </c>
      <c r="D248" s="19"/>
      <c r="E248" s="19">
        <v>1</v>
      </c>
      <c r="F248" s="10"/>
      <c r="G248" s="10">
        <f t="shared" si="15"/>
        <v>0</v>
      </c>
      <c r="H248" s="10"/>
      <c r="I248" s="10">
        <f t="shared" si="16"/>
        <v>0</v>
      </c>
      <c r="J248" s="10"/>
      <c r="K248" s="10">
        <f t="shared" si="17"/>
        <v>0</v>
      </c>
      <c r="L248" s="10">
        <f t="shared" si="18"/>
        <v>0</v>
      </c>
    </row>
    <row r="249" spans="1:12" ht="28.8" x14ac:dyDescent="0.3">
      <c r="A249" s="2">
        <f t="shared" si="21"/>
        <v>226</v>
      </c>
      <c r="B249" s="17" t="s">
        <v>982</v>
      </c>
      <c r="C249" s="18" t="s">
        <v>72</v>
      </c>
      <c r="D249" s="19"/>
      <c r="E249" s="19">
        <v>1</v>
      </c>
      <c r="F249" s="10"/>
      <c r="G249" s="10">
        <f t="shared" si="15"/>
        <v>0</v>
      </c>
      <c r="H249" s="10"/>
      <c r="I249" s="10">
        <f t="shared" si="16"/>
        <v>0</v>
      </c>
      <c r="J249" s="10"/>
      <c r="K249" s="10">
        <f t="shared" si="17"/>
        <v>0</v>
      </c>
      <c r="L249" s="10">
        <f t="shared" si="18"/>
        <v>0</v>
      </c>
    </row>
    <row r="250" spans="1:12" x14ac:dyDescent="0.3">
      <c r="A250" s="2">
        <f t="shared" si="21"/>
        <v>227</v>
      </c>
      <c r="B250" s="17" t="s">
        <v>832</v>
      </c>
      <c r="C250" s="18" t="s">
        <v>72</v>
      </c>
      <c r="D250" s="19"/>
      <c r="E250" s="19">
        <v>1</v>
      </c>
      <c r="F250" s="10"/>
      <c r="G250" s="10">
        <f t="shared" si="15"/>
        <v>0</v>
      </c>
      <c r="H250" s="10"/>
      <c r="I250" s="10">
        <f t="shared" si="16"/>
        <v>0</v>
      </c>
      <c r="J250" s="10"/>
      <c r="K250" s="10">
        <f t="shared" si="17"/>
        <v>0</v>
      </c>
      <c r="L250" s="10">
        <f t="shared" si="18"/>
        <v>0</v>
      </c>
    </row>
    <row r="251" spans="1:12" ht="28.8" x14ac:dyDescent="0.3">
      <c r="A251" s="2">
        <f t="shared" si="21"/>
        <v>228</v>
      </c>
      <c r="B251" s="17" t="s">
        <v>839</v>
      </c>
      <c r="C251" s="18" t="s">
        <v>72</v>
      </c>
      <c r="D251" s="19"/>
      <c r="E251" s="19">
        <v>1</v>
      </c>
      <c r="F251" s="10"/>
      <c r="G251" s="10">
        <f t="shared" si="15"/>
        <v>0</v>
      </c>
      <c r="H251" s="10"/>
      <c r="I251" s="10">
        <f t="shared" si="16"/>
        <v>0</v>
      </c>
      <c r="J251" s="10"/>
      <c r="K251" s="10">
        <f t="shared" si="17"/>
        <v>0</v>
      </c>
      <c r="L251" s="10">
        <f t="shared" si="18"/>
        <v>0</v>
      </c>
    </row>
    <row r="252" spans="1:12" ht="28.8" x14ac:dyDescent="0.3">
      <c r="A252" s="2">
        <f t="shared" si="21"/>
        <v>229</v>
      </c>
      <c r="B252" s="17" t="s">
        <v>840</v>
      </c>
      <c r="C252" s="18" t="s">
        <v>72</v>
      </c>
      <c r="D252" s="19"/>
      <c r="E252" s="19">
        <v>1</v>
      </c>
      <c r="F252" s="10"/>
      <c r="G252" s="10">
        <f t="shared" si="15"/>
        <v>0</v>
      </c>
      <c r="H252" s="10"/>
      <c r="I252" s="10">
        <f t="shared" si="16"/>
        <v>0</v>
      </c>
      <c r="J252" s="10"/>
      <c r="K252" s="10">
        <f t="shared" si="17"/>
        <v>0</v>
      </c>
      <c r="L252" s="10">
        <f t="shared" si="18"/>
        <v>0</v>
      </c>
    </row>
    <row r="253" spans="1:12" x14ac:dyDescent="0.3">
      <c r="A253" s="2">
        <f t="shared" si="21"/>
        <v>230</v>
      </c>
      <c r="B253" s="17" t="s">
        <v>835</v>
      </c>
      <c r="C253" s="18" t="s">
        <v>72</v>
      </c>
      <c r="D253" s="19"/>
      <c r="E253" s="19">
        <v>1</v>
      </c>
      <c r="F253" s="10"/>
      <c r="G253" s="10">
        <f t="shared" si="15"/>
        <v>0</v>
      </c>
      <c r="H253" s="10"/>
      <c r="I253" s="10">
        <f t="shared" si="16"/>
        <v>0</v>
      </c>
      <c r="J253" s="10"/>
      <c r="K253" s="10">
        <f t="shared" si="17"/>
        <v>0</v>
      </c>
      <c r="L253" s="10">
        <f t="shared" si="18"/>
        <v>0</v>
      </c>
    </row>
    <row r="254" spans="1:12" x14ac:dyDescent="0.3">
      <c r="A254" s="2">
        <f t="shared" si="21"/>
        <v>231</v>
      </c>
      <c r="B254" s="17" t="s">
        <v>836</v>
      </c>
      <c r="C254" s="18" t="s">
        <v>72</v>
      </c>
      <c r="D254" s="19"/>
      <c r="E254" s="19">
        <v>2</v>
      </c>
      <c r="F254" s="10"/>
      <c r="G254" s="10">
        <f t="shared" si="15"/>
        <v>0</v>
      </c>
      <c r="H254" s="10"/>
      <c r="I254" s="10">
        <f t="shared" si="16"/>
        <v>0</v>
      </c>
      <c r="J254" s="10"/>
      <c r="K254" s="10">
        <f t="shared" si="17"/>
        <v>0</v>
      </c>
      <c r="L254" s="10">
        <f t="shared" si="18"/>
        <v>0</v>
      </c>
    </row>
    <row r="255" spans="1:12" x14ac:dyDescent="0.3">
      <c r="A255" s="2">
        <f t="shared" si="21"/>
        <v>232</v>
      </c>
      <c r="B255" s="17" t="s">
        <v>795</v>
      </c>
      <c r="C255" s="18" t="s">
        <v>72</v>
      </c>
      <c r="D255" s="19"/>
      <c r="E255" s="19">
        <v>2</v>
      </c>
      <c r="F255" s="10"/>
      <c r="G255" s="10">
        <f t="shared" si="15"/>
        <v>0</v>
      </c>
      <c r="H255" s="10"/>
      <c r="I255" s="10">
        <f t="shared" si="16"/>
        <v>0</v>
      </c>
      <c r="J255" s="10"/>
      <c r="K255" s="10">
        <f t="shared" si="17"/>
        <v>0</v>
      </c>
      <c r="L255" s="10">
        <f t="shared" si="18"/>
        <v>0</v>
      </c>
    </row>
    <row r="256" spans="1:12" x14ac:dyDescent="0.3">
      <c r="A256" s="2">
        <f t="shared" si="21"/>
        <v>233</v>
      </c>
      <c r="B256" s="17" t="s">
        <v>818</v>
      </c>
      <c r="C256" s="18" t="s">
        <v>72</v>
      </c>
      <c r="D256" s="19"/>
      <c r="E256" s="19">
        <v>2</v>
      </c>
      <c r="F256" s="10"/>
      <c r="G256" s="10">
        <f t="shared" si="15"/>
        <v>0</v>
      </c>
      <c r="H256" s="10"/>
      <c r="I256" s="10">
        <f t="shared" si="16"/>
        <v>0</v>
      </c>
      <c r="J256" s="10"/>
      <c r="K256" s="10">
        <f t="shared" si="17"/>
        <v>0</v>
      </c>
      <c r="L256" s="10">
        <f t="shared" si="18"/>
        <v>0</v>
      </c>
    </row>
    <row r="257" spans="1:14" x14ac:dyDescent="0.3">
      <c r="A257" s="2">
        <f t="shared" si="21"/>
        <v>234</v>
      </c>
      <c r="B257" s="17" t="s">
        <v>819</v>
      </c>
      <c r="C257" s="18" t="s">
        <v>72</v>
      </c>
      <c r="D257" s="19"/>
      <c r="E257" s="19">
        <v>2</v>
      </c>
      <c r="F257" s="10"/>
      <c r="G257" s="10">
        <f t="shared" si="15"/>
        <v>0</v>
      </c>
      <c r="H257" s="10"/>
      <c r="I257" s="10">
        <f t="shared" si="16"/>
        <v>0</v>
      </c>
      <c r="J257" s="10"/>
      <c r="K257" s="10">
        <f t="shared" si="17"/>
        <v>0</v>
      </c>
      <c r="L257" s="10">
        <f t="shared" si="18"/>
        <v>0</v>
      </c>
    </row>
    <row r="258" spans="1:14" x14ac:dyDescent="0.3">
      <c r="A258" s="2">
        <f t="shared" si="21"/>
        <v>235</v>
      </c>
      <c r="B258" s="17" t="s">
        <v>841</v>
      </c>
      <c r="C258" s="18" t="s">
        <v>72</v>
      </c>
      <c r="D258" s="19"/>
      <c r="E258" s="19">
        <v>2</v>
      </c>
      <c r="F258" s="10"/>
      <c r="G258" s="10">
        <f t="shared" si="15"/>
        <v>0</v>
      </c>
      <c r="H258" s="10"/>
      <c r="I258" s="10">
        <f t="shared" si="16"/>
        <v>0</v>
      </c>
      <c r="J258" s="10"/>
      <c r="K258" s="10">
        <f t="shared" si="17"/>
        <v>0</v>
      </c>
      <c r="L258" s="10">
        <f t="shared" si="18"/>
        <v>0</v>
      </c>
    </row>
    <row r="259" spans="1:14" x14ac:dyDescent="0.3">
      <c r="A259" s="11"/>
      <c r="B259" s="11" t="s">
        <v>842</v>
      </c>
      <c r="C259" s="4"/>
      <c r="D259" s="12"/>
      <c r="E259" s="12"/>
      <c r="F259" s="13"/>
      <c r="G259" s="13">
        <f t="shared" si="15"/>
        <v>0</v>
      </c>
      <c r="H259" s="13"/>
      <c r="I259" s="13">
        <f t="shared" si="16"/>
        <v>0</v>
      </c>
      <c r="J259" s="13"/>
      <c r="K259" s="13">
        <f t="shared" si="17"/>
        <v>0</v>
      </c>
      <c r="L259" s="13">
        <f t="shared" si="18"/>
        <v>0</v>
      </c>
    </row>
    <row r="260" spans="1:14" ht="72" x14ac:dyDescent="0.3">
      <c r="A260" s="2">
        <f>A258+1</f>
        <v>236</v>
      </c>
      <c r="B260" s="17" t="s">
        <v>1004</v>
      </c>
      <c r="C260" s="18" t="s">
        <v>1028</v>
      </c>
      <c r="D260" s="19"/>
      <c r="E260" s="19">
        <v>1</v>
      </c>
      <c r="F260" s="10"/>
      <c r="G260" s="10">
        <f t="shared" si="15"/>
        <v>0</v>
      </c>
      <c r="H260" s="10"/>
      <c r="I260" s="10">
        <f t="shared" si="16"/>
        <v>0</v>
      </c>
      <c r="J260" s="10"/>
      <c r="K260" s="10">
        <f t="shared" si="17"/>
        <v>0</v>
      </c>
      <c r="L260" s="10">
        <f t="shared" si="18"/>
        <v>0</v>
      </c>
    </row>
    <row r="261" spans="1:14" ht="28.8" x14ac:dyDescent="0.3">
      <c r="A261" s="2">
        <f>A260+1</f>
        <v>237</v>
      </c>
      <c r="B261" s="17" t="s">
        <v>810</v>
      </c>
      <c r="C261" s="18" t="s">
        <v>72</v>
      </c>
      <c r="D261" s="19"/>
      <c r="E261" s="19">
        <v>1</v>
      </c>
      <c r="F261" s="10"/>
      <c r="G261" s="10">
        <f t="shared" si="15"/>
        <v>0</v>
      </c>
      <c r="H261" s="10"/>
      <c r="I261" s="10">
        <f t="shared" si="16"/>
        <v>0</v>
      </c>
      <c r="J261" s="10"/>
      <c r="K261" s="10">
        <f t="shared" si="17"/>
        <v>0</v>
      </c>
      <c r="L261" s="10">
        <f t="shared" si="18"/>
        <v>0</v>
      </c>
    </row>
    <row r="262" spans="1:14" x14ac:dyDescent="0.3">
      <c r="A262" s="2">
        <f t="shared" ref="A262:A274" si="22">A261+1</f>
        <v>238</v>
      </c>
      <c r="B262" s="17" t="s">
        <v>811</v>
      </c>
      <c r="C262" s="18" t="s">
        <v>72</v>
      </c>
      <c r="D262" s="19"/>
      <c r="E262" s="19">
        <v>1</v>
      </c>
      <c r="F262" s="10"/>
      <c r="G262" s="10">
        <f t="shared" si="15"/>
        <v>0</v>
      </c>
      <c r="H262" s="10"/>
      <c r="I262" s="10">
        <f t="shared" si="16"/>
        <v>0</v>
      </c>
      <c r="J262" s="10"/>
      <c r="K262" s="10">
        <f t="shared" si="17"/>
        <v>0</v>
      </c>
      <c r="L262" s="10">
        <f t="shared" si="18"/>
        <v>0</v>
      </c>
    </row>
    <row r="263" spans="1:14" x14ac:dyDescent="0.3">
      <c r="A263" s="2">
        <f t="shared" si="22"/>
        <v>239</v>
      </c>
      <c r="B263" s="17" t="s">
        <v>812</v>
      </c>
      <c r="C263" s="18" t="s">
        <v>1028</v>
      </c>
      <c r="D263" s="19"/>
      <c r="E263" s="19">
        <v>2</v>
      </c>
      <c r="F263" s="10"/>
      <c r="G263" s="10">
        <f t="shared" si="15"/>
        <v>0</v>
      </c>
      <c r="H263" s="10"/>
      <c r="I263" s="10">
        <f t="shared" si="16"/>
        <v>0</v>
      </c>
      <c r="J263" s="10"/>
      <c r="K263" s="10">
        <f t="shared" si="17"/>
        <v>0</v>
      </c>
      <c r="L263" s="10">
        <f t="shared" si="18"/>
        <v>0</v>
      </c>
    </row>
    <row r="264" spans="1:14" ht="28.8" x14ac:dyDescent="0.3">
      <c r="A264" s="2">
        <f t="shared" si="22"/>
        <v>240</v>
      </c>
      <c r="B264" s="17" t="s">
        <v>983</v>
      </c>
      <c r="C264" s="18" t="s">
        <v>72</v>
      </c>
      <c r="D264" s="19"/>
      <c r="E264" s="19">
        <v>1</v>
      </c>
      <c r="F264" s="10"/>
      <c r="G264" s="10">
        <f t="shared" si="15"/>
        <v>0</v>
      </c>
      <c r="H264" s="10"/>
      <c r="I264" s="10">
        <f t="shared" si="16"/>
        <v>0</v>
      </c>
      <c r="J264" s="10"/>
      <c r="K264" s="10">
        <f t="shared" si="17"/>
        <v>0</v>
      </c>
      <c r="L264" s="10">
        <f t="shared" si="18"/>
        <v>0</v>
      </c>
    </row>
    <row r="265" spans="1:14" ht="28.8" x14ac:dyDescent="0.3">
      <c r="A265" s="2">
        <f t="shared" si="22"/>
        <v>241</v>
      </c>
      <c r="B265" s="17" t="s">
        <v>984</v>
      </c>
      <c r="C265" s="18" t="s">
        <v>72</v>
      </c>
      <c r="D265" s="27"/>
      <c r="E265" s="19">
        <v>1</v>
      </c>
      <c r="F265" s="10"/>
      <c r="G265" s="10">
        <f t="shared" si="15"/>
        <v>0</v>
      </c>
      <c r="H265" s="10"/>
      <c r="I265" s="10">
        <f t="shared" si="16"/>
        <v>0</v>
      </c>
      <c r="J265" s="10"/>
      <c r="K265" s="10">
        <f t="shared" si="17"/>
        <v>0</v>
      </c>
      <c r="L265" s="10">
        <f t="shared" si="18"/>
        <v>0</v>
      </c>
    </row>
    <row r="266" spans="1:14" x14ac:dyDescent="0.3">
      <c r="A266" s="2">
        <f t="shared" si="22"/>
        <v>242</v>
      </c>
      <c r="B266" s="17" t="s">
        <v>832</v>
      </c>
      <c r="C266" s="18" t="s">
        <v>72</v>
      </c>
      <c r="D266" s="19"/>
      <c r="E266" s="19">
        <v>1</v>
      </c>
      <c r="F266" s="10"/>
      <c r="G266" s="10">
        <f t="shared" si="15"/>
        <v>0</v>
      </c>
      <c r="H266" s="10"/>
      <c r="I266" s="10">
        <f t="shared" si="16"/>
        <v>0</v>
      </c>
      <c r="J266" s="10"/>
      <c r="K266" s="10">
        <f t="shared" si="17"/>
        <v>0</v>
      </c>
      <c r="L266" s="10">
        <f t="shared" si="18"/>
        <v>0</v>
      </c>
      <c r="N266" s="9"/>
    </row>
    <row r="267" spans="1:14" ht="28.8" x14ac:dyDescent="0.3">
      <c r="A267" s="2">
        <f t="shared" si="22"/>
        <v>243</v>
      </c>
      <c r="B267" s="17" t="s">
        <v>843</v>
      </c>
      <c r="C267" s="18" t="s">
        <v>72</v>
      </c>
      <c r="D267" s="27"/>
      <c r="E267" s="19">
        <v>1</v>
      </c>
      <c r="F267" s="10"/>
      <c r="G267" s="10">
        <f t="shared" si="15"/>
        <v>0</v>
      </c>
      <c r="H267" s="10"/>
      <c r="I267" s="10">
        <f t="shared" si="16"/>
        <v>0</v>
      </c>
      <c r="J267" s="10"/>
      <c r="K267" s="10">
        <f t="shared" si="17"/>
        <v>0</v>
      </c>
      <c r="L267" s="10">
        <f t="shared" si="18"/>
        <v>0</v>
      </c>
    </row>
    <row r="268" spans="1:14" ht="28.8" x14ac:dyDescent="0.3">
      <c r="A268" s="2">
        <f t="shared" si="22"/>
        <v>244</v>
      </c>
      <c r="B268" s="17" t="s">
        <v>844</v>
      </c>
      <c r="C268" s="18" t="s">
        <v>72</v>
      </c>
      <c r="D268" s="27"/>
      <c r="E268" s="19">
        <v>1</v>
      </c>
      <c r="F268" s="10"/>
      <c r="G268" s="10">
        <f t="shared" si="15"/>
        <v>0</v>
      </c>
      <c r="H268" s="10"/>
      <c r="I268" s="10">
        <f t="shared" si="16"/>
        <v>0</v>
      </c>
      <c r="J268" s="10"/>
      <c r="K268" s="10">
        <f t="shared" si="17"/>
        <v>0</v>
      </c>
      <c r="L268" s="10">
        <f t="shared" si="18"/>
        <v>0</v>
      </c>
    </row>
    <row r="269" spans="1:14" x14ac:dyDescent="0.3">
      <c r="A269" s="2">
        <f t="shared" si="22"/>
        <v>245</v>
      </c>
      <c r="B269" s="17" t="s">
        <v>835</v>
      </c>
      <c r="C269" s="18" t="s">
        <v>72</v>
      </c>
      <c r="D269" s="27"/>
      <c r="E269" s="19">
        <v>1</v>
      </c>
      <c r="F269" s="10"/>
      <c r="G269" s="10">
        <f t="shared" si="15"/>
        <v>0</v>
      </c>
      <c r="H269" s="10"/>
      <c r="I269" s="10">
        <f t="shared" si="16"/>
        <v>0</v>
      </c>
      <c r="J269" s="10"/>
      <c r="K269" s="10">
        <f t="shared" si="17"/>
        <v>0</v>
      </c>
      <c r="L269" s="10">
        <f t="shared" si="18"/>
        <v>0</v>
      </c>
    </row>
    <row r="270" spans="1:14" x14ac:dyDescent="0.3">
      <c r="A270" s="2">
        <f t="shared" si="22"/>
        <v>246</v>
      </c>
      <c r="B270" s="17" t="s">
        <v>836</v>
      </c>
      <c r="C270" s="18" t="s">
        <v>72</v>
      </c>
      <c r="D270" s="19"/>
      <c r="E270" s="19">
        <v>2</v>
      </c>
      <c r="F270" s="10"/>
      <c r="G270" s="10">
        <f t="shared" si="15"/>
        <v>0</v>
      </c>
      <c r="H270" s="10"/>
      <c r="I270" s="10">
        <f t="shared" si="16"/>
        <v>0</v>
      </c>
      <c r="J270" s="10"/>
      <c r="K270" s="10">
        <f t="shared" si="17"/>
        <v>0</v>
      </c>
      <c r="L270" s="10">
        <f t="shared" si="18"/>
        <v>0</v>
      </c>
    </row>
    <row r="271" spans="1:14" x14ac:dyDescent="0.3">
      <c r="A271" s="2">
        <f t="shared" si="22"/>
        <v>247</v>
      </c>
      <c r="B271" s="17" t="s">
        <v>795</v>
      </c>
      <c r="C271" s="18" t="s">
        <v>72</v>
      </c>
      <c r="D271" s="19"/>
      <c r="E271" s="19">
        <v>2</v>
      </c>
      <c r="F271" s="10"/>
      <c r="G271" s="10">
        <f t="shared" si="15"/>
        <v>0</v>
      </c>
      <c r="H271" s="10"/>
      <c r="I271" s="10">
        <f t="shared" si="16"/>
        <v>0</v>
      </c>
      <c r="J271" s="10"/>
      <c r="K271" s="10">
        <f t="shared" si="17"/>
        <v>0</v>
      </c>
      <c r="L271" s="10">
        <f t="shared" si="18"/>
        <v>0</v>
      </c>
    </row>
    <row r="272" spans="1:14" x14ac:dyDescent="0.3">
      <c r="A272" s="2">
        <f t="shared" si="22"/>
        <v>248</v>
      </c>
      <c r="B272" s="17" t="s">
        <v>818</v>
      </c>
      <c r="C272" s="18" t="s">
        <v>72</v>
      </c>
      <c r="D272" s="19"/>
      <c r="E272" s="19">
        <v>2</v>
      </c>
      <c r="F272" s="10"/>
      <c r="G272" s="10">
        <f t="shared" si="15"/>
        <v>0</v>
      </c>
      <c r="H272" s="10"/>
      <c r="I272" s="10">
        <f t="shared" si="16"/>
        <v>0</v>
      </c>
      <c r="J272" s="10"/>
      <c r="K272" s="10">
        <f t="shared" si="17"/>
        <v>0</v>
      </c>
      <c r="L272" s="10">
        <f t="shared" si="18"/>
        <v>0</v>
      </c>
    </row>
    <row r="273" spans="1:12" x14ac:dyDescent="0.3">
      <c r="A273" s="2">
        <f t="shared" si="22"/>
        <v>249</v>
      </c>
      <c r="B273" s="17" t="s">
        <v>819</v>
      </c>
      <c r="C273" s="18" t="s">
        <v>72</v>
      </c>
      <c r="D273" s="19"/>
      <c r="E273" s="19">
        <v>2</v>
      </c>
      <c r="F273" s="10"/>
      <c r="G273" s="10">
        <f t="shared" si="15"/>
        <v>0</v>
      </c>
      <c r="H273" s="10"/>
      <c r="I273" s="10">
        <f t="shared" si="16"/>
        <v>0</v>
      </c>
      <c r="J273" s="10"/>
      <c r="K273" s="10">
        <f t="shared" si="17"/>
        <v>0</v>
      </c>
      <c r="L273" s="10">
        <f t="shared" si="18"/>
        <v>0</v>
      </c>
    </row>
    <row r="274" spans="1:12" x14ac:dyDescent="0.3">
      <c r="A274" s="2">
        <f t="shared" si="22"/>
        <v>250</v>
      </c>
      <c r="B274" s="17" t="s">
        <v>845</v>
      </c>
      <c r="C274" s="18" t="s">
        <v>72</v>
      </c>
      <c r="D274" s="19"/>
      <c r="E274" s="19">
        <v>2</v>
      </c>
      <c r="F274" s="10"/>
      <c r="G274" s="10">
        <f t="shared" si="15"/>
        <v>0</v>
      </c>
      <c r="H274" s="10"/>
      <c r="I274" s="10">
        <f t="shared" si="16"/>
        <v>0</v>
      </c>
      <c r="J274" s="10"/>
      <c r="K274" s="10">
        <f t="shared" si="17"/>
        <v>0</v>
      </c>
      <c r="L274" s="10">
        <f t="shared" si="18"/>
        <v>0</v>
      </c>
    </row>
    <row r="275" spans="1:12" x14ac:dyDescent="0.3">
      <c r="A275" s="11"/>
      <c r="B275" s="11" t="s">
        <v>846</v>
      </c>
      <c r="C275" s="4"/>
      <c r="D275" s="12"/>
      <c r="E275" s="12"/>
      <c r="F275" s="13"/>
      <c r="G275" s="13">
        <f t="shared" si="15"/>
        <v>0</v>
      </c>
      <c r="H275" s="13"/>
      <c r="I275" s="13">
        <f t="shared" si="16"/>
        <v>0</v>
      </c>
      <c r="J275" s="13"/>
      <c r="K275" s="13">
        <f t="shared" si="17"/>
        <v>0</v>
      </c>
      <c r="L275" s="13">
        <f t="shared" si="18"/>
        <v>0</v>
      </c>
    </row>
    <row r="276" spans="1:12" ht="43.2" x14ac:dyDescent="0.3">
      <c r="A276" s="2">
        <f>A274+1</f>
        <v>251</v>
      </c>
      <c r="B276" s="17" t="s">
        <v>1002</v>
      </c>
      <c r="C276" s="18" t="s">
        <v>72</v>
      </c>
      <c r="D276" s="19"/>
      <c r="E276" s="19">
        <v>67</v>
      </c>
      <c r="F276" s="10"/>
      <c r="G276" s="10">
        <f t="shared" si="15"/>
        <v>0</v>
      </c>
      <c r="H276" s="10"/>
      <c r="I276" s="10">
        <f t="shared" si="16"/>
        <v>0</v>
      </c>
      <c r="J276" s="10"/>
      <c r="K276" s="10">
        <f t="shared" si="17"/>
        <v>0</v>
      </c>
      <c r="L276" s="10">
        <f t="shared" si="18"/>
        <v>0</v>
      </c>
    </row>
    <row r="277" spans="1:12" ht="43.2" x14ac:dyDescent="0.3">
      <c r="A277" s="2">
        <f>A276+1</f>
        <v>252</v>
      </c>
      <c r="B277" s="17" t="s">
        <v>1003</v>
      </c>
      <c r="C277" s="18" t="s">
        <v>72</v>
      </c>
      <c r="D277" s="19"/>
      <c r="E277" s="19">
        <v>3</v>
      </c>
      <c r="F277" s="10"/>
      <c r="G277" s="10">
        <f t="shared" si="15"/>
        <v>0</v>
      </c>
      <c r="H277" s="10"/>
      <c r="I277" s="10">
        <f t="shared" si="16"/>
        <v>0</v>
      </c>
      <c r="J277" s="10"/>
      <c r="K277" s="10">
        <f t="shared" si="17"/>
        <v>0</v>
      </c>
      <c r="L277" s="10">
        <f t="shared" si="18"/>
        <v>0</v>
      </c>
    </row>
    <row r="278" spans="1:12" ht="43.2" x14ac:dyDescent="0.3">
      <c r="A278" s="2">
        <f t="shared" ref="A278:A316" si="23">A277+1</f>
        <v>253</v>
      </c>
      <c r="B278" s="17" t="s">
        <v>1001</v>
      </c>
      <c r="C278" s="18" t="s">
        <v>72</v>
      </c>
      <c r="D278" s="19"/>
      <c r="E278" s="19">
        <v>6</v>
      </c>
      <c r="F278" s="10"/>
      <c r="G278" s="10">
        <f t="shared" si="15"/>
        <v>0</v>
      </c>
      <c r="H278" s="10"/>
      <c r="I278" s="10">
        <f t="shared" si="16"/>
        <v>0</v>
      </c>
      <c r="J278" s="10"/>
      <c r="K278" s="10">
        <f t="shared" si="17"/>
        <v>0</v>
      </c>
      <c r="L278" s="10">
        <f t="shared" si="18"/>
        <v>0</v>
      </c>
    </row>
    <row r="279" spans="1:12" ht="28.8" x14ac:dyDescent="0.3">
      <c r="A279" s="2">
        <f t="shared" si="23"/>
        <v>254</v>
      </c>
      <c r="B279" s="17" t="s">
        <v>1000</v>
      </c>
      <c r="C279" s="18" t="s">
        <v>72</v>
      </c>
      <c r="D279" s="19"/>
      <c r="E279" s="19">
        <v>1</v>
      </c>
      <c r="F279" s="10"/>
      <c r="G279" s="10">
        <f t="shared" si="15"/>
        <v>0</v>
      </c>
      <c r="H279" s="10"/>
      <c r="I279" s="10">
        <f t="shared" si="16"/>
        <v>0</v>
      </c>
      <c r="J279" s="10"/>
      <c r="K279" s="10">
        <f t="shared" si="17"/>
        <v>0</v>
      </c>
      <c r="L279" s="10">
        <f t="shared" si="18"/>
        <v>0</v>
      </c>
    </row>
    <row r="280" spans="1:12" ht="28.8" x14ac:dyDescent="0.3">
      <c r="A280" s="2">
        <f t="shared" si="23"/>
        <v>255</v>
      </c>
      <c r="B280" s="17" t="s">
        <v>997</v>
      </c>
      <c r="C280" s="18" t="s">
        <v>72</v>
      </c>
      <c r="D280" s="19"/>
      <c r="E280" s="19">
        <v>6</v>
      </c>
      <c r="F280" s="10"/>
      <c r="G280" s="10">
        <f t="shared" si="15"/>
        <v>0</v>
      </c>
      <c r="H280" s="10"/>
      <c r="I280" s="10">
        <f t="shared" si="16"/>
        <v>0</v>
      </c>
      <c r="J280" s="10"/>
      <c r="K280" s="10">
        <f t="shared" si="17"/>
        <v>0</v>
      </c>
      <c r="L280" s="10">
        <f t="shared" si="18"/>
        <v>0</v>
      </c>
    </row>
    <row r="281" spans="1:12" ht="28.8" x14ac:dyDescent="0.3">
      <c r="A281" s="2">
        <f t="shared" si="23"/>
        <v>256</v>
      </c>
      <c r="B281" s="17" t="s">
        <v>998</v>
      </c>
      <c r="C281" s="18" t="s">
        <v>72</v>
      </c>
      <c r="D281" s="19"/>
      <c r="E281" s="19">
        <v>2</v>
      </c>
      <c r="F281" s="10"/>
      <c r="G281" s="10">
        <f t="shared" si="15"/>
        <v>0</v>
      </c>
      <c r="H281" s="10"/>
      <c r="I281" s="10">
        <f t="shared" si="16"/>
        <v>0</v>
      </c>
      <c r="J281" s="10"/>
      <c r="K281" s="10">
        <f t="shared" si="17"/>
        <v>0</v>
      </c>
      <c r="L281" s="10">
        <f t="shared" si="18"/>
        <v>0</v>
      </c>
    </row>
    <row r="282" spans="1:12" ht="28.8" x14ac:dyDescent="0.3">
      <c r="A282" s="2">
        <f t="shared" si="23"/>
        <v>257</v>
      </c>
      <c r="B282" s="17" t="s">
        <v>999</v>
      </c>
      <c r="C282" s="18" t="s">
        <v>72</v>
      </c>
      <c r="D282" s="19"/>
      <c r="E282" s="19">
        <v>2</v>
      </c>
      <c r="F282" s="10"/>
      <c r="G282" s="10">
        <f t="shared" si="15"/>
        <v>0</v>
      </c>
      <c r="H282" s="10"/>
      <c r="I282" s="10">
        <f t="shared" si="16"/>
        <v>0</v>
      </c>
      <c r="J282" s="10"/>
      <c r="K282" s="10">
        <f t="shared" si="17"/>
        <v>0</v>
      </c>
      <c r="L282" s="10">
        <f t="shared" si="18"/>
        <v>0</v>
      </c>
    </row>
    <row r="283" spans="1:12" ht="43.2" x14ac:dyDescent="0.3">
      <c r="A283" s="2">
        <f t="shared" si="23"/>
        <v>258</v>
      </c>
      <c r="B283" s="17" t="s">
        <v>995</v>
      </c>
      <c r="C283" s="18" t="s">
        <v>72</v>
      </c>
      <c r="D283" s="19"/>
      <c r="E283" s="19">
        <v>1</v>
      </c>
      <c r="F283" s="10"/>
      <c r="G283" s="10">
        <f t="shared" si="15"/>
        <v>0</v>
      </c>
      <c r="H283" s="10"/>
      <c r="I283" s="10">
        <f t="shared" si="16"/>
        <v>0</v>
      </c>
      <c r="J283" s="10"/>
      <c r="K283" s="10">
        <f t="shared" si="17"/>
        <v>0</v>
      </c>
      <c r="L283" s="10">
        <f t="shared" si="18"/>
        <v>0</v>
      </c>
    </row>
    <row r="284" spans="1:12" ht="43.2" x14ac:dyDescent="0.3">
      <c r="A284" s="2">
        <f t="shared" si="23"/>
        <v>259</v>
      </c>
      <c r="B284" s="17" t="s">
        <v>996</v>
      </c>
      <c r="C284" s="18" t="s">
        <v>72</v>
      </c>
      <c r="D284" s="19"/>
      <c r="E284" s="19">
        <v>2</v>
      </c>
      <c r="F284" s="10"/>
      <c r="G284" s="10">
        <f t="shared" si="15"/>
        <v>0</v>
      </c>
      <c r="H284" s="10"/>
      <c r="I284" s="10">
        <f t="shared" si="16"/>
        <v>0</v>
      </c>
      <c r="J284" s="10"/>
      <c r="K284" s="10">
        <f t="shared" si="17"/>
        <v>0</v>
      </c>
      <c r="L284" s="10">
        <f t="shared" si="18"/>
        <v>0</v>
      </c>
    </row>
    <row r="285" spans="1:12" ht="57.6" x14ac:dyDescent="0.3">
      <c r="A285" s="2">
        <f t="shared" si="23"/>
        <v>260</v>
      </c>
      <c r="B285" s="17" t="s">
        <v>985</v>
      </c>
      <c r="C285" s="18" t="s">
        <v>72</v>
      </c>
      <c r="D285" s="27"/>
      <c r="E285" s="19">
        <v>4</v>
      </c>
      <c r="F285" s="10"/>
      <c r="G285" s="10">
        <f t="shared" si="15"/>
        <v>0</v>
      </c>
      <c r="H285" s="10"/>
      <c r="I285" s="10">
        <f t="shared" si="16"/>
        <v>0</v>
      </c>
      <c r="J285" s="10"/>
      <c r="K285" s="10">
        <f t="shared" si="17"/>
        <v>0</v>
      </c>
      <c r="L285" s="10">
        <f t="shared" si="18"/>
        <v>0</v>
      </c>
    </row>
    <row r="286" spans="1:12" ht="57.6" x14ac:dyDescent="0.3">
      <c r="A286" s="2">
        <f t="shared" si="23"/>
        <v>261</v>
      </c>
      <c r="B286" s="17" t="s">
        <v>986</v>
      </c>
      <c r="C286" s="18" t="s">
        <v>72</v>
      </c>
      <c r="D286" s="27"/>
      <c r="E286" s="19">
        <v>2</v>
      </c>
      <c r="F286" s="10"/>
      <c r="G286" s="10">
        <f t="shared" si="15"/>
        <v>0</v>
      </c>
      <c r="H286" s="10"/>
      <c r="I286" s="10">
        <f t="shared" si="16"/>
        <v>0</v>
      </c>
      <c r="J286" s="10"/>
      <c r="K286" s="10">
        <f t="shared" si="17"/>
        <v>0</v>
      </c>
      <c r="L286" s="10">
        <f t="shared" si="18"/>
        <v>0</v>
      </c>
    </row>
    <row r="287" spans="1:12" ht="57.6" x14ac:dyDescent="0.3">
      <c r="A287" s="2">
        <f t="shared" si="23"/>
        <v>262</v>
      </c>
      <c r="B287" s="17" t="s">
        <v>987</v>
      </c>
      <c r="C287" s="18" t="s">
        <v>72</v>
      </c>
      <c r="D287" s="27"/>
      <c r="E287" s="19">
        <v>2</v>
      </c>
      <c r="F287" s="10"/>
      <c r="G287" s="10">
        <f t="shared" si="15"/>
        <v>0</v>
      </c>
      <c r="H287" s="10"/>
      <c r="I287" s="10">
        <f t="shared" si="16"/>
        <v>0</v>
      </c>
      <c r="J287" s="10"/>
      <c r="K287" s="10">
        <f t="shared" si="17"/>
        <v>0</v>
      </c>
      <c r="L287" s="10">
        <f t="shared" si="18"/>
        <v>0</v>
      </c>
    </row>
    <row r="288" spans="1:12" ht="57.6" x14ac:dyDescent="0.3">
      <c r="A288" s="2">
        <f t="shared" si="23"/>
        <v>263</v>
      </c>
      <c r="B288" s="17" t="s">
        <v>988</v>
      </c>
      <c r="C288" s="18" t="s">
        <v>72</v>
      </c>
      <c r="D288" s="19"/>
      <c r="E288" s="19">
        <v>4</v>
      </c>
      <c r="F288" s="10"/>
      <c r="G288" s="10">
        <f t="shared" si="15"/>
        <v>0</v>
      </c>
      <c r="H288" s="10"/>
      <c r="I288" s="10">
        <f t="shared" si="16"/>
        <v>0</v>
      </c>
      <c r="J288" s="10"/>
      <c r="K288" s="10">
        <f t="shared" si="17"/>
        <v>0</v>
      </c>
      <c r="L288" s="10">
        <f t="shared" si="18"/>
        <v>0</v>
      </c>
    </row>
    <row r="289" spans="1:14" ht="57.6" x14ac:dyDescent="0.3">
      <c r="A289" s="2">
        <f t="shared" si="23"/>
        <v>264</v>
      </c>
      <c r="B289" s="17" t="s">
        <v>989</v>
      </c>
      <c r="C289" s="18" t="s">
        <v>72</v>
      </c>
      <c r="D289" s="19"/>
      <c r="E289" s="19">
        <v>2</v>
      </c>
      <c r="F289" s="10"/>
      <c r="G289" s="10">
        <f t="shared" si="15"/>
        <v>0</v>
      </c>
      <c r="H289" s="10"/>
      <c r="I289" s="10">
        <f t="shared" si="16"/>
        <v>0</v>
      </c>
      <c r="J289" s="10"/>
      <c r="K289" s="10">
        <f t="shared" si="17"/>
        <v>0</v>
      </c>
      <c r="L289" s="10">
        <f t="shared" si="18"/>
        <v>0</v>
      </c>
    </row>
    <row r="290" spans="1:14" ht="57.6" x14ac:dyDescent="0.3">
      <c r="A290" s="2">
        <f t="shared" si="23"/>
        <v>265</v>
      </c>
      <c r="B290" s="17" t="s">
        <v>990</v>
      </c>
      <c r="C290" s="18" t="s">
        <v>72</v>
      </c>
      <c r="D290" s="19"/>
      <c r="E290" s="19">
        <v>2</v>
      </c>
      <c r="F290" s="10"/>
      <c r="G290" s="10">
        <f t="shared" si="15"/>
        <v>0</v>
      </c>
      <c r="H290" s="10"/>
      <c r="I290" s="10">
        <f t="shared" si="16"/>
        <v>0</v>
      </c>
      <c r="J290" s="10"/>
      <c r="K290" s="10">
        <f t="shared" si="17"/>
        <v>0</v>
      </c>
      <c r="L290" s="10">
        <f t="shared" si="18"/>
        <v>0</v>
      </c>
    </row>
    <row r="291" spans="1:14" ht="57.6" x14ac:dyDescent="0.3">
      <c r="A291" s="2">
        <f t="shared" si="23"/>
        <v>266</v>
      </c>
      <c r="B291" s="17" t="s">
        <v>972</v>
      </c>
      <c r="C291" s="18" t="s">
        <v>72</v>
      </c>
      <c r="D291" s="19"/>
      <c r="E291" s="19">
        <v>3</v>
      </c>
      <c r="F291" s="10"/>
      <c r="G291" s="10">
        <f t="shared" si="15"/>
        <v>0</v>
      </c>
      <c r="H291" s="10"/>
      <c r="I291" s="10">
        <f t="shared" si="16"/>
        <v>0</v>
      </c>
      <c r="J291" s="10"/>
      <c r="K291" s="10">
        <f t="shared" si="17"/>
        <v>0</v>
      </c>
      <c r="L291" s="10">
        <f t="shared" si="18"/>
        <v>0</v>
      </c>
    </row>
    <row r="292" spans="1:14" ht="57.6" x14ac:dyDescent="0.3">
      <c r="A292" s="2">
        <f t="shared" si="23"/>
        <v>267</v>
      </c>
      <c r="B292" s="17" t="s">
        <v>971</v>
      </c>
      <c r="C292" s="18" t="s">
        <v>72</v>
      </c>
      <c r="D292" s="19"/>
      <c r="E292" s="19">
        <v>3</v>
      </c>
      <c r="F292" s="10"/>
      <c r="G292" s="10">
        <f t="shared" si="15"/>
        <v>0</v>
      </c>
      <c r="H292" s="10"/>
      <c r="I292" s="10">
        <f t="shared" si="16"/>
        <v>0</v>
      </c>
      <c r="J292" s="10"/>
      <c r="K292" s="10">
        <f t="shared" si="17"/>
        <v>0</v>
      </c>
      <c r="L292" s="10">
        <f t="shared" si="18"/>
        <v>0</v>
      </c>
    </row>
    <row r="293" spans="1:14" ht="72" x14ac:dyDescent="0.3">
      <c r="A293" s="2">
        <f t="shared" si="23"/>
        <v>268</v>
      </c>
      <c r="B293" s="17" t="s">
        <v>970</v>
      </c>
      <c r="C293" s="18" t="s">
        <v>72</v>
      </c>
      <c r="D293" s="19"/>
      <c r="E293" s="19">
        <v>2</v>
      </c>
      <c r="F293" s="10"/>
      <c r="G293" s="10">
        <f t="shared" si="15"/>
        <v>0</v>
      </c>
      <c r="H293" s="10"/>
      <c r="I293" s="10">
        <f t="shared" si="16"/>
        <v>0</v>
      </c>
      <c r="J293" s="10"/>
      <c r="K293" s="10">
        <f t="shared" si="17"/>
        <v>0</v>
      </c>
      <c r="L293" s="10">
        <f t="shared" si="18"/>
        <v>0</v>
      </c>
    </row>
    <row r="294" spans="1:14" ht="72" x14ac:dyDescent="0.3">
      <c r="A294" s="2">
        <f t="shared" si="23"/>
        <v>269</v>
      </c>
      <c r="B294" s="17" t="s">
        <v>991</v>
      </c>
      <c r="C294" s="18" t="s">
        <v>72</v>
      </c>
      <c r="D294" s="19"/>
      <c r="E294" s="19">
        <v>4</v>
      </c>
      <c r="F294" s="10"/>
      <c r="G294" s="10">
        <f t="shared" si="15"/>
        <v>0</v>
      </c>
      <c r="H294" s="10"/>
      <c r="I294" s="10">
        <f t="shared" si="16"/>
        <v>0</v>
      </c>
      <c r="J294" s="10"/>
      <c r="K294" s="10">
        <f t="shared" si="17"/>
        <v>0</v>
      </c>
      <c r="L294" s="10">
        <f t="shared" si="18"/>
        <v>0</v>
      </c>
    </row>
    <row r="295" spans="1:14" ht="43.2" x14ac:dyDescent="0.3">
      <c r="A295" s="2">
        <f t="shared" si="23"/>
        <v>270</v>
      </c>
      <c r="B295" s="17" t="s">
        <v>847</v>
      </c>
      <c r="C295" s="18" t="s">
        <v>72</v>
      </c>
      <c r="D295" s="19"/>
      <c r="E295" s="19">
        <v>1</v>
      </c>
      <c r="F295" s="10"/>
      <c r="G295" s="10">
        <f t="shared" si="15"/>
        <v>0</v>
      </c>
      <c r="H295" s="10"/>
      <c r="I295" s="10">
        <f t="shared" si="16"/>
        <v>0</v>
      </c>
      <c r="J295" s="10"/>
      <c r="K295" s="10">
        <f t="shared" si="17"/>
        <v>0</v>
      </c>
      <c r="L295" s="10">
        <f t="shared" si="18"/>
        <v>0</v>
      </c>
    </row>
    <row r="296" spans="1:14" x14ac:dyDescent="0.3">
      <c r="A296" s="2">
        <f t="shared" si="23"/>
        <v>271</v>
      </c>
      <c r="B296" s="17" t="s">
        <v>848</v>
      </c>
      <c r="C296" s="18" t="s">
        <v>72</v>
      </c>
      <c r="D296" s="19"/>
      <c r="E296" s="19">
        <v>28</v>
      </c>
      <c r="F296" s="10"/>
      <c r="G296" s="10">
        <f t="shared" si="15"/>
        <v>0</v>
      </c>
      <c r="H296" s="10"/>
      <c r="I296" s="10">
        <f t="shared" si="16"/>
        <v>0</v>
      </c>
      <c r="J296" s="10"/>
      <c r="K296" s="10">
        <f t="shared" si="17"/>
        <v>0</v>
      </c>
      <c r="L296" s="10">
        <f t="shared" si="18"/>
        <v>0</v>
      </c>
    </row>
    <row r="297" spans="1:14" ht="28.8" x14ac:dyDescent="0.3">
      <c r="A297" s="2">
        <f t="shared" si="23"/>
        <v>272</v>
      </c>
      <c r="B297" s="17" t="s">
        <v>849</v>
      </c>
      <c r="C297" s="18" t="s">
        <v>72</v>
      </c>
      <c r="D297" s="19"/>
      <c r="E297" s="19">
        <v>1</v>
      </c>
      <c r="F297" s="10"/>
      <c r="G297" s="10">
        <f t="shared" si="15"/>
        <v>0</v>
      </c>
      <c r="H297" s="10"/>
      <c r="I297" s="10">
        <f t="shared" si="16"/>
        <v>0</v>
      </c>
      <c r="J297" s="10"/>
      <c r="K297" s="10">
        <f t="shared" si="17"/>
        <v>0</v>
      </c>
      <c r="L297" s="10">
        <f t="shared" si="18"/>
        <v>0</v>
      </c>
    </row>
    <row r="298" spans="1:14" ht="43.2" x14ac:dyDescent="0.3">
      <c r="A298" s="2">
        <f t="shared" si="23"/>
        <v>273</v>
      </c>
      <c r="B298" s="17" t="s">
        <v>967</v>
      </c>
      <c r="C298" s="18" t="s">
        <v>16</v>
      </c>
      <c r="D298" s="19"/>
      <c r="E298" s="19">
        <v>15</v>
      </c>
      <c r="F298" s="10"/>
      <c r="G298" s="10">
        <f t="shared" si="15"/>
        <v>0</v>
      </c>
      <c r="H298" s="10"/>
      <c r="I298" s="10">
        <f t="shared" si="16"/>
        <v>0</v>
      </c>
      <c r="J298" s="10"/>
      <c r="K298" s="10">
        <f t="shared" si="17"/>
        <v>0</v>
      </c>
      <c r="L298" s="10">
        <f t="shared" si="18"/>
        <v>0</v>
      </c>
    </row>
    <row r="299" spans="1:14" x14ac:dyDescent="0.3">
      <c r="A299" s="2">
        <f t="shared" si="23"/>
        <v>274</v>
      </c>
      <c r="B299" s="17" t="s">
        <v>850</v>
      </c>
      <c r="C299" s="18" t="s">
        <v>16</v>
      </c>
      <c r="D299" s="19"/>
      <c r="E299" s="19">
        <v>435</v>
      </c>
      <c r="F299" s="10"/>
      <c r="G299" s="10">
        <f t="shared" si="15"/>
        <v>0</v>
      </c>
      <c r="H299" s="10"/>
      <c r="I299" s="10">
        <f t="shared" si="16"/>
        <v>0</v>
      </c>
      <c r="J299" s="10"/>
      <c r="K299" s="10">
        <f t="shared" si="17"/>
        <v>0</v>
      </c>
      <c r="L299" s="10">
        <f t="shared" si="18"/>
        <v>0</v>
      </c>
    </row>
    <row r="300" spans="1:14" x14ac:dyDescent="0.3">
      <c r="A300" s="2">
        <f t="shared" si="23"/>
        <v>275</v>
      </c>
      <c r="B300" s="17" t="s">
        <v>851</v>
      </c>
      <c r="C300" s="18" t="s">
        <v>16</v>
      </c>
      <c r="D300" s="27"/>
      <c r="E300" s="19">
        <v>185</v>
      </c>
      <c r="F300" s="10"/>
      <c r="G300" s="10">
        <f t="shared" si="15"/>
        <v>0</v>
      </c>
      <c r="H300" s="10"/>
      <c r="I300" s="10">
        <f t="shared" si="16"/>
        <v>0</v>
      </c>
      <c r="J300" s="10"/>
      <c r="K300" s="10">
        <f t="shared" si="17"/>
        <v>0</v>
      </c>
      <c r="L300" s="10">
        <f t="shared" si="18"/>
        <v>0</v>
      </c>
    </row>
    <row r="301" spans="1:14" ht="43.2" x14ac:dyDescent="0.3">
      <c r="A301" s="2">
        <f t="shared" si="23"/>
        <v>276</v>
      </c>
      <c r="B301" s="17" t="s">
        <v>959</v>
      </c>
      <c r="C301" s="18" t="s">
        <v>16</v>
      </c>
      <c r="D301" s="19"/>
      <c r="E301" s="19">
        <v>682</v>
      </c>
      <c r="F301" s="10"/>
      <c r="G301" s="10">
        <f t="shared" si="15"/>
        <v>0</v>
      </c>
      <c r="H301" s="10"/>
      <c r="I301" s="10">
        <f t="shared" si="16"/>
        <v>0</v>
      </c>
      <c r="J301" s="10"/>
      <c r="K301" s="10">
        <f t="shared" si="17"/>
        <v>0</v>
      </c>
      <c r="L301" s="10">
        <f t="shared" si="18"/>
        <v>0</v>
      </c>
      <c r="N301" s="9"/>
    </row>
    <row r="302" spans="1:14" ht="43.2" x14ac:dyDescent="0.3">
      <c r="A302" s="2">
        <f t="shared" si="23"/>
        <v>277</v>
      </c>
      <c r="B302" s="17" t="s">
        <v>960</v>
      </c>
      <c r="C302" s="18" t="s">
        <v>16</v>
      </c>
      <c r="D302" s="27"/>
      <c r="E302" s="19">
        <v>20</v>
      </c>
      <c r="F302" s="10"/>
      <c r="G302" s="10">
        <f t="shared" si="15"/>
        <v>0</v>
      </c>
      <c r="H302" s="10"/>
      <c r="I302" s="10">
        <f t="shared" si="16"/>
        <v>0</v>
      </c>
      <c r="J302" s="10"/>
      <c r="K302" s="10">
        <f t="shared" si="17"/>
        <v>0</v>
      </c>
      <c r="L302" s="10">
        <f t="shared" si="18"/>
        <v>0</v>
      </c>
    </row>
    <row r="303" spans="1:14" ht="28.8" x14ac:dyDescent="0.3">
      <c r="A303" s="2">
        <f t="shared" si="23"/>
        <v>278</v>
      </c>
      <c r="B303" s="17" t="s">
        <v>852</v>
      </c>
      <c r="C303" s="18" t="s">
        <v>72</v>
      </c>
      <c r="D303" s="27"/>
      <c r="E303" s="19">
        <v>510</v>
      </c>
      <c r="F303" s="10"/>
      <c r="G303" s="10">
        <f t="shared" si="15"/>
        <v>0</v>
      </c>
      <c r="H303" s="10"/>
      <c r="I303" s="10">
        <f t="shared" si="16"/>
        <v>0</v>
      </c>
      <c r="J303" s="10"/>
      <c r="K303" s="10">
        <f t="shared" si="17"/>
        <v>0</v>
      </c>
      <c r="L303" s="10">
        <f t="shared" si="18"/>
        <v>0</v>
      </c>
    </row>
    <row r="304" spans="1:14" x14ac:dyDescent="0.3">
      <c r="A304" s="2">
        <f t="shared" si="23"/>
        <v>279</v>
      </c>
      <c r="B304" s="17" t="s">
        <v>853</v>
      </c>
      <c r="C304" s="18" t="s">
        <v>72</v>
      </c>
      <c r="D304" s="27"/>
      <c r="E304" s="19">
        <v>1</v>
      </c>
      <c r="F304" s="10"/>
      <c r="G304" s="10">
        <f t="shared" si="15"/>
        <v>0</v>
      </c>
      <c r="H304" s="10"/>
      <c r="I304" s="10">
        <f t="shared" si="16"/>
        <v>0</v>
      </c>
      <c r="J304" s="10"/>
      <c r="K304" s="10">
        <f t="shared" si="17"/>
        <v>0</v>
      </c>
      <c r="L304" s="10">
        <f t="shared" si="18"/>
        <v>0</v>
      </c>
    </row>
    <row r="305" spans="1:12" ht="28.8" x14ac:dyDescent="0.3">
      <c r="A305" s="2">
        <f t="shared" si="23"/>
        <v>280</v>
      </c>
      <c r="B305" s="17" t="s">
        <v>854</v>
      </c>
      <c r="C305" s="18" t="s">
        <v>18</v>
      </c>
      <c r="D305" s="19"/>
      <c r="E305" s="19">
        <v>1</v>
      </c>
      <c r="F305" s="10"/>
      <c r="G305" s="10">
        <f t="shared" si="15"/>
        <v>0</v>
      </c>
      <c r="H305" s="10"/>
      <c r="I305" s="10">
        <f t="shared" si="16"/>
        <v>0</v>
      </c>
      <c r="J305" s="10"/>
      <c r="K305" s="10">
        <f t="shared" si="17"/>
        <v>0</v>
      </c>
      <c r="L305" s="10">
        <f t="shared" si="18"/>
        <v>0</v>
      </c>
    </row>
    <row r="306" spans="1:12" ht="28.8" x14ac:dyDescent="0.3">
      <c r="A306" s="2">
        <f t="shared" si="23"/>
        <v>281</v>
      </c>
      <c r="B306" s="17" t="s">
        <v>855</v>
      </c>
      <c r="C306" s="18" t="s">
        <v>18</v>
      </c>
      <c r="D306" s="19"/>
      <c r="E306" s="19">
        <v>1</v>
      </c>
      <c r="F306" s="10"/>
      <c r="G306" s="10">
        <f t="shared" si="15"/>
        <v>0</v>
      </c>
      <c r="H306" s="10"/>
      <c r="I306" s="10">
        <f t="shared" si="16"/>
        <v>0</v>
      </c>
      <c r="J306" s="10"/>
      <c r="K306" s="10">
        <f t="shared" si="17"/>
        <v>0</v>
      </c>
      <c r="L306" s="10">
        <f t="shared" si="18"/>
        <v>0</v>
      </c>
    </row>
    <row r="307" spans="1:12" ht="43.2" x14ac:dyDescent="0.3">
      <c r="A307" s="2">
        <f t="shared" si="23"/>
        <v>282</v>
      </c>
      <c r="B307" s="17" t="s">
        <v>961</v>
      </c>
      <c r="C307" s="18" t="s">
        <v>12</v>
      </c>
      <c r="D307" s="19"/>
      <c r="E307" s="19">
        <v>13.2</v>
      </c>
      <c r="F307" s="10"/>
      <c r="G307" s="10">
        <f t="shared" si="15"/>
        <v>0</v>
      </c>
      <c r="H307" s="10"/>
      <c r="I307" s="10">
        <f t="shared" si="16"/>
        <v>0</v>
      </c>
      <c r="J307" s="10"/>
      <c r="K307" s="10">
        <f t="shared" si="17"/>
        <v>0</v>
      </c>
      <c r="L307" s="10">
        <f t="shared" si="18"/>
        <v>0</v>
      </c>
    </row>
    <row r="308" spans="1:12" ht="43.2" x14ac:dyDescent="0.3">
      <c r="A308" s="2">
        <f t="shared" si="23"/>
        <v>283</v>
      </c>
      <c r="B308" s="17" t="s">
        <v>962</v>
      </c>
      <c r="C308" s="18" t="s">
        <v>12</v>
      </c>
      <c r="D308" s="19"/>
      <c r="E308" s="19">
        <v>61.199999999999996</v>
      </c>
      <c r="F308" s="10"/>
      <c r="G308" s="10">
        <f t="shared" si="15"/>
        <v>0</v>
      </c>
      <c r="H308" s="10"/>
      <c r="I308" s="10">
        <f t="shared" si="16"/>
        <v>0</v>
      </c>
      <c r="J308" s="10"/>
      <c r="K308" s="10">
        <f t="shared" si="17"/>
        <v>0</v>
      </c>
      <c r="L308" s="10">
        <f t="shared" si="18"/>
        <v>0</v>
      </c>
    </row>
    <row r="309" spans="1:12" ht="43.2" x14ac:dyDescent="0.3">
      <c r="A309" s="2">
        <f t="shared" si="23"/>
        <v>284</v>
      </c>
      <c r="B309" s="17" t="s">
        <v>963</v>
      </c>
      <c r="C309" s="18" t="s">
        <v>12</v>
      </c>
      <c r="D309" s="19"/>
      <c r="E309" s="19">
        <v>50.4</v>
      </c>
      <c r="F309" s="10"/>
      <c r="G309" s="10">
        <f t="shared" si="15"/>
        <v>0</v>
      </c>
      <c r="H309" s="10"/>
      <c r="I309" s="10">
        <f t="shared" si="16"/>
        <v>0</v>
      </c>
      <c r="J309" s="10"/>
      <c r="K309" s="10">
        <f t="shared" si="17"/>
        <v>0</v>
      </c>
      <c r="L309" s="10">
        <f t="shared" si="18"/>
        <v>0</v>
      </c>
    </row>
    <row r="310" spans="1:12" ht="43.2" x14ac:dyDescent="0.3">
      <c r="A310" s="2">
        <f t="shared" si="23"/>
        <v>285</v>
      </c>
      <c r="B310" s="17" t="s">
        <v>964</v>
      </c>
      <c r="C310" s="18" t="s">
        <v>12</v>
      </c>
      <c r="D310" s="19"/>
      <c r="E310" s="19">
        <v>40.799999999999997</v>
      </c>
      <c r="F310" s="10"/>
      <c r="G310" s="10">
        <f t="shared" si="15"/>
        <v>0</v>
      </c>
      <c r="H310" s="10"/>
      <c r="I310" s="10">
        <f t="shared" si="16"/>
        <v>0</v>
      </c>
      <c r="J310" s="10"/>
      <c r="K310" s="10">
        <f t="shared" si="17"/>
        <v>0</v>
      </c>
      <c r="L310" s="10">
        <f t="shared" si="18"/>
        <v>0</v>
      </c>
    </row>
    <row r="311" spans="1:12" ht="43.2" x14ac:dyDescent="0.3">
      <c r="A311" s="2">
        <f t="shared" si="23"/>
        <v>286</v>
      </c>
      <c r="B311" s="17" t="s">
        <v>965</v>
      </c>
      <c r="C311" s="18" t="s">
        <v>12</v>
      </c>
      <c r="D311" s="19"/>
      <c r="E311" s="19">
        <v>19.2</v>
      </c>
      <c r="F311" s="10"/>
      <c r="G311" s="10">
        <f t="shared" si="15"/>
        <v>0</v>
      </c>
      <c r="H311" s="10"/>
      <c r="I311" s="10">
        <f t="shared" si="16"/>
        <v>0</v>
      </c>
      <c r="J311" s="10"/>
      <c r="K311" s="10">
        <f t="shared" si="17"/>
        <v>0</v>
      </c>
      <c r="L311" s="10">
        <f t="shared" si="18"/>
        <v>0</v>
      </c>
    </row>
    <row r="312" spans="1:12" ht="28.8" x14ac:dyDescent="0.3">
      <c r="A312" s="2">
        <f t="shared" si="23"/>
        <v>287</v>
      </c>
      <c r="B312" s="17" t="s">
        <v>919</v>
      </c>
      <c r="C312" s="18" t="s">
        <v>12</v>
      </c>
      <c r="D312" s="19"/>
      <c r="E312" s="19">
        <v>3</v>
      </c>
      <c r="F312" s="10"/>
      <c r="G312" s="10">
        <f t="shared" si="15"/>
        <v>0</v>
      </c>
      <c r="H312" s="10"/>
      <c r="I312" s="10">
        <f t="shared" si="16"/>
        <v>0</v>
      </c>
      <c r="J312" s="10"/>
      <c r="K312" s="10">
        <f t="shared" si="17"/>
        <v>0</v>
      </c>
      <c r="L312" s="10">
        <f t="shared" si="18"/>
        <v>0</v>
      </c>
    </row>
    <row r="313" spans="1:12" ht="28.8" x14ac:dyDescent="0.3">
      <c r="A313" s="2">
        <f t="shared" si="23"/>
        <v>288</v>
      </c>
      <c r="B313" s="17" t="s">
        <v>920</v>
      </c>
      <c r="C313" s="18" t="s">
        <v>12</v>
      </c>
      <c r="D313" s="19"/>
      <c r="E313" s="19">
        <v>48</v>
      </c>
      <c r="F313" s="10"/>
      <c r="G313" s="10">
        <f t="shared" si="15"/>
        <v>0</v>
      </c>
      <c r="H313" s="10"/>
      <c r="I313" s="10">
        <f t="shared" si="16"/>
        <v>0</v>
      </c>
      <c r="J313" s="10"/>
      <c r="K313" s="10">
        <f t="shared" si="17"/>
        <v>0</v>
      </c>
      <c r="L313" s="10">
        <f t="shared" si="18"/>
        <v>0</v>
      </c>
    </row>
    <row r="314" spans="1:12" ht="28.8" x14ac:dyDescent="0.3">
      <c r="A314" s="2">
        <f t="shared" si="23"/>
        <v>289</v>
      </c>
      <c r="B314" s="17" t="s">
        <v>921</v>
      </c>
      <c r="C314" s="18" t="s">
        <v>12</v>
      </c>
      <c r="D314" s="19"/>
      <c r="E314" s="19">
        <v>33</v>
      </c>
      <c r="F314" s="10"/>
      <c r="G314" s="10">
        <f t="shared" si="15"/>
        <v>0</v>
      </c>
      <c r="H314" s="10"/>
      <c r="I314" s="10">
        <f t="shared" si="16"/>
        <v>0</v>
      </c>
      <c r="J314" s="10"/>
      <c r="K314" s="10">
        <f t="shared" si="17"/>
        <v>0</v>
      </c>
      <c r="L314" s="10">
        <f t="shared" si="18"/>
        <v>0</v>
      </c>
    </row>
    <row r="315" spans="1:12" ht="28.8" x14ac:dyDescent="0.3">
      <c r="A315" s="2">
        <f t="shared" si="23"/>
        <v>290</v>
      </c>
      <c r="B315" s="17" t="s">
        <v>922</v>
      </c>
      <c r="C315" s="18" t="s">
        <v>12</v>
      </c>
      <c r="D315" s="19"/>
      <c r="E315" s="19">
        <v>21</v>
      </c>
      <c r="F315" s="10"/>
      <c r="G315" s="10">
        <f t="shared" si="15"/>
        <v>0</v>
      </c>
      <c r="H315" s="10"/>
      <c r="I315" s="10">
        <f t="shared" si="16"/>
        <v>0</v>
      </c>
      <c r="J315" s="10"/>
      <c r="K315" s="10">
        <f t="shared" si="17"/>
        <v>0</v>
      </c>
      <c r="L315" s="10">
        <f t="shared" si="18"/>
        <v>0</v>
      </c>
    </row>
    <row r="316" spans="1:12" ht="28.8" x14ac:dyDescent="0.3">
      <c r="A316" s="2">
        <f t="shared" si="23"/>
        <v>291</v>
      </c>
      <c r="B316" s="17" t="s">
        <v>923</v>
      </c>
      <c r="C316" s="18" t="s">
        <v>12</v>
      </c>
      <c r="D316" s="19"/>
      <c r="E316" s="19">
        <v>15</v>
      </c>
      <c r="F316" s="10"/>
      <c r="G316" s="10">
        <f t="shared" si="15"/>
        <v>0</v>
      </c>
      <c r="H316" s="10"/>
      <c r="I316" s="10">
        <f t="shared" si="16"/>
        <v>0</v>
      </c>
      <c r="J316" s="10"/>
      <c r="K316" s="10">
        <f t="shared" si="17"/>
        <v>0</v>
      </c>
      <c r="L316" s="10">
        <f t="shared" si="18"/>
        <v>0</v>
      </c>
    </row>
    <row r="317" spans="1:12" x14ac:dyDescent="0.3">
      <c r="A317" s="11"/>
      <c r="B317" s="11" t="s">
        <v>856</v>
      </c>
      <c r="C317" s="4"/>
      <c r="D317" s="12"/>
      <c r="E317" s="12"/>
      <c r="F317" s="13"/>
      <c r="G317" s="13">
        <f t="shared" si="15"/>
        <v>0</v>
      </c>
      <c r="H317" s="13"/>
      <c r="I317" s="13">
        <f t="shared" si="16"/>
        <v>0</v>
      </c>
      <c r="J317" s="13"/>
      <c r="K317" s="13">
        <f t="shared" si="17"/>
        <v>0</v>
      </c>
      <c r="L317" s="13">
        <f t="shared" si="18"/>
        <v>0</v>
      </c>
    </row>
    <row r="318" spans="1:12" ht="43.2" x14ac:dyDescent="0.3">
      <c r="A318" s="2">
        <f>A316+1</f>
        <v>292</v>
      </c>
      <c r="B318" s="17" t="s">
        <v>1015</v>
      </c>
      <c r="C318" s="18" t="s">
        <v>1028</v>
      </c>
      <c r="D318" s="19"/>
      <c r="E318" s="19">
        <v>3</v>
      </c>
      <c r="F318" s="10"/>
      <c r="G318" s="10">
        <f t="shared" si="15"/>
        <v>0</v>
      </c>
      <c r="H318" s="10"/>
      <c r="I318" s="10">
        <f t="shared" si="16"/>
        <v>0</v>
      </c>
      <c r="J318" s="10"/>
      <c r="K318" s="10">
        <f t="shared" si="17"/>
        <v>0</v>
      </c>
      <c r="L318" s="10">
        <f t="shared" si="18"/>
        <v>0</v>
      </c>
    </row>
    <row r="319" spans="1:12" ht="43.2" x14ac:dyDescent="0.3">
      <c r="A319" s="2">
        <f>A318+1</f>
        <v>293</v>
      </c>
      <c r="B319" s="17" t="s">
        <v>1016</v>
      </c>
      <c r="C319" s="18" t="s">
        <v>1028</v>
      </c>
      <c r="D319" s="27"/>
      <c r="E319" s="19">
        <v>4</v>
      </c>
      <c r="F319" s="10"/>
      <c r="G319" s="10">
        <f t="shared" si="15"/>
        <v>0</v>
      </c>
      <c r="H319" s="10"/>
      <c r="I319" s="10">
        <f t="shared" si="16"/>
        <v>0</v>
      </c>
      <c r="J319" s="10"/>
      <c r="K319" s="10">
        <f t="shared" si="17"/>
        <v>0</v>
      </c>
      <c r="L319" s="10">
        <f t="shared" si="18"/>
        <v>0</v>
      </c>
    </row>
    <row r="320" spans="1:12" ht="43.2" x14ac:dyDescent="0.3">
      <c r="A320" s="2">
        <f t="shared" ref="A320:A323" si="24">A319+1</f>
        <v>294</v>
      </c>
      <c r="B320" s="17" t="s">
        <v>1017</v>
      </c>
      <c r="C320" s="18" t="s">
        <v>1028</v>
      </c>
      <c r="D320" s="27"/>
      <c r="E320" s="19">
        <v>2</v>
      </c>
      <c r="F320" s="10"/>
      <c r="G320" s="10">
        <f t="shared" si="15"/>
        <v>0</v>
      </c>
      <c r="H320" s="10"/>
      <c r="I320" s="10">
        <f t="shared" si="16"/>
        <v>0</v>
      </c>
      <c r="J320" s="10"/>
      <c r="K320" s="10">
        <f t="shared" si="17"/>
        <v>0</v>
      </c>
      <c r="L320" s="10">
        <f t="shared" si="18"/>
        <v>0</v>
      </c>
    </row>
    <row r="321" spans="1:12" ht="28.8" x14ac:dyDescent="0.3">
      <c r="A321" s="2">
        <f t="shared" si="24"/>
        <v>295</v>
      </c>
      <c r="B321" s="17" t="s">
        <v>857</v>
      </c>
      <c r="C321" s="18" t="s">
        <v>72</v>
      </c>
      <c r="D321" s="19"/>
      <c r="E321" s="19">
        <v>9</v>
      </c>
      <c r="F321" s="10"/>
      <c r="G321" s="10">
        <f t="shared" si="15"/>
        <v>0</v>
      </c>
      <c r="H321" s="10"/>
      <c r="I321" s="10">
        <f t="shared" si="16"/>
        <v>0</v>
      </c>
      <c r="J321" s="10"/>
      <c r="K321" s="10">
        <f t="shared" si="17"/>
        <v>0</v>
      </c>
      <c r="L321" s="10">
        <f t="shared" si="18"/>
        <v>0</v>
      </c>
    </row>
    <row r="322" spans="1:12" x14ac:dyDescent="0.3">
      <c r="A322" s="2">
        <f t="shared" si="24"/>
        <v>296</v>
      </c>
      <c r="B322" s="17" t="s">
        <v>819</v>
      </c>
      <c r="C322" s="18" t="s">
        <v>72</v>
      </c>
      <c r="D322" s="19"/>
      <c r="E322" s="19">
        <v>9</v>
      </c>
      <c r="F322" s="10"/>
      <c r="G322" s="10">
        <f t="shared" si="15"/>
        <v>0</v>
      </c>
      <c r="H322" s="10"/>
      <c r="I322" s="10">
        <f t="shared" si="16"/>
        <v>0</v>
      </c>
      <c r="J322" s="10"/>
      <c r="K322" s="10">
        <f t="shared" si="17"/>
        <v>0</v>
      </c>
      <c r="L322" s="10">
        <f t="shared" si="18"/>
        <v>0</v>
      </c>
    </row>
    <row r="323" spans="1:12" x14ac:dyDescent="0.3">
      <c r="A323" s="2">
        <f t="shared" si="24"/>
        <v>297</v>
      </c>
      <c r="B323" s="17" t="s">
        <v>818</v>
      </c>
      <c r="C323" s="18" t="s">
        <v>72</v>
      </c>
      <c r="D323" s="19"/>
      <c r="E323" s="19">
        <v>9</v>
      </c>
      <c r="F323" s="10"/>
      <c r="G323" s="10">
        <f t="shared" si="15"/>
        <v>0</v>
      </c>
      <c r="H323" s="10"/>
      <c r="I323" s="10">
        <f t="shared" si="16"/>
        <v>0</v>
      </c>
      <c r="J323" s="10"/>
      <c r="K323" s="10">
        <f t="shared" si="17"/>
        <v>0</v>
      </c>
      <c r="L323" s="10">
        <f t="shared" si="18"/>
        <v>0</v>
      </c>
    </row>
    <row r="324" spans="1:12" x14ac:dyDescent="0.3">
      <c r="A324" s="11"/>
      <c r="B324" s="11" t="s">
        <v>858</v>
      </c>
      <c r="C324" s="4"/>
      <c r="D324" s="12"/>
      <c r="E324" s="12"/>
      <c r="F324" s="13"/>
      <c r="G324" s="13">
        <f t="shared" si="15"/>
        <v>0</v>
      </c>
      <c r="H324" s="13"/>
      <c r="I324" s="13">
        <f t="shared" si="16"/>
        <v>0</v>
      </c>
      <c r="J324" s="13"/>
      <c r="K324" s="13">
        <f t="shared" si="17"/>
        <v>0</v>
      </c>
      <c r="L324" s="13">
        <f t="shared" si="18"/>
        <v>0</v>
      </c>
    </row>
    <row r="325" spans="1:12" ht="115.2" x14ac:dyDescent="0.3">
      <c r="A325" s="2">
        <f>A323+1</f>
        <v>298</v>
      </c>
      <c r="B325" s="17" t="s">
        <v>1018</v>
      </c>
      <c r="C325" s="18" t="s">
        <v>1028</v>
      </c>
      <c r="D325" s="19"/>
      <c r="E325" s="19">
        <v>4</v>
      </c>
      <c r="F325" s="10"/>
      <c r="G325" s="10">
        <f t="shared" si="15"/>
        <v>0</v>
      </c>
      <c r="H325" s="10"/>
      <c r="I325" s="10">
        <f t="shared" si="16"/>
        <v>0</v>
      </c>
      <c r="J325" s="10"/>
      <c r="K325" s="10">
        <f t="shared" si="17"/>
        <v>0</v>
      </c>
      <c r="L325" s="10">
        <f t="shared" si="18"/>
        <v>0</v>
      </c>
    </row>
    <row r="326" spans="1:12" ht="115.2" x14ac:dyDescent="0.3">
      <c r="A326" s="2">
        <f>A325+1</f>
        <v>299</v>
      </c>
      <c r="B326" s="17" t="s">
        <v>1019</v>
      </c>
      <c r="C326" s="18" t="s">
        <v>1028</v>
      </c>
      <c r="D326" s="27"/>
      <c r="E326" s="19">
        <v>2</v>
      </c>
      <c r="F326" s="10"/>
      <c r="G326" s="10">
        <f t="shared" si="15"/>
        <v>0</v>
      </c>
      <c r="H326" s="10"/>
      <c r="I326" s="10">
        <f t="shared" si="16"/>
        <v>0</v>
      </c>
      <c r="J326" s="10"/>
      <c r="K326" s="10">
        <f t="shared" si="17"/>
        <v>0</v>
      </c>
      <c r="L326" s="10">
        <f t="shared" si="18"/>
        <v>0</v>
      </c>
    </row>
    <row r="327" spans="1:12" ht="43.2" x14ac:dyDescent="0.3">
      <c r="A327" s="2">
        <f>A326+1</f>
        <v>300</v>
      </c>
      <c r="B327" s="17" t="s">
        <v>968</v>
      </c>
      <c r="C327" s="18" t="s">
        <v>72</v>
      </c>
      <c r="D327" s="27"/>
      <c r="E327" s="19">
        <v>6</v>
      </c>
      <c r="F327" s="10"/>
      <c r="G327" s="10">
        <f t="shared" si="15"/>
        <v>0</v>
      </c>
      <c r="H327" s="10"/>
      <c r="I327" s="10">
        <f t="shared" si="16"/>
        <v>0</v>
      </c>
      <c r="J327" s="10"/>
      <c r="K327" s="10">
        <f t="shared" si="17"/>
        <v>0</v>
      </c>
      <c r="L327" s="10">
        <f t="shared" si="18"/>
        <v>0</v>
      </c>
    </row>
    <row r="328" spans="1:12" x14ac:dyDescent="0.3">
      <c r="A328" s="2">
        <f>A327+1</f>
        <v>301</v>
      </c>
      <c r="B328" s="17" t="s">
        <v>859</v>
      </c>
      <c r="C328" s="18" t="s">
        <v>72</v>
      </c>
      <c r="D328" s="27"/>
      <c r="E328" s="19">
        <v>4</v>
      </c>
      <c r="F328" s="10"/>
      <c r="G328" s="10">
        <f t="shared" si="15"/>
        <v>0</v>
      </c>
      <c r="H328" s="10"/>
      <c r="I328" s="10">
        <f t="shared" si="16"/>
        <v>0</v>
      </c>
      <c r="J328" s="10"/>
      <c r="K328" s="10">
        <f t="shared" si="17"/>
        <v>0</v>
      </c>
      <c r="L328" s="10">
        <f t="shared" si="18"/>
        <v>0</v>
      </c>
    </row>
    <row r="329" spans="1:12" x14ac:dyDescent="0.3">
      <c r="A329" s="2">
        <f>A328+1</f>
        <v>302</v>
      </c>
      <c r="B329" s="17" t="s">
        <v>819</v>
      </c>
      <c r="C329" s="18" t="s">
        <v>72</v>
      </c>
      <c r="D329" s="19"/>
      <c r="E329" s="19">
        <v>6</v>
      </c>
      <c r="F329" s="10"/>
      <c r="G329" s="10">
        <f t="shared" si="15"/>
        <v>0</v>
      </c>
      <c r="H329" s="10"/>
      <c r="I329" s="10">
        <f t="shared" si="16"/>
        <v>0</v>
      </c>
      <c r="J329" s="10"/>
      <c r="K329" s="10">
        <f t="shared" si="17"/>
        <v>0</v>
      </c>
      <c r="L329" s="10">
        <f t="shared" si="18"/>
        <v>0</v>
      </c>
    </row>
    <row r="330" spans="1:12" x14ac:dyDescent="0.3">
      <c r="A330" s="11"/>
      <c r="B330" s="11" t="s">
        <v>860</v>
      </c>
      <c r="C330" s="4"/>
      <c r="D330" s="12"/>
      <c r="E330" s="12"/>
      <c r="F330" s="13"/>
      <c r="G330" s="13">
        <f t="shared" si="15"/>
        <v>0</v>
      </c>
      <c r="H330" s="13"/>
      <c r="I330" s="13">
        <f t="shared" si="16"/>
        <v>0</v>
      </c>
      <c r="J330" s="13"/>
      <c r="K330" s="13">
        <f t="shared" si="17"/>
        <v>0</v>
      </c>
      <c r="L330" s="13">
        <f t="shared" si="18"/>
        <v>0</v>
      </c>
    </row>
    <row r="331" spans="1:12" ht="43.2" x14ac:dyDescent="0.3">
      <c r="A331" s="2">
        <f>A329+1</f>
        <v>303</v>
      </c>
      <c r="B331" s="17" t="s">
        <v>861</v>
      </c>
      <c r="C331" s="18" t="s">
        <v>1028</v>
      </c>
      <c r="D331" s="19"/>
      <c r="E331" s="19">
        <v>3</v>
      </c>
      <c r="F331" s="10"/>
      <c r="G331" s="10">
        <f t="shared" si="15"/>
        <v>0</v>
      </c>
      <c r="H331" s="10"/>
      <c r="I331" s="10">
        <f t="shared" si="16"/>
        <v>0</v>
      </c>
      <c r="J331" s="10"/>
      <c r="K331" s="10">
        <f t="shared" si="17"/>
        <v>0</v>
      </c>
      <c r="L331" s="10">
        <f t="shared" si="18"/>
        <v>0</v>
      </c>
    </row>
    <row r="332" spans="1:12" x14ac:dyDescent="0.3">
      <c r="A332" s="2">
        <f>A331+1</f>
        <v>304</v>
      </c>
      <c r="B332" s="17" t="s">
        <v>862</v>
      </c>
      <c r="C332" s="18" t="s">
        <v>72</v>
      </c>
      <c r="D332" s="19"/>
      <c r="E332" s="19">
        <v>8</v>
      </c>
      <c r="F332" s="10"/>
      <c r="G332" s="10">
        <f t="shared" si="15"/>
        <v>0</v>
      </c>
      <c r="H332" s="10"/>
      <c r="I332" s="10">
        <f t="shared" si="16"/>
        <v>0</v>
      </c>
      <c r="J332" s="10"/>
      <c r="K332" s="10">
        <f t="shared" si="17"/>
        <v>0</v>
      </c>
      <c r="L332" s="10">
        <f t="shared" si="18"/>
        <v>0</v>
      </c>
    </row>
    <row r="333" spans="1:12" ht="28.8" x14ac:dyDescent="0.3">
      <c r="A333" s="2">
        <f t="shared" ref="A333:A339" si="25">A332+1</f>
        <v>305</v>
      </c>
      <c r="B333" s="17" t="s">
        <v>863</v>
      </c>
      <c r="C333" s="18" t="s">
        <v>1028</v>
      </c>
      <c r="D333" s="19"/>
      <c r="E333" s="19">
        <v>3</v>
      </c>
      <c r="F333" s="10"/>
      <c r="G333" s="10">
        <f t="shared" si="15"/>
        <v>0</v>
      </c>
      <c r="H333" s="10"/>
      <c r="I333" s="10">
        <f t="shared" si="16"/>
        <v>0</v>
      </c>
      <c r="J333" s="10"/>
      <c r="K333" s="10">
        <f t="shared" si="17"/>
        <v>0</v>
      </c>
      <c r="L333" s="10">
        <f t="shared" si="18"/>
        <v>0</v>
      </c>
    </row>
    <row r="334" spans="1:12" ht="43.2" x14ac:dyDescent="0.3">
      <c r="A334" s="2">
        <f t="shared" si="25"/>
        <v>306</v>
      </c>
      <c r="B334" s="17" t="s">
        <v>992</v>
      </c>
      <c r="C334" s="18" t="s">
        <v>72</v>
      </c>
      <c r="D334" s="19"/>
      <c r="E334" s="19">
        <v>1</v>
      </c>
      <c r="F334" s="10"/>
      <c r="G334" s="10">
        <f t="shared" si="15"/>
        <v>0</v>
      </c>
      <c r="H334" s="10"/>
      <c r="I334" s="10">
        <f t="shared" si="16"/>
        <v>0</v>
      </c>
      <c r="J334" s="10"/>
      <c r="K334" s="10">
        <f t="shared" si="17"/>
        <v>0</v>
      </c>
      <c r="L334" s="10">
        <f t="shared" si="18"/>
        <v>0</v>
      </c>
    </row>
    <row r="335" spans="1:12" ht="43.2" x14ac:dyDescent="0.3">
      <c r="A335" s="2">
        <f t="shared" si="25"/>
        <v>307</v>
      </c>
      <c r="B335" s="17" t="s">
        <v>993</v>
      </c>
      <c r="C335" s="18" t="s">
        <v>72</v>
      </c>
      <c r="D335" s="27"/>
      <c r="E335" s="19">
        <v>2</v>
      </c>
      <c r="F335" s="10"/>
      <c r="G335" s="10">
        <f t="shared" si="15"/>
        <v>0</v>
      </c>
      <c r="H335" s="10"/>
      <c r="I335" s="10">
        <f t="shared" si="16"/>
        <v>0</v>
      </c>
      <c r="J335" s="10"/>
      <c r="K335" s="10">
        <f t="shared" si="17"/>
        <v>0</v>
      </c>
      <c r="L335" s="10">
        <f t="shared" si="18"/>
        <v>0</v>
      </c>
    </row>
    <row r="336" spans="1:12" x14ac:dyDescent="0.3">
      <c r="A336" s="2">
        <f t="shared" si="25"/>
        <v>308</v>
      </c>
      <c r="B336" s="17" t="s">
        <v>864</v>
      </c>
      <c r="C336" s="18" t="s">
        <v>1028</v>
      </c>
      <c r="D336" s="27"/>
      <c r="E336" s="19">
        <v>1</v>
      </c>
      <c r="F336" s="10"/>
      <c r="G336" s="10">
        <f t="shared" si="15"/>
        <v>0</v>
      </c>
      <c r="H336" s="10"/>
      <c r="I336" s="10">
        <f t="shared" si="16"/>
        <v>0</v>
      </c>
      <c r="J336" s="10"/>
      <c r="K336" s="10">
        <f t="shared" si="17"/>
        <v>0</v>
      </c>
      <c r="L336" s="10">
        <f t="shared" si="18"/>
        <v>0</v>
      </c>
    </row>
    <row r="337" spans="1:14" x14ac:dyDescent="0.3">
      <c r="A337" s="2">
        <f t="shared" si="25"/>
        <v>309</v>
      </c>
      <c r="B337" s="17" t="s">
        <v>865</v>
      </c>
      <c r="C337" s="18" t="s">
        <v>1028</v>
      </c>
      <c r="D337" s="27"/>
      <c r="E337" s="19">
        <v>2</v>
      </c>
      <c r="F337" s="10"/>
      <c r="G337" s="10">
        <f t="shared" si="15"/>
        <v>0</v>
      </c>
      <c r="H337" s="10"/>
      <c r="I337" s="10">
        <f t="shared" si="16"/>
        <v>0</v>
      </c>
      <c r="J337" s="10"/>
      <c r="K337" s="10">
        <f t="shared" si="17"/>
        <v>0</v>
      </c>
      <c r="L337" s="10">
        <f t="shared" si="18"/>
        <v>0</v>
      </c>
    </row>
    <row r="338" spans="1:14" ht="43.2" x14ac:dyDescent="0.3">
      <c r="A338" s="2">
        <f t="shared" si="25"/>
        <v>310</v>
      </c>
      <c r="B338" s="17" t="s">
        <v>866</v>
      </c>
      <c r="C338" s="18" t="s">
        <v>72</v>
      </c>
      <c r="D338" s="19"/>
      <c r="E338" s="19">
        <v>1</v>
      </c>
      <c r="F338" s="10"/>
      <c r="G338" s="10">
        <f t="shared" si="15"/>
        <v>0</v>
      </c>
      <c r="H338" s="10"/>
      <c r="I338" s="10">
        <f t="shared" si="16"/>
        <v>0</v>
      </c>
      <c r="J338" s="10"/>
      <c r="K338" s="10">
        <f t="shared" si="17"/>
        <v>0</v>
      </c>
      <c r="L338" s="10">
        <f t="shared" si="18"/>
        <v>0</v>
      </c>
    </row>
    <row r="339" spans="1:14" ht="43.2" x14ac:dyDescent="0.3">
      <c r="A339" s="2">
        <f t="shared" si="25"/>
        <v>311</v>
      </c>
      <c r="B339" s="17" t="s">
        <v>867</v>
      </c>
      <c r="C339" s="18" t="s">
        <v>72</v>
      </c>
      <c r="D339" s="19"/>
      <c r="E339" s="19">
        <v>2</v>
      </c>
      <c r="F339" s="10"/>
      <c r="G339" s="10">
        <f t="shared" si="15"/>
        <v>0</v>
      </c>
      <c r="H339" s="10"/>
      <c r="I339" s="10">
        <f t="shared" si="16"/>
        <v>0</v>
      </c>
      <c r="J339" s="10"/>
      <c r="K339" s="10">
        <f t="shared" si="17"/>
        <v>0</v>
      </c>
      <c r="L339" s="10">
        <f t="shared" si="18"/>
        <v>0</v>
      </c>
    </row>
    <row r="340" spans="1:14" x14ac:dyDescent="0.3">
      <c r="A340" s="11"/>
      <c r="B340" s="11" t="s">
        <v>868</v>
      </c>
      <c r="C340" s="4"/>
      <c r="D340" s="12"/>
      <c r="E340" s="12"/>
      <c r="F340" s="13"/>
      <c r="G340" s="13">
        <f t="shared" si="15"/>
        <v>0</v>
      </c>
      <c r="H340" s="13"/>
      <c r="I340" s="13">
        <f t="shared" si="16"/>
        <v>0</v>
      </c>
      <c r="J340" s="13"/>
      <c r="K340" s="13">
        <f t="shared" si="17"/>
        <v>0</v>
      </c>
      <c r="L340" s="13">
        <f t="shared" si="18"/>
        <v>0</v>
      </c>
    </row>
    <row r="341" spans="1:14" ht="43.2" x14ac:dyDescent="0.3">
      <c r="A341" s="2">
        <f>A339+1</f>
        <v>312</v>
      </c>
      <c r="B341" s="17" t="s">
        <v>861</v>
      </c>
      <c r="C341" s="18" t="s">
        <v>1028</v>
      </c>
      <c r="D341" s="19"/>
      <c r="E341" s="19">
        <v>3</v>
      </c>
      <c r="F341" s="10"/>
      <c r="G341" s="10">
        <f t="shared" si="15"/>
        <v>0</v>
      </c>
      <c r="H341" s="10"/>
      <c r="I341" s="10">
        <f t="shared" si="16"/>
        <v>0</v>
      </c>
      <c r="J341" s="10"/>
      <c r="K341" s="10">
        <f t="shared" si="17"/>
        <v>0</v>
      </c>
      <c r="L341" s="10">
        <f t="shared" si="18"/>
        <v>0</v>
      </c>
    </row>
    <row r="342" spans="1:14" x14ac:dyDescent="0.3">
      <c r="A342" s="2">
        <f>A341+1</f>
        <v>313</v>
      </c>
      <c r="B342" s="17" t="s">
        <v>862</v>
      </c>
      <c r="C342" s="18" t="s">
        <v>72</v>
      </c>
      <c r="D342" s="19"/>
      <c r="E342" s="19">
        <v>8</v>
      </c>
      <c r="F342" s="10"/>
      <c r="G342" s="10">
        <f t="shared" si="15"/>
        <v>0</v>
      </c>
      <c r="H342" s="10"/>
      <c r="I342" s="10">
        <f t="shared" si="16"/>
        <v>0</v>
      </c>
      <c r="J342" s="10"/>
      <c r="K342" s="10">
        <f t="shared" si="17"/>
        <v>0</v>
      </c>
      <c r="L342" s="10">
        <f t="shared" si="18"/>
        <v>0</v>
      </c>
    </row>
    <row r="343" spans="1:14" ht="28.8" x14ac:dyDescent="0.3">
      <c r="A343" s="2">
        <f t="shared" ref="A343:A349" si="26">A342+1</f>
        <v>314</v>
      </c>
      <c r="B343" s="17" t="s">
        <v>863</v>
      </c>
      <c r="C343" s="18" t="s">
        <v>1028</v>
      </c>
      <c r="D343" s="19"/>
      <c r="E343" s="19">
        <v>3</v>
      </c>
      <c r="F343" s="10"/>
      <c r="G343" s="10">
        <f t="shared" si="15"/>
        <v>0</v>
      </c>
      <c r="H343" s="10"/>
      <c r="I343" s="10">
        <f t="shared" si="16"/>
        <v>0</v>
      </c>
      <c r="J343" s="10"/>
      <c r="K343" s="10">
        <f t="shared" si="17"/>
        <v>0</v>
      </c>
      <c r="L343" s="10">
        <f t="shared" si="18"/>
        <v>0</v>
      </c>
    </row>
    <row r="344" spans="1:14" ht="43.2" x14ac:dyDescent="0.3">
      <c r="A344" s="2">
        <f t="shared" si="26"/>
        <v>315</v>
      </c>
      <c r="B344" s="17" t="s">
        <v>992</v>
      </c>
      <c r="C344" s="18" t="s">
        <v>72</v>
      </c>
      <c r="D344" s="19"/>
      <c r="E344" s="19">
        <v>1</v>
      </c>
      <c r="F344" s="10"/>
      <c r="G344" s="10">
        <f t="shared" si="15"/>
        <v>0</v>
      </c>
      <c r="H344" s="10"/>
      <c r="I344" s="10">
        <f t="shared" si="16"/>
        <v>0</v>
      </c>
      <c r="J344" s="10"/>
      <c r="K344" s="10">
        <f t="shared" si="17"/>
        <v>0</v>
      </c>
      <c r="L344" s="10">
        <f t="shared" si="18"/>
        <v>0</v>
      </c>
    </row>
    <row r="345" spans="1:14" ht="43.2" x14ac:dyDescent="0.3">
      <c r="A345" s="2">
        <f t="shared" si="26"/>
        <v>316</v>
      </c>
      <c r="B345" s="17" t="s">
        <v>993</v>
      </c>
      <c r="C345" s="18" t="s">
        <v>72</v>
      </c>
      <c r="D345" s="19"/>
      <c r="E345" s="19">
        <v>2</v>
      </c>
      <c r="F345" s="10"/>
      <c r="G345" s="10">
        <f t="shared" si="15"/>
        <v>0</v>
      </c>
      <c r="H345" s="10"/>
      <c r="I345" s="10">
        <f t="shared" si="16"/>
        <v>0</v>
      </c>
      <c r="J345" s="10"/>
      <c r="K345" s="10">
        <f t="shared" si="17"/>
        <v>0</v>
      </c>
      <c r="L345" s="10">
        <f t="shared" si="18"/>
        <v>0</v>
      </c>
    </row>
    <row r="346" spans="1:14" x14ac:dyDescent="0.3">
      <c r="A346" s="2">
        <f t="shared" si="26"/>
        <v>317</v>
      </c>
      <c r="B346" s="17" t="s">
        <v>864</v>
      </c>
      <c r="C346" s="18" t="s">
        <v>1028</v>
      </c>
      <c r="D346" s="19"/>
      <c r="E346" s="19">
        <v>1</v>
      </c>
      <c r="F346" s="10"/>
      <c r="G346" s="10">
        <f t="shared" si="15"/>
        <v>0</v>
      </c>
      <c r="H346" s="10"/>
      <c r="I346" s="10">
        <f t="shared" si="16"/>
        <v>0</v>
      </c>
      <c r="J346" s="10"/>
      <c r="K346" s="10">
        <f t="shared" si="17"/>
        <v>0</v>
      </c>
      <c r="L346" s="10">
        <f t="shared" si="18"/>
        <v>0</v>
      </c>
    </row>
    <row r="347" spans="1:14" x14ac:dyDescent="0.3">
      <c r="A347" s="2">
        <f t="shared" si="26"/>
        <v>318</v>
      </c>
      <c r="B347" s="17" t="s">
        <v>865</v>
      </c>
      <c r="C347" s="18" t="s">
        <v>1028</v>
      </c>
      <c r="D347" s="19"/>
      <c r="E347" s="19">
        <v>2</v>
      </c>
      <c r="F347" s="10"/>
      <c r="G347" s="10">
        <f t="shared" si="15"/>
        <v>0</v>
      </c>
      <c r="H347" s="10"/>
      <c r="I347" s="10">
        <f t="shared" si="16"/>
        <v>0</v>
      </c>
      <c r="J347" s="10"/>
      <c r="K347" s="10">
        <f t="shared" si="17"/>
        <v>0</v>
      </c>
      <c r="L347" s="10">
        <f t="shared" si="18"/>
        <v>0</v>
      </c>
    </row>
    <row r="348" spans="1:14" ht="43.2" x14ac:dyDescent="0.3">
      <c r="A348" s="2">
        <f t="shared" si="26"/>
        <v>319</v>
      </c>
      <c r="B348" s="17" t="s">
        <v>866</v>
      </c>
      <c r="C348" s="18" t="s">
        <v>72</v>
      </c>
      <c r="D348" s="19"/>
      <c r="E348" s="19">
        <v>1</v>
      </c>
      <c r="F348" s="10"/>
      <c r="G348" s="10">
        <f t="shared" si="15"/>
        <v>0</v>
      </c>
      <c r="H348" s="10"/>
      <c r="I348" s="10">
        <f t="shared" si="16"/>
        <v>0</v>
      </c>
      <c r="J348" s="10"/>
      <c r="K348" s="10">
        <f t="shared" si="17"/>
        <v>0</v>
      </c>
      <c r="L348" s="10">
        <f t="shared" si="18"/>
        <v>0</v>
      </c>
    </row>
    <row r="349" spans="1:14" ht="43.2" x14ac:dyDescent="0.3">
      <c r="A349" s="2">
        <f t="shared" si="26"/>
        <v>320</v>
      </c>
      <c r="B349" s="17" t="s">
        <v>867</v>
      </c>
      <c r="C349" s="18" t="s">
        <v>72</v>
      </c>
      <c r="D349" s="19"/>
      <c r="E349" s="19">
        <v>2</v>
      </c>
      <c r="F349" s="10"/>
      <c r="G349" s="10">
        <f t="shared" si="15"/>
        <v>0</v>
      </c>
      <c r="H349" s="10"/>
      <c r="I349" s="10">
        <f t="shared" si="16"/>
        <v>0</v>
      </c>
      <c r="J349" s="10"/>
      <c r="K349" s="10">
        <f t="shared" si="17"/>
        <v>0</v>
      </c>
      <c r="L349" s="10">
        <f t="shared" si="18"/>
        <v>0</v>
      </c>
    </row>
    <row r="350" spans="1:14" x14ac:dyDescent="0.3">
      <c r="A350" s="11"/>
      <c r="B350" s="11" t="s">
        <v>868</v>
      </c>
      <c r="C350" s="4"/>
      <c r="D350" s="12"/>
      <c r="E350" s="12"/>
      <c r="F350" s="13"/>
      <c r="G350" s="13">
        <f t="shared" si="15"/>
        <v>0</v>
      </c>
      <c r="H350" s="13"/>
      <c r="I350" s="13">
        <f t="shared" si="16"/>
        <v>0</v>
      </c>
      <c r="J350" s="13"/>
      <c r="K350" s="13">
        <f t="shared" si="17"/>
        <v>0</v>
      </c>
      <c r="L350" s="13">
        <f t="shared" si="18"/>
        <v>0</v>
      </c>
    </row>
    <row r="351" spans="1:14" ht="86.4" x14ac:dyDescent="0.3">
      <c r="A351" s="2">
        <f>A349+1</f>
        <v>321</v>
      </c>
      <c r="B351" s="17" t="s">
        <v>1020</v>
      </c>
      <c r="C351" s="18" t="s">
        <v>1028</v>
      </c>
      <c r="D351" s="19"/>
      <c r="E351" s="19">
        <v>2</v>
      </c>
      <c r="F351" s="10"/>
      <c r="G351" s="10">
        <f t="shared" si="15"/>
        <v>0</v>
      </c>
      <c r="H351" s="10"/>
      <c r="I351" s="10">
        <f t="shared" si="16"/>
        <v>0</v>
      </c>
      <c r="J351" s="10"/>
      <c r="K351" s="10">
        <f t="shared" si="17"/>
        <v>0</v>
      </c>
      <c r="L351" s="10">
        <f t="shared" si="18"/>
        <v>0</v>
      </c>
      <c r="N351" s="9"/>
    </row>
    <row r="352" spans="1:14" ht="28.8" x14ac:dyDescent="0.3">
      <c r="A352" s="2">
        <f>A351+1</f>
        <v>322</v>
      </c>
      <c r="B352" s="17" t="s">
        <v>869</v>
      </c>
      <c r="C352" s="18" t="s">
        <v>72</v>
      </c>
      <c r="D352" s="27"/>
      <c r="E352" s="19">
        <v>4</v>
      </c>
      <c r="F352" s="10"/>
      <c r="G352" s="10">
        <f t="shared" si="15"/>
        <v>0</v>
      </c>
      <c r="H352" s="10"/>
      <c r="I352" s="10">
        <f t="shared" si="16"/>
        <v>0</v>
      </c>
      <c r="J352" s="10"/>
      <c r="K352" s="10">
        <f t="shared" si="17"/>
        <v>0</v>
      </c>
      <c r="L352" s="10">
        <f t="shared" si="18"/>
        <v>0</v>
      </c>
    </row>
    <row r="353" spans="1:12" x14ac:dyDescent="0.3">
      <c r="A353" s="11"/>
      <c r="B353" s="11" t="s">
        <v>870</v>
      </c>
      <c r="C353" s="4"/>
      <c r="D353" s="12"/>
      <c r="E353" s="12"/>
      <c r="F353" s="13"/>
      <c r="G353" s="13">
        <f t="shared" si="15"/>
        <v>0</v>
      </c>
      <c r="H353" s="13"/>
      <c r="I353" s="13">
        <f t="shared" si="16"/>
        <v>0</v>
      </c>
      <c r="J353" s="13"/>
      <c r="K353" s="13">
        <f t="shared" si="17"/>
        <v>0</v>
      </c>
      <c r="L353" s="13">
        <f t="shared" si="18"/>
        <v>0</v>
      </c>
    </row>
    <row r="354" spans="1:12" ht="28.8" x14ac:dyDescent="0.3">
      <c r="A354" s="2">
        <f>A352+1</f>
        <v>323</v>
      </c>
      <c r="B354" s="17" t="s">
        <v>871</v>
      </c>
      <c r="C354" s="18" t="s">
        <v>12</v>
      </c>
      <c r="D354" s="19"/>
      <c r="E354" s="19">
        <v>302.45</v>
      </c>
      <c r="F354" s="10"/>
      <c r="G354" s="10">
        <f t="shared" si="15"/>
        <v>0</v>
      </c>
      <c r="H354" s="10"/>
      <c r="I354" s="10">
        <f t="shared" si="16"/>
        <v>0</v>
      </c>
      <c r="J354" s="10"/>
      <c r="K354" s="10">
        <f t="shared" si="17"/>
        <v>0</v>
      </c>
      <c r="L354" s="10">
        <f t="shared" si="18"/>
        <v>0</v>
      </c>
    </row>
    <row r="355" spans="1:12" ht="28.8" x14ac:dyDescent="0.3">
      <c r="A355" s="2">
        <f>A354+1</f>
        <v>324</v>
      </c>
      <c r="B355" s="17" t="s">
        <v>872</v>
      </c>
      <c r="C355" s="18" t="s">
        <v>12</v>
      </c>
      <c r="D355" s="19"/>
      <c r="E355" s="19">
        <v>156.39999999999998</v>
      </c>
      <c r="F355" s="10"/>
      <c r="G355" s="10">
        <f t="shared" si="15"/>
        <v>0</v>
      </c>
      <c r="H355" s="10"/>
      <c r="I355" s="10">
        <f t="shared" si="16"/>
        <v>0</v>
      </c>
      <c r="J355" s="10"/>
      <c r="K355" s="10">
        <f t="shared" si="17"/>
        <v>0</v>
      </c>
      <c r="L355" s="10">
        <f t="shared" si="18"/>
        <v>0</v>
      </c>
    </row>
    <row r="356" spans="1:12" ht="43.2" x14ac:dyDescent="0.3">
      <c r="A356" s="2">
        <f t="shared" ref="A356:A393" si="27">A355+1</f>
        <v>325</v>
      </c>
      <c r="B356" s="17" t="s">
        <v>873</v>
      </c>
      <c r="C356" s="18" t="s">
        <v>12</v>
      </c>
      <c r="D356" s="27"/>
      <c r="E356" s="19">
        <v>110</v>
      </c>
      <c r="F356" s="10"/>
      <c r="G356" s="10">
        <f t="shared" si="15"/>
        <v>0</v>
      </c>
      <c r="H356" s="10"/>
      <c r="I356" s="10">
        <f t="shared" si="16"/>
        <v>0</v>
      </c>
      <c r="J356" s="10"/>
      <c r="K356" s="10">
        <f t="shared" si="17"/>
        <v>0</v>
      </c>
      <c r="L356" s="10">
        <f t="shared" si="18"/>
        <v>0</v>
      </c>
    </row>
    <row r="357" spans="1:12" ht="43.2" x14ac:dyDescent="0.3">
      <c r="A357" s="2">
        <f t="shared" si="27"/>
        <v>326</v>
      </c>
      <c r="B357" s="17" t="s">
        <v>874</v>
      </c>
      <c r="C357" s="18" t="s">
        <v>12</v>
      </c>
      <c r="D357" s="27"/>
      <c r="E357" s="19">
        <v>14</v>
      </c>
      <c r="F357" s="10"/>
      <c r="G357" s="10">
        <f t="shared" si="15"/>
        <v>0</v>
      </c>
      <c r="H357" s="10"/>
      <c r="I357" s="10">
        <f t="shared" si="16"/>
        <v>0</v>
      </c>
      <c r="J357" s="10"/>
      <c r="K357" s="10">
        <f t="shared" si="17"/>
        <v>0</v>
      </c>
      <c r="L357" s="10">
        <f t="shared" si="18"/>
        <v>0</v>
      </c>
    </row>
    <row r="358" spans="1:12" ht="43.2" x14ac:dyDescent="0.3">
      <c r="A358" s="2">
        <f t="shared" si="27"/>
        <v>327</v>
      </c>
      <c r="B358" s="17" t="s">
        <v>875</v>
      </c>
      <c r="C358" s="18" t="s">
        <v>12</v>
      </c>
      <c r="D358" s="27"/>
      <c r="E358" s="19">
        <v>15.400000000000002</v>
      </c>
      <c r="F358" s="10"/>
      <c r="G358" s="10">
        <f t="shared" si="15"/>
        <v>0</v>
      </c>
      <c r="H358" s="10"/>
      <c r="I358" s="10">
        <f t="shared" si="16"/>
        <v>0</v>
      </c>
      <c r="J358" s="10"/>
      <c r="K358" s="10">
        <f t="shared" si="17"/>
        <v>0</v>
      </c>
      <c r="L358" s="10">
        <f t="shared" si="18"/>
        <v>0</v>
      </c>
    </row>
    <row r="359" spans="1:12" x14ac:dyDescent="0.3">
      <c r="A359" s="2">
        <f t="shared" si="27"/>
        <v>328</v>
      </c>
      <c r="B359" s="17" t="s">
        <v>876</v>
      </c>
      <c r="C359" s="18" t="s">
        <v>72</v>
      </c>
      <c r="D359" s="19"/>
      <c r="E359" s="19">
        <v>10</v>
      </c>
      <c r="F359" s="10"/>
      <c r="G359" s="10">
        <f t="shared" si="15"/>
        <v>0</v>
      </c>
      <c r="H359" s="10"/>
      <c r="I359" s="10">
        <f t="shared" si="16"/>
        <v>0</v>
      </c>
      <c r="J359" s="10"/>
      <c r="K359" s="10">
        <f t="shared" si="17"/>
        <v>0</v>
      </c>
      <c r="L359" s="10">
        <f t="shared" si="18"/>
        <v>0</v>
      </c>
    </row>
    <row r="360" spans="1:12" x14ac:dyDescent="0.3">
      <c r="A360" s="2">
        <f t="shared" si="27"/>
        <v>329</v>
      </c>
      <c r="B360" s="17" t="s">
        <v>877</v>
      </c>
      <c r="C360" s="18" t="s">
        <v>72</v>
      </c>
      <c r="D360" s="19"/>
      <c r="E360" s="19">
        <v>2</v>
      </c>
      <c r="F360" s="10"/>
      <c r="G360" s="10">
        <f t="shared" si="15"/>
        <v>0</v>
      </c>
      <c r="H360" s="10"/>
      <c r="I360" s="10">
        <f t="shared" si="16"/>
        <v>0</v>
      </c>
      <c r="J360" s="10"/>
      <c r="K360" s="10">
        <f t="shared" si="17"/>
        <v>0</v>
      </c>
      <c r="L360" s="10">
        <f t="shared" si="18"/>
        <v>0</v>
      </c>
    </row>
    <row r="361" spans="1:12" x14ac:dyDescent="0.3">
      <c r="A361" s="2">
        <f t="shared" si="27"/>
        <v>330</v>
      </c>
      <c r="B361" s="17" t="s">
        <v>878</v>
      </c>
      <c r="C361" s="18" t="s">
        <v>72</v>
      </c>
      <c r="D361" s="19"/>
      <c r="E361" s="19">
        <v>2</v>
      </c>
      <c r="F361" s="10"/>
      <c r="G361" s="10">
        <f t="shared" si="15"/>
        <v>0</v>
      </c>
      <c r="H361" s="10"/>
      <c r="I361" s="10">
        <f t="shared" si="16"/>
        <v>0</v>
      </c>
      <c r="J361" s="10"/>
      <c r="K361" s="10">
        <f t="shared" si="17"/>
        <v>0</v>
      </c>
      <c r="L361" s="10">
        <f t="shared" si="18"/>
        <v>0</v>
      </c>
    </row>
    <row r="362" spans="1:12" ht="28.8" x14ac:dyDescent="0.3">
      <c r="A362" s="2">
        <f t="shared" si="27"/>
        <v>331</v>
      </c>
      <c r="B362" s="17" t="s">
        <v>924</v>
      </c>
      <c r="C362" s="18" t="s">
        <v>1028</v>
      </c>
      <c r="D362" s="19"/>
      <c r="E362" s="19">
        <v>28</v>
      </c>
      <c r="F362" s="10"/>
      <c r="G362" s="10">
        <f t="shared" si="15"/>
        <v>0</v>
      </c>
      <c r="H362" s="10"/>
      <c r="I362" s="10">
        <f t="shared" si="16"/>
        <v>0</v>
      </c>
      <c r="J362" s="10"/>
      <c r="K362" s="10">
        <f t="shared" si="17"/>
        <v>0</v>
      </c>
      <c r="L362" s="10">
        <f t="shared" si="18"/>
        <v>0</v>
      </c>
    </row>
    <row r="363" spans="1:12" x14ac:dyDescent="0.3">
      <c r="A363" s="2">
        <f t="shared" si="27"/>
        <v>332</v>
      </c>
      <c r="B363" s="17" t="s">
        <v>943</v>
      </c>
      <c r="C363" s="18" t="s">
        <v>72</v>
      </c>
      <c r="D363" s="19"/>
      <c r="E363" s="19">
        <v>4</v>
      </c>
      <c r="F363" s="10"/>
      <c r="G363" s="10">
        <f t="shared" si="15"/>
        <v>0</v>
      </c>
      <c r="H363" s="10"/>
      <c r="I363" s="10">
        <f t="shared" si="16"/>
        <v>0</v>
      </c>
      <c r="J363" s="10"/>
      <c r="K363" s="10">
        <f t="shared" si="17"/>
        <v>0</v>
      </c>
      <c r="L363" s="10">
        <f t="shared" si="18"/>
        <v>0</v>
      </c>
    </row>
    <row r="364" spans="1:12" x14ac:dyDescent="0.3">
      <c r="A364" s="2">
        <f t="shared" si="27"/>
        <v>333</v>
      </c>
      <c r="B364" s="17" t="s">
        <v>944</v>
      </c>
      <c r="C364" s="18" t="s">
        <v>72</v>
      </c>
      <c r="D364" s="19"/>
      <c r="E364" s="19">
        <v>32</v>
      </c>
      <c r="F364" s="10"/>
      <c r="G364" s="10">
        <f t="shared" si="15"/>
        <v>0</v>
      </c>
      <c r="H364" s="10"/>
      <c r="I364" s="10">
        <f t="shared" si="16"/>
        <v>0</v>
      </c>
      <c r="J364" s="10"/>
      <c r="K364" s="10">
        <f t="shared" si="17"/>
        <v>0</v>
      </c>
      <c r="L364" s="10">
        <f t="shared" si="18"/>
        <v>0</v>
      </c>
    </row>
    <row r="365" spans="1:12" x14ac:dyDescent="0.3">
      <c r="A365" s="2">
        <f t="shared" si="27"/>
        <v>334</v>
      </c>
      <c r="B365" s="17" t="s">
        <v>945</v>
      </c>
      <c r="C365" s="18" t="s">
        <v>72</v>
      </c>
      <c r="D365" s="27"/>
      <c r="E365" s="19">
        <v>10</v>
      </c>
      <c r="F365" s="10"/>
      <c r="G365" s="10">
        <f t="shared" si="15"/>
        <v>0</v>
      </c>
      <c r="H365" s="10"/>
      <c r="I365" s="10">
        <f t="shared" si="16"/>
        <v>0</v>
      </c>
      <c r="J365" s="10"/>
      <c r="K365" s="10">
        <f t="shared" si="17"/>
        <v>0</v>
      </c>
      <c r="L365" s="10">
        <f t="shared" si="18"/>
        <v>0</v>
      </c>
    </row>
    <row r="366" spans="1:12" x14ac:dyDescent="0.3">
      <c r="A366" s="2">
        <f t="shared" si="27"/>
        <v>335</v>
      </c>
      <c r="B366" s="17" t="s">
        <v>957</v>
      </c>
      <c r="C366" s="18" t="s">
        <v>72</v>
      </c>
      <c r="D366" s="27"/>
      <c r="E366" s="19">
        <v>12</v>
      </c>
      <c r="F366" s="10"/>
      <c r="G366" s="10">
        <f t="shared" si="15"/>
        <v>0</v>
      </c>
      <c r="H366" s="10"/>
      <c r="I366" s="10">
        <f t="shared" si="16"/>
        <v>0</v>
      </c>
      <c r="J366" s="10"/>
      <c r="K366" s="10">
        <f t="shared" si="17"/>
        <v>0</v>
      </c>
      <c r="L366" s="10">
        <f t="shared" si="18"/>
        <v>0</v>
      </c>
    </row>
    <row r="367" spans="1:12" x14ac:dyDescent="0.3">
      <c r="A367" s="2">
        <f t="shared" si="27"/>
        <v>336</v>
      </c>
      <c r="B367" s="17" t="s">
        <v>958</v>
      </c>
      <c r="C367" s="18" t="s">
        <v>72</v>
      </c>
      <c r="D367" s="27"/>
      <c r="E367" s="19">
        <v>28</v>
      </c>
      <c r="F367" s="10"/>
      <c r="G367" s="10">
        <f t="shared" si="15"/>
        <v>0</v>
      </c>
      <c r="H367" s="10"/>
      <c r="I367" s="10">
        <f t="shared" si="16"/>
        <v>0</v>
      </c>
      <c r="J367" s="10"/>
      <c r="K367" s="10">
        <f t="shared" si="17"/>
        <v>0</v>
      </c>
      <c r="L367" s="10">
        <f t="shared" si="18"/>
        <v>0</v>
      </c>
    </row>
    <row r="368" spans="1:12" x14ac:dyDescent="0.3">
      <c r="A368" s="2">
        <f t="shared" si="27"/>
        <v>337</v>
      </c>
      <c r="B368" s="17" t="s">
        <v>946</v>
      </c>
      <c r="C368" s="18" t="s">
        <v>72</v>
      </c>
      <c r="D368" s="19"/>
      <c r="E368" s="19">
        <v>35</v>
      </c>
      <c r="F368" s="10"/>
      <c r="G368" s="10">
        <f t="shared" si="15"/>
        <v>0</v>
      </c>
      <c r="H368" s="10"/>
      <c r="I368" s="10">
        <f t="shared" si="16"/>
        <v>0</v>
      </c>
      <c r="J368" s="10"/>
      <c r="K368" s="10">
        <f t="shared" si="17"/>
        <v>0</v>
      </c>
      <c r="L368" s="10">
        <f t="shared" si="18"/>
        <v>0</v>
      </c>
    </row>
    <row r="369" spans="1:14" x14ac:dyDescent="0.3">
      <c r="A369" s="2">
        <f t="shared" si="27"/>
        <v>338</v>
      </c>
      <c r="B369" s="17" t="s">
        <v>947</v>
      </c>
      <c r="C369" s="18" t="s">
        <v>72</v>
      </c>
      <c r="D369" s="19"/>
      <c r="E369" s="19">
        <v>8</v>
      </c>
      <c r="F369" s="10"/>
      <c r="G369" s="10">
        <f t="shared" si="15"/>
        <v>0</v>
      </c>
      <c r="H369" s="10"/>
      <c r="I369" s="10">
        <f t="shared" si="16"/>
        <v>0</v>
      </c>
      <c r="J369" s="10"/>
      <c r="K369" s="10">
        <f t="shared" si="17"/>
        <v>0</v>
      </c>
      <c r="L369" s="10">
        <f t="shared" si="18"/>
        <v>0</v>
      </c>
    </row>
    <row r="370" spans="1:14" x14ac:dyDescent="0.3">
      <c r="A370" s="2">
        <f t="shared" si="27"/>
        <v>339</v>
      </c>
      <c r="B370" s="17" t="s">
        <v>948</v>
      </c>
      <c r="C370" s="18" t="s">
        <v>72</v>
      </c>
      <c r="D370" s="19"/>
      <c r="E370" s="19">
        <v>2</v>
      </c>
      <c r="F370" s="10"/>
      <c r="G370" s="10">
        <f t="shared" si="15"/>
        <v>0</v>
      </c>
      <c r="H370" s="10"/>
      <c r="I370" s="10">
        <f t="shared" si="16"/>
        <v>0</v>
      </c>
      <c r="J370" s="10"/>
      <c r="K370" s="10">
        <f t="shared" si="17"/>
        <v>0</v>
      </c>
      <c r="L370" s="10">
        <f t="shared" si="18"/>
        <v>0</v>
      </c>
    </row>
    <row r="371" spans="1:14" ht="28.8" x14ac:dyDescent="0.3">
      <c r="A371" s="2">
        <f t="shared" si="27"/>
        <v>340</v>
      </c>
      <c r="B371" s="17" t="s">
        <v>879</v>
      </c>
      <c r="C371" s="18" t="s">
        <v>12</v>
      </c>
      <c r="D371" s="19"/>
      <c r="E371" s="19">
        <v>54</v>
      </c>
      <c r="F371" s="10"/>
      <c r="G371" s="10">
        <f t="shared" si="15"/>
        <v>0</v>
      </c>
      <c r="H371" s="10"/>
      <c r="I371" s="10">
        <f t="shared" si="16"/>
        <v>0</v>
      </c>
      <c r="J371" s="10"/>
      <c r="K371" s="10">
        <f t="shared" si="17"/>
        <v>0</v>
      </c>
      <c r="L371" s="10">
        <f t="shared" si="18"/>
        <v>0</v>
      </c>
    </row>
    <row r="372" spans="1:14" ht="28.8" x14ac:dyDescent="0.3">
      <c r="A372" s="2">
        <f t="shared" si="27"/>
        <v>341</v>
      </c>
      <c r="B372" s="17" t="s">
        <v>880</v>
      </c>
      <c r="C372" s="18" t="s">
        <v>12</v>
      </c>
      <c r="D372" s="19"/>
      <c r="E372" s="19">
        <v>92</v>
      </c>
      <c r="F372" s="10"/>
      <c r="G372" s="10">
        <f t="shared" si="15"/>
        <v>0</v>
      </c>
      <c r="H372" s="10"/>
      <c r="I372" s="10">
        <f t="shared" si="16"/>
        <v>0</v>
      </c>
      <c r="J372" s="10"/>
      <c r="K372" s="10">
        <f t="shared" si="17"/>
        <v>0</v>
      </c>
      <c r="L372" s="10">
        <f t="shared" si="18"/>
        <v>0</v>
      </c>
    </row>
    <row r="373" spans="1:14" ht="28.8" x14ac:dyDescent="0.3">
      <c r="A373" s="2">
        <f t="shared" si="27"/>
        <v>342</v>
      </c>
      <c r="B373" s="17" t="s">
        <v>881</v>
      </c>
      <c r="C373" s="18" t="s">
        <v>12</v>
      </c>
      <c r="D373" s="19"/>
      <c r="E373" s="19">
        <v>250.7</v>
      </c>
      <c r="F373" s="10"/>
      <c r="G373" s="10">
        <f t="shared" si="15"/>
        <v>0</v>
      </c>
      <c r="H373" s="10"/>
      <c r="I373" s="10">
        <f t="shared" si="16"/>
        <v>0</v>
      </c>
      <c r="J373" s="10"/>
      <c r="K373" s="10">
        <f t="shared" si="17"/>
        <v>0</v>
      </c>
      <c r="L373" s="10">
        <f t="shared" si="18"/>
        <v>0</v>
      </c>
    </row>
    <row r="374" spans="1:14" ht="28.8" x14ac:dyDescent="0.3">
      <c r="A374" s="2">
        <f t="shared" si="27"/>
        <v>343</v>
      </c>
      <c r="B374" s="17" t="s">
        <v>882</v>
      </c>
      <c r="C374" s="18" t="s">
        <v>12</v>
      </c>
      <c r="D374" s="19"/>
      <c r="E374" s="19">
        <v>149.5</v>
      </c>
      <c r="F374" s="10"/>
      <c r="G374" s="10">
        <f t="shared" si="15"/>
        <v>0</v>
      </c>
      <c r="H374" s="10"/>
      <c r="I374" s="10">
        <f t="shared" si="16"/>
        <v>0</v>
      </c>
      <c r="J374" s="10"/>
      <c r="K374" s="10">
        <f t="shared" si="17"/>
        <v>0</v>
      </c>
      <c r="L374" s="10">
        <f t="shared" si="18"/>
        <v>0</v>
      </c>
    </row>
    <row r="375" spans="1:14" ht="28.8" x14ac:dyDescent="0.3">
      <c r="A375" s="2">
        <f t="shared" si="27"/>
        <v>344</v>
      </c>
      <c r="B375" s="17" t="s">
        <v>883</v>
      </c>
      <c r="C375" s="18" t="s">
        <v>12</v>
      </c>
      <c r="D375" s="19"/>
      <c r="E375" s="19">
        <v>209.29999999999998</v>
      </c>
      <c r="F375" s="10"/>
      <c r="G375" s="10">
        <f t="shared" si="15"/>
        <v>0</v>
      </c>
      <c r="H375" s="10"/>
      <c r="I375" s="10">
        <f t="shared" si="16"/>
        <v>0</v>
      </c>
      <c r="J375" s="10"/>
      <c r="K375" s="10">
        <f t="shared" si="17"/>
        <v>0</v>
      </c>
      <c r="L375" s="10">
        <f t="shared" si="18"/>
        <v>0</v>
      </c>
    </row>
    <row r="376" spans="1:14" ht="28.8" x14ac:dyDescent="0.3">
      <c r="A376" s="2">
        <f t="shared" si="27"/>
        <v>345</v>
      </c>
      <c r="B376" s="17" t="s">
        <v>884</v>
      </c>
      <c r="C376" s="18" t="s">
        <v>12</v>
      </c>
      <c r="D376" s="19"/>
      <c r="E376" s="19">
        <v>184</v>
      </c>
      <c r="F376" s="10"/>
      <c r="G376" s="10">
        <f t="shared" si="15"/>
        <v>0</v>
      </c>
      <c r="H376" s="10"/>
      <c r="I376" s="10">
        <f t="shared" si="16"/>
        <v>0</v>
      </c>
      <c r="J376" s="10"/>
      <c r="K376" s="10">
        <f t="shared" si="17"/>
        <v>0</v>
      </c>
      <c r="L376" s="10">
        <f t="shared" si="18"/>
        <v>0</v>
      </c>
    </row>
    <row r="377" spans="1:14" ht="28.8" x14ac:dyDescent="0.3">
      <c r="A377" s="2">
        <f t="shared" si="27"/>
        <v>346</v>
      </c>
      <c r="B377" s="17" t="s">
        <v>885</v>
      </c>
      <c r="C377" s="18" t="s">
        <v>12</v>
      </c>
      <c r="D377" s="19"/>
      <c r="E377" s="19">
        <v>276</v>
      </c>
      <c r="F377" s="10"/>
      <c r="G377" s="10">
        <f t="shared" si="15"/>
        <v>0</v>
      </c>
      <c r="H377" s="10"/>
      <c r="I377" s="10">
        <f t="shared" si="16"/>
        <v>0</v>
      </c>
      <c r="J377" s="10"/>
      <c r="K377" s="10">
        <f t="shared" si="17"/>
        <v>0</v>
      </c>
      <c r="L377" s="10">
        <f t="shared" si="18"/>
        <v>0</v>
      </c>
    </row>
    <row r="378" spans="1:14" ht="28.8" x14ac:dyDescent="0.3">
      <c r="A378" s="2">
        <f t="shared" si="27"/>
        <v>347</v>
      </c>
      <c r="B378" s="17" t="s">
        <v>925</v>
      </c>
      <c r="C378" s="18" t="s">
        <v>12</v>
      </c>
      <c r="D378" s="19"/>
      <c r="E378" s="19">
        <v>54</v>
      </c>
      <c r="F378" s="10"/>
      <c r="G378" s="10">
        <f t="shared" si="15"/>
        <v>0</v>
      </c>
      <c r="H378" s="10"/>
      <c r="I378" s="10">
        <f t="shared" si="16"/>
        <v>0</v>
      </c>
      <c r="J378" s="10"/>
      <c r="K378" s="10">
        <f t="shared" si="17"/>
        <v>0</v>
      </c>
      <c r="L378" s="10">
        <f t="shared" si="18"/>
        <v>0</v>
      </c>
    </row>
    <row r="379" spans="1:14" ht="28.8" x14ac:dyDescent="0.3">
      <c r="A379" s="2">
        <f t="shared" si="27"/>
        <v>348</v>
      </c>
      <c r="B379" s="17" t="s">
        <v>926</v>
      </c>
      <c r="C379" s="18" t="s">
        <v>12</v>
      </c>
      <c r="D379" s="19"/>
      <c r="E379" s="19">
        <v>92</v>
      </c>
      <c r="F379" s="10"/>
      <c r="G379" s="10">
        <f t="shared" si="15"/>
        <v>0</v>
      </c>
      <c r="H379" s="10"/>
      <c r="I379" s="10">
        <f t="shared" si="16"/>
        <v>0</v>
      </c>
      <c r="J379" s="10"/>
      <c r="K379" s="10">
        <f t="shared" si="17"/>
        <v>0</v>
      </c>
      <c r="L379" s="10">
        <f t="shared" si="18"/>
        <v>0</v>
      </c>
    </row>
    <row r="380" spans="1:14" ht="28.8" x14ac:dyDescent="0.3">
      <c r="A380" s="2">
        <f t="shared" si="27"/>
        <v>349</v>
      </c>
      <c r="B380" s="17" t="s">
        <v>927</v>
      </c>
      <c r="C380" s="18" t="s">
        <v>12</v>
      </c>
      <c r="D380" s="27"/>
      <c r="E380" s="19">
        <v>250.7</v>
      </c>
      <c r="F380" s="10"/>
      <c r="G380" s="10">
        <f t="shared" si="15"/>
        <v>0</v>
      </c>
      <c r="H380" s="10"/>
      <c r="I380" s="10">
        <f t="shared" si="16"/>
        <v>0</v>
      </c>
      <c r="J380" s="10"/>
      <c r="K380" s="10">
        <f t="shared" si="17"/>
        <v>0</v>
      </c>
      <c r="L380" s="10">
        <f t="shared" si="18"/>
        <v>0</v>
      </c>
    </row>
    <row r="381" spans="1:14" ht="28.8" x14ac:dyDescent="0.3">
      <c r="A381" s="2">
        <f t="shared" si="27"/>
        <v>350</v>
      </c>
      <c r="B381" s="17" t="s">
        <v>928</v>
      </c>
      <c r="C381" s="18" t="s">
        <v>12</v>
      </c>
      <c r="D381" s="19"/>
      <c r="E381" s="19">
        <v>149.5</v>
      </c>
      <c r="F381" s="10"/>
      <c r="G381" s="10">
        <f t="shared" si="15"/>
        <v>0</v>
      </c>
      <c r="H381" s="10"/>
      <c r="I381" s="10">
        <f t="shared" si="16"/>
        <v>0</v>
      </c>
      <c r="J381" s="10"/>
      <c r="K381" s="10">
        <f t="shared" si="17"/>
        <v>0</v>
      </c>
      <c r="L381" s="10">
        <f t="shared" si="18"/>
        <v>0</v>
      </c>
      <c r="N381" s="9"/>
    </row>
    <row r="382" spans="1:14" ht="28.8" x14ac:dyDescent="0.3">
      <c r="A382" s="2">
        <f t="shared" si="27"/>
        <v>351</v>
      </c>
      <c r="B382" s="17" t="s">
        <v>929</v>
      </c>
      <c r="C382" s="18" t="s">
        <v>12</v>
      </c>
      <c r="D382" s="27"/>
      <c r="E382" s="19">
        <v>209.29999999999998</v>
      </c>
      <c r="F382" s="10"/>
      <c r="G382" s="10">
        <f t="shared" si="15"/>
        <v>0</v>
      </c>
      <c r="H382" s="10"/>
      <c r="I382" s="10">
        <f t="shared" si="16"/>
        <v>0</v>
      </c>
      <c r="J382" s="10"/>
      <c r="K382" s="10">
        <f t="shared" si="17"/>
        <v>0</v>
      </c>
      <c r="L382" s="10">
        <f t="shared" si="18"/>
        <v>0</v>
      </c>
    </row>
    <row r="383" spans="1:14" ht="28.8" x14ac:dyDescent="0.3">
      <c r="A383" s="2">
        <f t="shared" si="27"/>
        <v>352</v>
      </c>
      <c r="B383" s="17" t="s">
        <v>930</v>
      </c>
      <c r="C383" s="18" t="s">
        <v>12</v>
      </c>
      <c r="D383" s="27"/>
      <c r="E383" s="19">
        <v>437</v>
      </c>
      <c r="F383" s="10"/>
      <c r="G383" s="10">
        <f t="shared" si="15"/>
        <v>0</v>
      </c>
      <c r="H383" s="10"/>
      <c r="I383" s="10">
        <f t="shared" si="16"/>
        <v>0</v>
      </c>
      <c r="J383" s="10"/>
      <c r="K383" s="10">
        <f t="shared" si="17"/>
        <v>0</v>
      </c>
      <c r="L383" s="10">
        <f t="shared" si="18"/>
        <v>0</v>
      </c>
    </row>
    <row r="384" spans="1:14" ht="28.8" x14ac:dyDescent="0.3">
      <c r="A384" s="2">
        <f t="shared" si="27"/>
        <v>353</v>
      </c>
      <c r="B384" s="17" t="s">
        <v>801</v>
      </c>
      <c r="C384" s="18" t="s">
        <v>72</v>
      </c>
      <c r="D384" s="27"/>
      <c r="E384" s="19">
        <v>560</v>
      </c>
      <c r="F384" s="10"/>
      <c r="G384" s="10">
        <f t="shared" si="15"/>
        <v>0</v>
      </c>
      <c r="H384" s="10"/>
      <c r="I384" s="10">
        <f t="shared" si="16"/>
        <v>0</v>
      </c>
      <c r="J384" s="10"/>
      <c r="K384" s="10">
        <f t="shared" si="17"/>
        <v>0</v>
      </c>
      <c r="L384" s="10">
        <f t="shared" si="18"/>
        <v>0</v>
      </c>
    </row>
    <row r="385" spans="1:12" x14ac:dyDescent="0.3">
      <c r="A385" s="2">
        <f t="shared" si="27"/>
        <v>354</v>
      </c>
      <c r="B385" s="17" t="s">
        <v>802</v>
      </c>
      <c r="C385" s="18" t="s">
        <v>72</v>
      </c>
      <c r="D385" s="19"/>
      <c r="E385" s="19">
        <v>1</v>
      </c>
      <c r="F385" s="10"/>
      <c r="G385" s="10">
        <f t="shared" si="15"/>
        <v>0</v>
      </c>
      <c r="H385" s="10"/>
      <c r="I385" s="10">
        <f t="shared" si="16"/>
        <v>0</v>
      </c>
      <c r="J385" s="10"/>
      <c r="K385" s="10">
        <f t="shared" si="17"/>
        <v>0</v>
      </c>
      <c r="L385" s="10">
        <f t="shared" si="18"/>
        <v>0</v>
      </c>
    </row>
    <row r="386" spans="1:12" ht="43.2" x14ac:dyDescent="0.3">
      <c r="A386" s="2">
        <f t="shared" si="27"/>
        <v>355</v>
      </c>
      <c r="B386" s="17" t="s">
        <v>886</v>
      </c>
      <c r="C386" s="18" t="s">
        <v>72</v>
      </c>
      <c r="D386" s="19"/>
      <c r="E386" s="19">
        <v>5</v>
      </c>
      <c r="F386" s="10"/>
      <c r="G386" s="10">
        <f t="shared" si="15"/>
        <v>0</v>
      </c>
      <c r="H386" s="10"/>
      <c r="I386" s="10">
        <f t="shared" si="16"/>
        <v>0</v>
      </c>
      <c r="J386" s="10"/>
      <c r="K386" s="10">
        <f t="shared" si="17"/>
        <v>0</v>
      </c>
      <c r="L386" s="10">
        <f t="shared" si="18"/>
        <v>0</v>
      </c>
    </row>
    <row r="387" spans="1:12" ht="43.2" x14ac:dyDescent="0.3">
      <c r="A387" s="2">
        <f t="shared" si="27"/>
        <v>356</v>
      </c>
      <c r="B387" s="17" t="s">
        <v>887</v>
      </c>
      <c r="C387" s="18" t="s">
        <v>12</v>
      </c>
      <c r="D387" s="19"/>
      <c r="E387" s="19">
        <v>18</v>
      </c>
      <c r="F387" s="10"/>
      <c r="G387" s="10">
        <f t="shared" si="15"/>
        <v>0</v>
      </c>
      <c r="H387" s="10"/>
      <c r="I387" s="10">
        <f t="shared" si="16"/>
        <v>0</v>
      </c>
      <c r="J387" s="10"/>
      <c r="K387" s="10">
        <f t="shared" si="17"/>
        <v>0</v>
      </c>
      <c r="L387" s="10">
        <f t="shared" si="18"/>
        <v>0</v>
      </c>
    </row>
    <row r="388" spans="1:12" ht="72" x14ac:dyDescent="0.3">
      <c r="A388" s="2">
        <f t="shared" si="27"/>
        <v>357</v>
      </c>
      <c r="B388" s="17" t="s">
        <v>994</v>
      </c>
      <c r="C388" s="18" t="s">
        <v>1028</v>
      </c>
      <c r="D388" s="19"/>
      <c r="E388" s="19">
        <v>59</v>
      </c>
      <c r="F388" s="10"/>
      <c r="G388" s="10">
        <f t="shared" si="15"/>
        <v>0</v>
      </c>
      <c r="H388" s="10"/>
      <c r="I388" s="10">
        <f t="shared" si="16"/>
        <v>0</v>
      </c>
      <c r="J388" s="10"/>
      <c r="K388" s="10">
        <f t="shared" si="17"/>
        <v>0</v>
      </c>
      <c r="L388" s="10">
        <f t="shared" si="18"/>
        <v>0</v>
      </c>
    </row>
    <row r="389" spans="1:12" x14ac:dyDescent="0.3">
      <c r="A389" s="2">
        <f t="shared" si="27"/>
        <v>358</v>
      </c>
      <c r="B389" s="17" t="s">
        <v>969</v>
      </c>
      <c r="C389" s="18" t="s">
        <v>1028</v>
      </c>
      <c r="D389" s="19"/>
      <c r="E389" s="19">
        <v>1</v>
      </c>
      <c r="F389" s="10"/>
      <c r="G389" s="10">
        <f t="shared" si="15"/>
        <v>0</v>
      </c>
      <c r="H389" s="10"/>
      <c r="I389" s="10">
        <f t="shared" si="16"/>
        <v>0</v>
      </c>
      <c r="J389" s="10"/>
      <c r="K389" s="10">
        <f t="shared" si="17"/>
        <v>0</v>
      </c>
      <c r="L389" s="10">
        <f t="shared" si="18"/>
        <v>0</v>
      </c>
    </row>
    <row r="390" spans="1:12" ht="28.8" x14ac:dyDescent="0.3">
      <c r="A390" s="2">
        <f t="shared" si="27"/>
        <v>359</v>
      </c>
      <c r="B390" s="17" t="s">
        <v>854</v>
      </c>
      <c r="C390" s="18" t="s">
        <v>16</v>
      </c>
      <c r="D390" s="19"/>
      <c r="E390" s="19">
        <v>0.3</v>
      </c>
      <c r="F390" s="10"/>
      <c r="G390" s="10">
        <f t="shared" si="15"/>
        <v>0</v>
      </c>
      <c r="H390" s="10"/>
      <c r="I390" s="10">
        <f t="shared" si="16"/>
        <v>0</v>
      </c>
      <c r="J390" s="10"/>
      <c r="K390" s="10">
        <f t="shared" si="17"/>
        <v>0</v>
      </c>
      <c r="L390" s="10">
        <f t="shared" si="18"/>
        <v>0</v>
      </c>
    </row>
    <row r="391" spans="1:12" ht="28.8" x14ac:dyDescent="0.3">
      <c r="A391" s="2">
        <f t="shared" si="27"/>
        <v>360</v>
      </c>
      <c r="B391" s="17" t="s">
        <v>855</v>
      </c>
      <c r="C391" s="18" t="s">
        <v>16</v>
      </c>
      <c r="D391" s="19"/>
      <c r="E391" s="19">
        <v>0.3</v>
      </c>
      <c r="F391" s="10"/>
      <c r="G391" s="10">
        <f t="shared" si="15"/>
        <v>0</v>
      </c>
      <c r="H391" s="10"/>
      <c r="I391" s="10">
        <f t="shared" si="16"/>
        <v>0</v>
      </c>
      <c r="J391" s="10"/>
      <c r="K391" s="10">
        <f t="shared" si="17"/>
        <v>0</v>
      </c>
      <c r="L391" s="10">
        <f t="shared" si="18"/>
        <v>0</v>
      </c>
    </row>
    <row r="392" spans="1:12" ht="28.8" x14ac:dyDescent="0.3">
      <c r="A392" s="2">
        <f t="shared" si="27"/>
        <v>361</v>
      </c>
      <c r="B392" s="17" t="s">
        <v>888</v>
      </c>
      <c r="C392" s="18" t="s">
        <v>12</v>
      </c>
      <c r="D392" s="19"/>
      <c r="E392" s="19">
        <v>50</v>
      </c>
      <c r="F392" s="10"/>
      <c r="G392" s="10">
        <f t="shared" si="15"/>
        <v>0</v>
      </c>
      <c r="H392" s="10"/>
      <c r="I392" s="10">
        <f t="shared" si="16"/>
        <v>0</v>
      </c>
      <c r="J392" s="10"/>
      <c r="K392" s="10">
        <f t="shared" si="17"/>
        <v>0</v>
      </c>
      <c r="L392" s="10">
        <f t="shared" si="18"/>
        <v>0</v>
      </c>
    </row>
    <row r="393" spans="1:12" ht="28.8" x14ac:dyDescent="0.3">
      <c r="A393" s="2">
        <f t="shared" si="27"/>
        <v>362</v>
      </c>
      <c r="B393" s="17" t="s">
        <v>889</v>
      </c>
      <c r="C393" s="18" t="s">
        <v>72</v>
      </c>
      <c r="D393" s="19"/>
      <c r="E393" s="19">
        <v>1</v>
      </c>
      <c r="F393" s="10"/>
      <c r="G393" s="10">
        <f t="shared" si="15"/>
        <v>0</v>
      </c>
      <c r="H393" s="10"/>
      <c r="I393" s="10">
        <f t="shared" si="16"/>
        <v>0</v>
      </c>
      <c r="J393" s="10"/>
      <c r="K393" s="10">
        <f t="shared" si="17"/>
        <v>0</v>
      </c>
      <c r="L393" s="10">
        <f t="shared" si="18"/>
        <v>0</v>
      </c>
    </row>
    <row r="394" spans="1:12" x14ac:dyDescent="0.3">
      <c r="A394" s="11"/>
      <c r="B394" s="11" t="s">
        <v>890</v>
      </c>
      <c r="C394" s="4"/>
      <c r="D394" s="12"/>
      <c r="E394" s="12"/>
      <c r="F394" s="13"/>
      <c r="G394" s="13">
        <f t="shared" si="15"/>
        <v>0</v>
      </c>
      <c r="H394" s="13"/>
      <c r="I394" s="13">
        <f t="shared" si="16"/>
        <v>0</v>
      </c>
      <c r="J394" s="13"/>
      <c r="K394" s="13">
        <f t="shared" si="17"/>
        <v>0</v>
      </c>
      <c r="L394" s="13">
        <f t="shared" si="18"/>
        <v>0</v>
      </c>
    </row>
    <row r="395" spans="1:12" ht="72" x14ac:dyDescent="0.3">
      <c r="A395" s="2">
        <f>A393+1</f>
        <v>363</v>
      </c>
      <c r="B395" s="17" t="s">
        <v>934</v>
      </c>
      <c r="C395" s="18" t="s">
        <v>1028</v>
      </c>
      <c r="D395" s="19"/>
      <c r="E395" s="19">
        <v>1</v>
      </c>
      <c r="F395" s="10"/>
      <c r="G395" s="10">
        <f t="shared" si="15"/>
        <v>0</v>
      </c>
      <c r="H395" s="10"/>
      <c r="I395" s="10">
        <f t="shared" si="16"/>
        <v>0</v>
      </c>
      <c r="J395" s="10"/>
      <c r="K395" s="10">
        <f t="shared" si="17"/>
        <v>0</v>
      </c>
      <c r="L395" s="10">
        <f t="shared" si="18"/>
        <v>0</v>
      </c>
    </row>
    <row r="396" spans="1:12" ht="72" x14ac:dyDescent="0.3">
      <c r="A396" s="2">
        <f t="shared" ref="A396:A403" si="28">A395+1</f>
        <v>364</v>
      </c>
      <c r="B396" s="17" t="s">
        <v>935</v>
      </c>
      <c r="C396" s="18" t="s">
        <v>1028</v>
      </c>
      <c r="D396" s="19"/>
      <c r="E396" s="19">
        <v>6</v>
      </c>
      <c r="F396" s="10"/>
      <c r="G396" s="10">
        <f t="shared" si="15"/>
        <v>0</v>
      </c>
      <c r="H396" s="10"/>
      <c r="I396" s="10">
        <f t="shared" si="16"/>
        <v>0</v>
      </c>
      <c r="J396" s="10"/>
      <c r="K396" s="10">
        <f t="shared" si="17"/>
        <v>0</v>
      </c>
      <c r="L396" s="10">
        <f t="shared" si="18"/>
        <v>0</v>
      </c>
    </row>
    <row r="397" spans="1:12" x14ac:dyDescent="0.3">
      <c r="A397" s="2">
        <f t="shared" si="28"/>
        <v>365</v>
      </c>
      <c r="B397" s="17" t="s">
        <v>891</v>
      </c>
      <c r="C397" s="18" t="s">
        <v>72</v>
      </c>
      <c r="D397" s="19"/>
      <c r="E397" s="19">
        <v>1</v>
      </c>
      <c r="F397" s="10"/>
      <c r="G397" s="10">
        <f t="shared" si="15"/>
        <v>0</v>
      </c>
      <c r="H397" s="10"/>
      <c r="I397" s="10">
        <f t="shared" si="16"/>
        <v>0</v>
      </c>
      <c r="J397" s="10"/>
      <c r="K397" s="10">
        <f t="shared" si="17"/>
        <v>0</v>
      </c>
      <c r="L397" s="10">
        <f t="shared" si="18"/>
        <v>0</v>
      </c>
    </row>
    <row r="398" spans="1:12" x14ac:dyDescent="0.3">
      <c r="A398" s="2">
        <f t="shared" si="28"/>
        <v>366</v>
      </c>
      <c r="B398" s="17" t="s">
        <v>892</v>
      </c>
      <c r="C398" s="18" t="s">
        <v>72</v>
      </c>
      <c r="D398" s="19"/>
      <c r="E398" s="19">
        <v>1</v>
      </c>
      <c r="F398" s="10"/>
      <c r="G398" s="10">
        <f t="shared" si="15"/>
        <v>0</v>
      </c>
      <c r="H398" s="10"/>
      <c r="I398" s="10">
        <f t="shared" si="16"/>
        <v>0</v>
      </c>
      <c r="J398" s="10"/>
      <c r="K398" s="10">
        <f t="shared" si="17"/>
        <v>0</v>
      </c>
      <c r="L398" s="10">
        <f t="shared" si="18"/>
        <v>0</v>
      </c>
    </row>
    <row r="399" spans="1:12" x14ac:dyDescent="0.3">
      <c r="A399" s="2">
        <f t="shared" si="28"/>
        <v>367</v>
      </c>
      <c r="B399" s="17" t="s">
        <v>893</v>
      </c>
      <c r="C399" s="18" t="s">
        <v>72</v>
      </c>
      <c r="D399" s="19"/>
      <c r="E399" s="19">
        <v>1</v>
      </c>
      <c r="F399" s="10"/>
      <c r="G399" s="10">
        <f t="shared" si="15"/>
        <v>0</v>
      </c>
      <c r="H399" s="10"/>
      <c r="I399" s="10">
        <f t="shared" si="16"/>
        <v>0</v>
      </c>
      <c r="J399" s="10"/>
      <c r="K399" s="10">
        <f t="shared" si="17"/>
        <v>0</v>
      </c>
      <c r="L399" s="10">
        <f t="shared" si="18"/>
        <v>0</v>
      </c>
    </row>
    <row r="400" spans="1:12" x14ac:dyDescent="0.3">
      <c r="A400" s="2">
        <f t="shared" si="28"/>
        <v>368</v>
      </c>
      <c r="B400" s="17" t="s">
        <v>894</v>
      </c>
      <c r="C400" s="18" t="s">
        <v>72</v>
      </c>
      <c r="D400" s="19"/>
      <c r="E400" s="19">
        <v>6</v>
      </c>
      <c r="F400" s="10"/>
      <c r="G400" s="10">
        <f t="shared" si="15"/>
        <v>0</v>
      </c>
      <c r="H400" s="10"/>
      <c r="I400" s="10">
        <f t="shared" si="16"/>
        <v>0</v>
      </c>
      <c r="J400" s="10"/>
      <c r="K400" s="10">
        <f t="shared" si="17"/>
        <v>0</v>
      </c>
      <c r="L400" s="10">
        <f t="shared" si="18"/>
        <v>0</v>
      </c>
    </row>
    <row r="401" spans="1:12" x14ac:dyDescent="0.3">
      <c r="A401" s="2">
        <f t="shared" si="28"/>
        <v>369</v>
      </c>
      <c r="B401" s="17" t="s">
        <v>895</v>
      </c>
      <c r="C401" s="18" t="s">
        <v>72</v>
      </c>
      <c r="D401" s="19"/>
      <c r="E401" s="19">
        <v>6</v>
      </c>
      <c r="F401" s="10"/>
      <c r="G401" s="10">
        <f t="shared" si="15"/>
        <v>0</v>
      </c>
      <c r="H401" s="10"/>
      <c r="I401" s="10">
        <f t="shared" si="16"/>
        <v>0</v>
      </c>
      <c r="J401" s="10"/>
      <c r="K401" s="10">
        <f t="shared" si="17"/>
        <v>0</v>
      </c>
      <c r="L401" s="10">
        <f t="shared" si="18"/>
        <v>0</v>
      </c>
    </row>
    <row r="402" spans="1:12" x14ac:dyDescent="0.3">
      <c r="A402" s="2">
        <f t="shared" si="28"/>
        <v>370</v>
      </c>
      <c r="B402" s="17" t="s">
        <v>896</v>
      </c>
      <c r="C402" s="18" t="s">
        <v>72</v>
      </c>
      <c r="D402" s="19"/>
      <c r="E402" s="19">
        <v>6</v>
      </c>
      <c r="F402" s="10"/>
      <c r="G402" s="10">
        <f t="shared" si="15"/>
        <v>0</v>
      </c>
      <c r="H402" s="10"/>
      <c r="I402" s="10">
        <f t="shared" si="16"/>
        <v>0</v>
      </c>
      <c r="J402" s="10"/>
      <c r="K402" s="10">
        <f t="shared" si="17"/>
        <v>0</v>
      </c>
      <c r="L402" s="10">
        <f t="shared" si="18"/>
        <v>0</v>
      </c>
    </row>
    <row r="403" spans="1:12" ht="28.8" x14ac:dyDescent="0.3">
      <c r="A403" s="2">
        <f t="shared" si="28"/>
        <v>371</v>
      </c>
      <c r="B403" s="17" t="s">
        <v>897</v>
      </c>
      <c r="C403" s="18" t="s">
        <v>72</v>
      </c>
      <c r="D403" s="19"/>
      <c r="E403" s="19">
        <v>7</v>
      </c>
      <c r="F403" s="10"/>
      <c r="G403" s="10">
        <f t="shared" si="15"/>
        <v>0</v>
      </c>
      <c r="H403" s="10"/>
      <c r="I403" s="10">
        <f t="shared" si="16"/>
        <v>0</v>
      </c>
      <c r="J403" s="10"/>
      <c r="K403" s="10">
        <f t="shared" si="17"/>
        <v>0</v>
      </c>
      <c r="L403" s="10">
        <f t="shared" si="18"/>
        <v>0</v>
      </c>
    </row>
    <row r="404" spans="1:12" x14ac:dyDescent="0.3">
      <c r="A404" s="11"/>
      <c r="B404" s="11" t="s">
        <v>214</v>
      </c>
      <c r="C404" s="28"/>
      <c r="D404" s="29"/>
      <c r="E404" s="29"/>
      <c r="F404" s="13"/>
      <c r="G404" s="13">
        <f t="shared" ref="G404:G406" si="29">F404*E404</f>
        <v>0</v>
      </c>
      <c r="H404" s="13"/>
      <c r="I404" s="13">
        <f t="shared" ref="I404:I406" si="30">H404*E404</f>
        <v>0</v>
      </c>
      <c r="J404" s="13"/>
      <c r="K404" s="13">
        <f t="shared" ref="K404:K406" si="31">J404*E404</f>
        <v>0</v>
      </c>
      <c r="L404" s="13">
        <f t="shared" ref="L404:L406" si="32">K404+I404+G404</f>
        <v>0</v>
      </c>
    </row>
    <row r="405" spans="1:12" x14ac:dyDescent="0.3">
      <c r="A405" s="2">
        <f>A403+1</f>
        <v>372</v>
      </c>
      <c r="B405" s="14" t="s">
        <v>215</v>
      </c>
      <c r="C405" s="2" t="s">
        <v>216</v>
      </c>
      <c r="D405" s="15"/>
      <c r="E405" s="15">
        <f>4*3*26</f>
        <v>312</v>
      </c>
      <c r="F405" s="10"/>
      <c r="G405" s="10">
        <f t="shared" ref="G405" si="33">F405*E405</f>
        <v>0</v>
      </c>
      <c r="H405" s="10"/>
      <c r="I405" s="10">
        <f t="shared" ref="I405" si="34">H405*E405</f>
        <v>0</v>
      </c>
      <c r="J405" s="10"/>
      <c r="K405" s="10">
        <f t="shared" ref="K405" si="35">J405*E405</f>
        <v>0</v>
      </c>
      <c r="L405" s="10">
        <f t="shared" ref="L405" si="36">K405+I405+G405</f>
        <v>0</v>
      </c>
    </row>
    <row r="406" spans="1:12" x14ac:dyDescent="0.3">
      <c r="A406" s="2">
        <f>A405+1</f>
        <v>373</v>
      </c>
      <c r="B406" s="14" t="s">
        <v>217</v>
      </c>
      <c r="C406" s="2" t="s">
        <v>30</v>
      </c>
      <c r="D406" s="15"/>
      <c r="E406" s="15">
        <v>10</v>
      </c>
      <c r="F406" s="10"/>
      <c r="G406" s="10">
        <f t="shared" si="29"/>
        <v>0</v>
      </c>
      <c r="H406" s="10"/>
      <c r="I406" s="10">
        <f t="shared" si="30"/>
        <v>0</v>
      </c>
      <c r="J406" s="10"/>
      <c r="K406" s="10">
        <f t="shared" si="31"/>
        <v>0</v>
      </c>
      <c r="L406" s="10">
        <f t="shared" si="32"/>
        <v>0</v>
      </c>
    </row>
    <row r="407" spans="1:12" x14ac:dyDescent="0.3">
      <c r="A407" s="3"/>
      <c r="B407" s="3" t="s">
        <v>7</v>
      </c>
      <c r="C407" s="3"/>
      <c r="D407" s="24"/>
      <c r="E407" s="24"/>
      <c r="F407" s="25"/>
      <c r="G407" s="25">
        <f>SUM(G10:G406)</f>
        <v>0</v>
      </c>
      <c r="H407" s="25"/>
      <c r="I407" s="25">
        <f>SUM(I10:I406)</f>
        <v>0</v>
      </c>
      <c r="J407" s="25"/>
      <c r="K407" s="25">
        <f>SUM(K10:K406)</f>
        <v>0</v>
      </c>
      <c r="L407" s="25">
        <f>SUM(L10:L406)</f>
        <v>0</v>
      </c>
    </row>
    <row r="408" spans="1:12" x14ac:dyDescent="0.3">
      <c r="A408" s="2"/>
      <c r="B408" s="5" t="s">
        <v>226</v>
      </c>
      <c r="C408" s="1"/>
      <c r="D408" s="8"/>
      <c r="E408" s="26">
        <v>0.03</v>
      </c>
      <c r="F408" s="10"/>
      <c r="G408" s="10"/>
      <c r="H408" s="10"/>
      <c r="I408" s="10"/>
      <c r="J408" s="10"/>
      <c r="K408" s="10"/>
      <c r="L408" s="10">
        <f>G407*E408</f>
        <v>0</v>
      </c>
    </row>
    <row r="409" spans="1:12" x14ac:dyDescent="0.3">
      <c r="A409" s="2"/>
      <c r="B409" s="2" t="s">
        <v>7</v>
      </c>
      <c r="C409" s="1"/>
      <c r="D409" s="8"/>
      <c r="E409" s="26"/>
      <c r="F409" s="10"/>
      <c r="G409" s="10"/>
      <c r="H409" s="10"/>
      <c r="I409" s="10"/>
      <c r="J409" s="10"/>
      <c r="K409" s="10"/>
      <c r="L409" s="10">
        <f>L408+L407</f>
        <v>0</v>
      </c>
    </row>
    <row r="410" spans="1:12" x14ac:dyDescent="0.3">
      <c r="A410" s="2"/>
      <c r="B410" s="5" t="s">
        <v>227</v>
      </c>
      <c r="C410" s="1"/>
      <c r="D410" s="8"/>
      <c r="E410" s="26">
        <v>0.1</v>
      </c>
      <c r="F410" s="10"/>
      <c r="G410" s="10"/>
      <c r="H410" s="10"/>
      <c r="I410" s="10"/>
      <c r="J410" s="10"/>
      <c r="K410" s="10"/>
      <c r="L410" s="10">
        <f>L409*E410</f>
        <v>0</v>
      </c>
    </row>
    <row r="411" spans="1:12" x14ac:dyDescent="0.3">
      <c r="A411" s="2"/>
      <c r="B411" s="2" t="s">
        <v>7</v>
      </c>
      <c r="C411" s="1"/>
      <c r="D411" s="8"/>
      <c r="E411" s="26"/>
      <c r="F411" s="10"/>
      <c r="G411" s="10"/>
      <c r="H411" s="10"/>
      <c r="I411" s="10"/>
      <c r="J411" s="10"/>
      <c r="K411" s="10"/>
      <c r="L411" s="10">
        <f>L410+L409</f>
        <v>0</v>
      </c>
    </row>
    <row r="412" spans="1:12" x14ac:dyDescent="0.3">
      <c r="A412" s="2"/>
      <c r="B412" s="5" t="s">
        <v>228</v>
      </c>
      <c r="C412" s="1"/>
      <c r="D412" s="8"/>
      <c r="E412" s="26">
        <v>0.01</v>
      </c>
      <c r="F412" s="10"/>
      <c r="G412" s="10"/>
      <c r="H412" s="10"/>
      <c r="I412" s="10"/>
      <c r="J412" s="10"/>
      <c r="K412" s="10"/>
      <c r="L412" s="10">
        <f>L411*E412</f>
        <v>0</v>
      </c>
    </row>
    <row r="413" spans="1:12" x14ac:dyDescent="0.3">
      <c r="A413" s="2"/>
      <c r="B413" s="2" t="s">
        <v>7</v>
      </c>
      <c r="C413" s="1"/>
      <c r="D413" s="8"/>
      <c r="E413" s="26"/>
      <c r="F413" s="10"/>
      <c r="G413" s="10"/>
      <c r="H413" s="10"/>
      <c r="I413" s="10"/>
      <c r="J413" s="10"/>
      <c r="K413" s="10"/>
      <c r="L413" s="10">
        <f>L412+L411</f>
        <v>0</v>
      </c>
    </row>
    <row r="414" spans="1:12" x14ac:dyDescent="0.3">
      <c r="A414" s="2"/>
      <c r="B414" s="5" t="s">
        <v>229</v>
      </c>
      <c r="C414" s="1"/>
      <c r="D414" s="8"/>
      <c r="E414" s="26">
        <v>0.08</v>
      </c>
      <c r="F414" s="10"/>
      <c r="G414" s="10"/>
      <c r="H414" s="10"/>
      <c r="I414" s="10"/>
      <c r="J414" s="10"/>
      <c r="K414" s="10"/>
      <c r="L414" s="10">
        <f>L413*E414</f>
        <v>0</v>
      </c>
    </row>
    <row r="415" spans="1:12" x14ac:dyDescent="0.3">
      <c r="A415" s="2"/>
      <c r="B415" s="2" t="s">
        <v>7</v>
      </c>
      <c r="C415" s="1"/>
      <c r="D415" s="8"/>
      <c r="E415" s="26"/>
      <c r="F415" s="10"/>
      <c r="G415" s="10"/>
      <c r="H415" s="10"/>
      <c r="I415" s="10"/>
      <c r="J415" s="10"/>
      <c r="K415" s="10"/>
      <c r="L415" s="10">
        <f>L414+L413</f>
        <v>0</v>
      </c>
    </row>
    <row r="416" spans="1:12" x14ac:dyDescent="0.3">
      <c r="A416" s="2"/>
      <c r="B416" s="5" t="s">
        <v>230</v>
      </c>
      <c r="C416" s="1"/>
      <c r="D416" s="8"/>
      <c r="E416" s="26">
        <v>0.03</v>
      </c>
      <c r="F416" s="10"/>
      <c r="G416" s="10"/>
      <c r="H416" s="10"/>
      <c r="I416" s="10"/>
      <c r="J416" s="10"/>
      <c r="K416" s="10"/>
      <c r="L416" s="10">
        <f>L415*E416</f>
        <v>0</v>
      </c>
    </row>
    <row r="417" spans="1:12" x14ac:dyDescent="0.3">
      <c r="A417" s="2"/>
      <c r="B417" s="2" t="s">
        <v>7</v>
      </c>
      <c r="C417" s="1"/>
      <c r="D417" s="8"/>
      <c r="E417" s="26"/>
      <c r="F417" s="10"/>
      <c r="G417" s="10"/>
      <c r="H417" s="10"/>
      <c r="I417" s="10"/>
      <c r="J417" s="10"/>
      <c r="K417" s="10"/>
      <c r="L417" s="10">
        <f>L416+L415</f>
        <v>0</v>
      </c>
    </row>
    <row r="418" spans="1:12" x14ac:dyDescent="0.3">
      <c r="A418" s="2"/>
      <c r="B418" s="5" t="s">
        <v>231</v>
      </c>
      <c r="C418" s="1"/>
      <c r="D418" s="8"/>
      <c r="E418" s="26">
        <v>0.18</v>
      </c>
      <c r="F418" s="10"/>
      <c r="G418" s="10"/>
      <c r="H418" s="10"/>
      <c r="I418" s="10"/>
      <c r="J418" s="10"/>
      <c r="K418" s="10"/>
      <c r="L418" s="10">
        <f>L417*E418</f>
        <v>0</v>
      </c>
    </row>
    <row r="419" spans="1:12" x14ac:dyDescent="0.3">
      <c r="A419" s="3"/>
      <c r="B419" s="3" t="s">
        <v>232</v>
      </c>
      <c r="C419" s="3"/>
      <c r="D419" s="24"/>
      <c r="E419" s="24"/>
      <c r="F419" s="25"/>
      <c r="G419" s="25"/>
      <c r="H419" s="25"/>
      <c r="I419" s="25"/>
      <c r="J419" s="25"/>
      <c r="K419" s="25"/>
      <c r="L419" s="25">
        <f>L418+L417</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701"/>
  <sheetViews>
    <sheetView zoomScale="85" zoomScaleNormal="85" workbookViewId="0">
      <selection activeCell="G11" sqref="G11"/>
    </sheetView>
  </sheetViews>
  <sheetFormatPr defaultRowHeight="14.4" x14ac:dyDescent="0.3"/>
  <cols>
    <col min="1" max="1" width="8.88671875" style="7"/>
    <col min="2" max="2" width="72.77734375"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10.5546875" style="38" bestFit="1" customWidth="1"/>
    <col min="15" max="15" width="8.88671875" style="38"/>
    <col min="16" max="16" width="9.5546875" style="38" bestFit="1" customWidth="1"/>
    <col min="18" max="18" width="10.33203125" bestFit="1" customWidth="1"/>
  </cols>
  <sheetData>
    <row r="2" spans="1:12" x14ac:dyDescent="0.3">
      <c r="A2" s="40" t="s">
        <v>1036</v>
      </c>
      <c r="B2" s="40"/>
      <c r="C2" s="40"/>
      <c r="D2" s="40"/>
      <c r="E2" s="40"/>
      <c r="F2" s="40"/>
      <c r="G2" s="40"/>
      <c r="H2" s="40"/>
      <c r="I2" s="40"/>
      <c r="J2" s="40"/>
      <c r="K2" s="40"/>
      <c r="L2" s="40"/>
    </row>
    <row r="3" spans="1:12" x14ac:dyDescent="0.3">
      <c r="A3" s="40" t="s">
        <v>1037</v>
      </c>
      <c r="B3" s="40"/>
      <c r="C3" s="40"/>
      <c r="D3" s="40"/>
      <c r="E3" s="40"/>
      <c r="F3" s="40"/>
      <c r="G3" s="40"/>
      <c r="H3" s="40"/>
      <c r="I3" s="40"/>
      <c r="J3" s="40"/>
      <c r="K3" s="40"/>
      <c r="L3" s="40"/>
    </row>
    <row r="4" spans="1:12" x14ac:dyDescent="0.3">
      <c r="A4" s="36" t="s">
        <v>1045</v>
      </c>
      <c r="K4" s="33" t="s">
        <v>1038</v>
      </c>
      <c r="L4" s="34" t="str">
        <f>კრებსითი!E4</f>
        <v>001</v>
      </c>
    </row>
    <row r="5" spans="1:12" x14ac:dyDescent="0.3">
      <c r="A5" s="36" t="s">
        <v>1044</v>
      </c>
      <c r="K5" s="33" t="s">
        <v>1040</v>
      </c>
      <c r="L5" s="35">
        <f>კრებსითი!E5</f>
        <v>45887</v>
      </c>
    </row>
    <row r="6" spans="1:12" ht="28.8" customHeight="1" x14ac:dyDescent="0.3">
      <c r="A6" s="43" t="s">
        <v>0</v>
      </c>
      <c r="B6" s="43" t="s">
        <v>1</v>
      </c>
      <c r="C6" s="43" t="s">
        <v>2</v>
      </c>
      <c r="D6" s="45" t="s">
        <v>9</v>
      </c>
      <c r="E6" s="45" t="s">
        <v>3</v>
      </c>
      <c r="F6" s="41" t="s">
        <v>4</v>
      </c>
      <c r="G6" s="42"/>
      <c r="H6" s="41" t="s">
        <v>5</v>
      </c>
      <c r="I6" s="42"/>
      <c r="J6" s="41" t="s">
        <v>6</v>
      </c>
      <c r="K6" s="42"/>
      <c r="L6" s="43" t="s">
        <v>7</v>
      </c>
    </row>
    <row r="7" spans="1:12" ht="23.4" customHeight="1" x14ac:dyDescent="0.3">
      <c r="A7" s="44"/>
      <c r="B7" s="44"/>
      <c r="C7" s="44"/>
      <c r="D7" s="46"/>
      <c r="E7" s="46"/>
      <c r="F7" s="3" t="s">
        <v>8</v>
      </c>
      <c r="G7" s="3" t="s">
        <v>7</v>
      </c>
      <c r="H7" s="3" t="s">
        <v>8</v>
      </c>
      <c r="I7" s="3" t="s">
        <v>7</v>
      </c>
      <c r="J7" s="3" t="s">
        <v>8</v>
      </c>
      <c r="K7" s="3" t="s">
        <v>7</v>
      </c>
      <c r="L7" s="44"/>
    </row>
    <row r="8" spans="1:12" x14ac:dyDescent="0.3">
      <c r="A8" s="3">
        <v>1</v>
      </c>
      <c r="B8" s="3">
        <v>2</v>
      </c>
      <c r="C8" s="3">
        <v>3</v>
      </c>
      <c r="D8" s="3">
        <v>4</v>
      </c>
      <c r="E8" s="3">
        <v>5</v>
      </c>
      <c r="F8" s="3">
        <v>6</v>
      </c>
      <c r="G8" s="3">
        <v>7</v>
      </c>
      <c r="H8" s="3">
        <v>8</v>
      </c>
      <c r="I8" s="3">
        <v>9</v>
      </c>
      <c r="J8" s="3">
        <v>10</v>
      </c>
      <c r="K8" s="3">
        <v>11</v>
      </c>
      <c r="L8" s="3">
        <v>12</v>
      </c>
    </row>
    <row r="9" spans="1:12" x14ac:dyDescent="0.3">
      <c r="A9" s="11"/>
      <c r="B9" s="11" t="s">
        <v>10</v>
      </c>
      <c r="C9" s="4"/>
      <c r="D9" s="12"/>
      <c r="E9" s="12"/>
      <c r="F9" s="13"/>
      <c r="G9" s="13"/>
      <c r="H9" s="13"/>
      <c r="I9" s="13"/>
      <c r="J9" s="13"/>
      <c r="K9" s="13"/>
      <c r="L9" s="13"/>
    </row>
    <row r="10" spans="1:12" x14ac:dyDescent="0.3">
      <c r="A10" s="2">
        <v>1</v>
      </c>
      <c r="B10" s="14" t="s">
        <v>11</v>
      </c>
      <c r="C10" s="2" t="s">
        <v>12</v>
      </c>
      <c r="D10" s="15"/>
      <c r="E10" s="15">
        <v>320</v>
      </c>
      <c r="F10" s="10"/>
      <c r="G10" s="10">
        <f t="shared" ref="G10:G48" si="0">F10*E10</f>
        <v>0</v>
      </c>
      <c r="H10" s="10"/>
      <c r="I10" s="10">
        <f t="shared" ref="I10:I48" si="1">H10*E10</f>
        <v>0</v>
      </c>
      <c r="J10" s="10"/>
      <c r="K10" s="10">
        <f t="shared" ref="K10:K48" si="2">J10*E10</f>
        <v>0</v>
      </c>
      <c r="L10" s="10">
        <f t="shared" ref="L10:L48" si="3">K10+I10+G10</f>
        <v>0</v>
      </c>
    </row>
    <row r="11" spans="1:12" x14ac:dyDescent="0.3">
      <c r="A11" s="2"/>
      <c r="B11" s="5" t="s">
        <v>13</v>
      </c>
      <c r="C11" s="1" t="s">
        <v>12</v>
      </c>
      <c r="D11" s="8">
        <v>1</v>
      </c>
      <c r="E11" s="8">
        <f t="shared" ref="E11:E16" si="4">D11*E$10</f>
        <v>320</v>
      </c>
      <c r="F11" s="10"/>
      <c r="G11" s="10">
        <f t="shared" si="0"/>
        <v>0</v>
      </c>
      <c r="H11" s="10"/>
      <c r="I11" s="10">
        <f t="shared" si="1"/>
        <v>0</v>
      </c>
      <c r="J11" s="10"/>
      <c r="K11" s="10">
        <f t="shared" si="2"/>
        <v>0</v>
      </c>
      <c r="L11" s="10">
        <f t="shared" si="3"/>
        <v>0</v>
      </c>
    </row>
    <row r="12" spans="1:12" x14ac:dyDescent="0.3">
      <c r="A12" s="2"/>
      <c r="B12" s="5" t="s">
        <v>1073</v>
      </c>
      <c r="C12" s="1" t="s">
        <v>12</v>
      </c>
      <c r="D12" s="8">
        <f>1/2.5*2.5*1.15</f>
        <v>1.1499999999999999</v>
      </c>
      <c r="E12" s="8">
        <f t="shared" si="4"/>
        <v>368</v>
      </c>
      <c r="F12" s="10"/>
      <c r="G12" s="10">
        <f t="shared" si="0"/>
        <v>0</v>
      </c>
      <c r="H12" s="10"/>
      <c r="I12" s="10">
        <f t="shared" si="1"/>
        <v>0</v>
      </c>
      <c r="J12" s="10"/>
      <c r="K12" s="10">
        <f t="shared" si="2"/>
        <v>0</v>
      </c>
      <c r="L12" s="10">
        <f t="shared" si="3"/>
        <v>0</v>
      </c>
    </row>
    <row r="13" spans="1:12" x14ac:dyDescent="0.3">
      <c r="A13" s="2"/>
      <c r="B13" s="5" t="s">
        <v>14</v>
      </c>
      <c r="C13" s="1" t="s">
        <v>12</v>
      </c>
      <c r="D13" s="8">
        <v>3.05</v>
      </c>
      <c r="E13" s="8">
        <f t="shared" si="4"/>
        <v>976</v>
      </c>
      <c r="F13" s="10"/>
      <c r="G13" s="10">
        <f t="shared" si="0"/>
        <v>0</v>
      </c>
      <c r="H13" s="10"/>
      <c r="I13" s="10">
        <f t="shared" si="1"/>
        <v>0</v>
      </c>
      <c r="J13" s="10"/>
      <c r="K13" s="10">
        <f t="shared" si="2"/>
        <v>0</v>
      </c>
      <c r="L13" s="10">
        <f t="shared" si="3"/>
        <v>0</v>
      </c>
    </row>
    <row r="14" spans="1:12" x14ac:dyDescent="0.3">
      <c r="A14" s="2"/>
      <c r="B14" s="5" t="s">
        <v>15</v>
      </c>
      <c r="C14" s="1" t="s">
        <v>16</v>
      </c>
      <c r="D14" s="8">
        <v>2</v>
      </c>
      <c r="E14" s="8">
        <f t="shared" si="4"/>
        <v>640</v>
      </c>
      <c r="F14" s="10"/>
      <c r="G14" s="10">
        <f t="shared" si="0"/>
        <v>0</v>
      </c>
      <c r="H14" s="10"/>
      <c r="I14" s="10">
        <f t="shared" si="1"/>
        <v>0</v>
      </c>
      <c r="J14" s="10"/>
      <c r="K14" s="10">
        <f t="shared" si="2"/>
        <v>0</v>
      </c>
      <c r="L14" s="10">
        <f t="shared" si="3"/>
        <v>0</v>
      </c>
    </row>
    <row r="15" spans="1:12" x14ac:dyDescent="0.3">
      <c r="A15" s="2"/>
      <c r="B15" s="5" t="s">
        <v>17</v>
      </c>
      <c r="C15" s="1" t="s">
        <v>18</v>
      </c>
      <c r="D15" s="8">
        <f>1/3*0.5*0.5*0.5</f>
        <v>4.1666666666666664E-2</v>
      </c>
      <c r="E15" s="8">
        <f t="shared" si="4"/>
        <v>13.333333333333332</v>
      </c>
      <c r="F15" s="10"/>
      <c r="G15" s="10">
        <f t="shared" si="0"/>
        <v>0</v>
      </c>
      <c r="H15" s="10"/>
      <c r="I15" s="10">
        <f t="shared" si="1"/>
        <v>0</v>
      </c>
      <c r="J15" s="10"/>
      <c r="K15" s="10">
        <f t="shared" si="2"/>
        <v>0</v>
      </c>
      <c r="L15" s="10">
        <f t="shared" si="3"/>
        <v>0</v>
      </c>
    </row>
    <row r="16" spans="1:12" x14ac:dyDescent="0.3">
      <c r="A16" s="2"/>
      <c r="B16" s="5" t="s">
        <v>19</v>
      </c>
      <c r="C16" s="1" t="s">
        <v>12</v>
      </c>
      <c r="D16" s="8">
        <v>1</v>
      </c>
      <c r="E16" s="8">
        <f t="shared" si="4"/>
        <v>320</v>
      </c>
      <c r="F16" s="10"/>
      <c r="G16" s="10">
        <f t="shared" si="0"/>
        <v>0</v>
      </c>
      <c r="H16" s="10"/>
      <c r="I16" s="10">
        <f t="shared" si="1"/>
        <v>0</v>
      </c>
      <c r="J16" s="10"/>
      <c r="K16" s="10">
        <f t="shared" si="2"/>
        <v>0</v>
      </c>
      <c r="L16" s="10">
        <f t="shared" si="3"/>
        <v>0</v>
      </c>
    </row>
    <row r="17" spans="1:18" x14ac:dyDescent="0.3">
      <c r="A17" s="2">
        <f>A10+1</f>
        <v>2</v>
      </c>
      <c r="B17" s="14" t="s">
        <v>20</v>
      </c>
      <c r="C17" s="2" t="s">
        <v>24</v>
      </c>
      <c r="D17" s="15"/>
      <c r="E17" s="15">
        <v>12</v>
      </c>
      <c r="F17" s="10"/>
      <c r="G17" s="10">
        <f t="shared" si="0"/>
        <v>0</v>
      </c>
      <c r="H17" s="10"/>
      <c r="I17" s="10">
        <f t="shared" si="1"/>
        <v>0</v>
      </c>
      <c r="J17" s="10"/>
      <c r="K17" s="10">
        <f t="shared" si="2"/>
        <v>0</v>
      </c>
      <c r="L17" s="10">
        <f t="shared" si="3"/>
        <v>0</v>
      </c>
    </row>
    <row r="18" spans="1:18" x14ac:dyDescent="0.3">
      <c r="A18" s="2">
        <f>A17+1</f>
        <v>3</v>
      </c>
      <c r="B18" s="14" t="s">
        <v>21</v>
      </c>
      <c r="C18" s="2" t="s">
        <v>24</v>
      </c>
      <c r="D18" s="15"/>
      <c r="E18" s="15">
        <v>12</v>
      </c>
      <c r="F18" s="10"/>
      <c r="G18" s="10">
        <f t="shared" si="0"/>
        <v>0</v>
      </c>
      <c r="H18" s="10"/>
      <c r="I18" s="10">
        <f t="shared" si="1"/>
        <v>0</v>
      </c>
      <c r="J18" s="10"/>
      <c r="K18" s="10">
        <f t="shared" si="2"/>
        <v>0</v>
      </c>
      <c r="L18" s="10">
        <f t="shared" si="3"/>
        <v>0</v>
      </c>
    </row>
    <row r="19" spans="1:18" x14ac:dyDescent="0.3">
      <c r="A19" s="2">
        <f>A18+1</f>
        <v>4</v>
      </c>
      <c r="B19" s="14" t="s">
        <v>221</v>
      </c>
      <c r="C19" s="2" t="s">
        <v>24</v>
      </c>
      <c r="D19" s="15"/>
      <c r="E19" s="15">
        <v>24</v>
      </c>
      <c r="F19" s="10"/>
      <c r="G19" s="10">
        <f t="shared" ref="G19" si="5">F19*E19</f>
        <v>0</v>
      </c>
      <c r="H19" s="10"/>
      <c r="I19" s="10">
        <f t="shared" ref="I19" si="6">H19*E19</f>
        <v>0</v>
      </c>
      <c r="J19" s="10"/>
      <c r="K19" s="10">
        <f t="shared" ref="K19" si="7">J19*E19</f>
        <v>0</v>
      </c>
      <c r="L19" s="10">
        <f t="shared" ref="L19" si="8">K19+I19+G19</f>
        <v>0</v>
      </c>
    </row>
    <row r="20" spans="1:18" x14ac:dyDescent="0.3">
      <c r="A20" s="2">
        <f>A19+1</f>
        <v>5</v>
      </c>
      <c r="B20" s="14" t="s">
        <v>222</v>
      </c>
      <c r="C20" s="2" t="s">
        <v>16</v>
      </c>
      <c r="D20" s="15"/>
      <c r="E20" s="15">
        <v>80</v>
      </c>
      <c r="F20" s="10"/>
      <c r="G20" s="10">
        <f t="shared" si="0"/>
        <v>0</v>
      </c>
      <c r="H20" s="10"/>
      <c r="I20" s="10">
        <f t="shared" si="1"/>
        <v>0</v>
      </c>
      <c r="J20" s="10"/>
      <c r="K20" s="10">
        <f t="shared" si="2"/>
        <v>0</v>
      </c>
      <c r="L20" s="10">
        <f t="shared" si="3"/>
        <v>0</v>
      </c>
    </row>
    <row r="21" spans="1:18" x14ac:dyDescent="0.3">
      <c r="A21" s="2">
        <f>A20+1</f>
        <v>6</v>
      </c>
      <c r="B21" s="14" t="s">
        <v>22</v>
      </c>
      <c r="C21" s="2" t="s">
        <v>25</v>
      </c>
      <c r="D21" s="15"/>
      <c r="E21" s="15">
        <v>1</v>
      </c>
      <c r="F21" s="10"/>
      <c r="G21" s="10">
        <f t="shared" si="0"/>
        <v>0</v>
      </c>
      <c r="H21" s="10"/>
      <c r="I21" s="10">
        <f t="shared" si="1"/>
        <v>0</v>
      </c>
      <c r="J21" s="10"/>
      <c r="K21" s="10">
        <f t="shared" si="2"/>
        <v>0</v>
      </c>
      <c r="L21" s="10">
        <f t="shared" si="3"/>
        <v>0</v>
      </c>
    </row>
    <row r="22" spans="1:18" x14ac:dyDescent="0.3">
      <c r="A22" s="2">
        <f>A21+1</f>
        <v>7</v>
      </c>
      <c r="B22" s="14" t="s">
        <v>23</v>
      </c>
      <c r="C22" s="2" t="s">
        <v>25</v>
      </c>
      <c r="D22" s="15"/>
      <c r="E22" s="15">
        <v>1</v>
      </c>
      <c r="F22" s="10"/>
      <c r="G22" s="10">
        <f t="shared" si="0"/>
        <v>0</v>
      </c>
      <c r="H22" s="10"/>
      <c r="I22" s="10">
        <f t="shared" si="1"/>
        <v>0</v>
      </c>
      <c r="J22" s="10"/>
      <c r="K22" s="10">
        <f t="shared" si="2"/>
        <v>0</v>
      </c>
      <c r="L22" s="10">
        <f t="shared" si="3"/>
        <v>0</v>
      </c>
    </row>
    <row r="23" spans="1:18" x14ac:dyDescent="0.3">
      <c r="A23" s="11"/>
      <c r="B23" s="11" t="s">
        <v>26</v>
      </c>
      <c r="C23" s="4"/>
      <c r="D23" s="12"/>
      <c r="E23" s="12"/>
      <c r="F23" s="13"/>
      <c r="G23" s="13">
        <f t="shared" si="0"/>
        <v>0</v>
      </c>
      <c r="H23" s="13"/>
      <c r="I23" s="13">
        <f t="shared" si="1"/>
        <v>0</v>
      </c>
      <c r="J23" s="13"/>
      <c r="K23" s="13">
        <f t="shared" si="2"/>
        <v>0</v>
      </c>
      <c r="L23" s="13">
        <f t="shared" si="3"/>
        <v>0</v>
      </c>
    </row>
    <row r="24" spans="1:18" x14ac:dyDescent="0.3">
      <c r="A24" s="2">
        <f>A22+1</f>
        <v>8</v>
      </c>
      <c r="B24" s="14" t="s">
        <v>27</v>
      </c>
      <c r="C24" s="2" t="s">
        <v>18</v>
      </c>
      <c r="D24" s="15"/>
      <c r="E24" s="15">
        <f>2500*0.6</f>
        <v>1500</v>
      </c>
      <c r="F24" s="10"/>
      <c r="G24" s="10">
        <f t="shared" si="0"/>
        <v>0</v>
      </c>
      <c r="H24" s="10"/>
      <c r="I24" s="10">
        <f t="shared" si="1"/>
        <v>0</v>
      </c>
      <c r="J24" s="10"/>
      <c r="K24" s="10">
        <f t="shared" si="2"/>
        <v>0</v>
      </c>
      <c r="L24" s="10">
        <f t="shared" si="3"/>
        <v>0</v>
      </c>
    </row>
    <row r="25" spans="1:18" x14ac:dyDescent="0.3">
      <c r="A25" s="2">
        <f>A24+1</f>
        <v>9</v>
      </c>
      <c r="B25" s="14" t="s">
        <v>28</v>
      </c>
      <c r="C25" s="2" t="s">
        <v>18</v>
      </c>
      <c r="D25" s="15"/>
      <c r="E25" s="15">
        <f>2400*2.6</f>
        <v>6240</v>
      </c>
      <c r="F25" s="10"/>
      <c r="G25" s="10">
        <f t="shared" si="0"/>
        <v>0</v>
      </c>
      <c r="H25" s="10"/>
      <c r="I25" s="10">
        <f t="shared" si="1"/>
        <v>0</v>
      </c>
      <c r="J25" s="10"/>
      <c r="K25" s="10">
        <f t="shared" si="2"/>
        <v>0</v>
      </c>
      <c r="L25" s="10">
        <f t="shared" si="3"/>
        <v>0</v>
      </c>
    </row>
    <row r="26" spans="1:18" x14ac:dyDescent="0.3">
      <c r="A26" s="2"/>
      <c r="B26" s="5" t="s">
        <v>29</v>
      </c>
      <c r="C26" s="1" t="s">
        <v>30</v>
      </c>
      <c r="D26" s="16">
        <v>2E-3</v>
      </c>
      <c r="E26" s="8">
        <f>D26*E25</f>
        <v>12.48</v>
      </c>
      <c r="F26" s="10"/>
      <c r="G26" s="10">
        <f t="shared" si="0"/>
        <v>0</v>
      </c>
      <c r="H26" s="10"/>
      <c r="I26" s="10">
        <f t="shared" si="1"/>
        <v>0</v>
      </c>
      <c r="J26" s="10"/>
      <c r="K26" s="10">
        <f t="shared" si="2"/>
        <v>0</v>
      </c>
      <c r="L26" s="10">
        <f t="shared" si="3"/>
        <v>0</v>
      </c>
      <c r="R26" s="38"/>
    </row>
    <row r="27" spans="1:18" x14ac:dyDescent="0.3">
      <c r="A27" s="2"/>
      <c r="B27" s="5" t="s">
        <v>31</v>
      </c>
      <c r="C27" s="1" t="s">
        <v>30</v>
      </c>
      <c r="D27" s="16">
        <f>D26*2</f>
        <v>4.0000000000000001E-3</v>
      </c>
      <c r="E27" s="8">
        <f>D27*E25</f>
        <v>24.96</v>
      </c>
      <c r="F27" s="10"/>
      <c r="G27" s="10">
        <f t="shared" si="0"/>
        <v>0</v>
      </c>
      <c r="H27" s="10"/>
      <c r="I27" s="10">
        <f t="shared" si="1"/>
        <v>0</v>
      </c>
      <c r="J27" s="10"/>
      <c r="K27" s="10">
        <f t="shared" si="2"/>
        <v>0</v>
      </c>
      <c r="L27" s="10">
        <f t="shared" si="3"/>
        <v>0</v>
      </c>
      <c r="R27" s="38"/>
    </row>
    <row r="28" spans="1:18" x14ac:dyDescent="0.3">
      <c r="A28" s="2">
        <f>A25+1</f>
        <v>10</v>
      </c>
      <c r="B28" s="14" t="s">
        <v>54</v>
      </c>
      <c r="C28" s="2" t="s">
        <v>16</v>
      </c>
      <c r="D28" s="15"/>
      <c r="E28" s="15">
        <v>1400</v>
      </c>
      <c r="F28" s="10"/>
      <c r="G28" s="10">
        <f t="shared" si="0"/>
        <v>0</v>
      </c>
      <c r="H28" s="10"/>
      <c r="I28" s="10">
        <f t="shared" si="1"/>
        <v>0</v>
      </c>
      <c r="J28" s="10"/>
      <c r="K28" s="10">
        <f t="shared" si="2"/>
        <v>0</v>
      </c>
      <c r="L28" s="10">
        <f t="shared" si="3"/>
        <v>0</v>
      </c>
    </row>
    <row r="29" spans="1:18" x14ac:dyDescent="0.3">
      <c r="A29" s="2"/>
      <c r="B29" s="5" t="s">
        <v>32</v>
      </c>
      <c r="C29" s="1" t="s">
        <v>30</v>
      </c>
      <c r="D29" s="8"/>
      <c r="E29" s="8">
        <v>3</v>
      </c>
      <c r="F29" s="10"/>
      <c r="G29" s="10">
        <f t="shared" si="0"/>
        <v>0</v>
      </c>
      <c r="H29" s="10"/>
      <c r="I29" s="10">
        <f t="shared" si="1"/>
        <v>0</v>
      </c>
      <c r="J29" s="10"/>
      <c r="K29" s="10">
        <f t="shared" si="2"/>
        <v>0</v>
      </c>
      <c r="L29" s="10">
        <f t="shared" si="3"/>
        <v>0</v>
      </c>
    </row>
    <row r="30" spans="1:18" x14ac:dyDescent="0.3">
      <c r="A30" s="2"/>
      <c r="B30" s="5" t="s">
        <v>33</v>
      </c>
      <c r="C30" s="1" t="s">
        <v>30</v>
      </c>
      <c r="D30" s="8"/>
      <c r="E30" s="8">
        <v>3</v>
      </c>
      <c r="F30" s="10"/>
      <c r="G30" s="10">
        <f t="shared" si="0"/>
        <v>0</v>
      </c>
      <c r="H30" s="10"/>
      <c r="I30" s="10">
        <f t="shared" si="1"/>
        <v>0</v>
      </c>
      <c r="J30" s="10"/>
      <c r="K30" s="10">
        <f t="shared" si="2"/>
        <v>0</v>
      </c>
      <c r="L30" s="10">
        <f t="shared" si="3"/>
        <v>0</v>
      </c>
    </row>
    <row r="31" spans="1:18" x14ac:dyDescent="0.3">
      <c r="A31" s="2">
        <f>A28+1</f>
        <v>11</v>
      </c>
      <c r="B31" s="14" t="s">
        <v>34</v>
      </c>
      <c r="C31" s="2" t="s">
        <v>18</v>
      </c>
      <c r="D31" s="15"/>
      <c r="E31" s="15">
        <f>1300*0.8</f>
        <v>1040</v>
      </c>
      <c r="F31" s="10"/>
      <c r="G31" s="10">
        <f t="shared" si="0"/>
        <v>0</v>
      </c>
      <c r="H31" s="10"/>
      <c r="I31" s="10">
        <f t="shared" si="1"/>
        <v>0</v>
      </c>
      <c r="J31" s="10"/>
      <c r="K31" s="10">
        <f t="shared" si="2"/>
        <v>0</v>
      </c>
      <c r="L31" s="10">
        <f t="shared" si="3"/>
        <v>0</v>
      </c>
    </row>
    <row r="32" spans="1:18" x14ac:dyDescent="0.3">
      <c r="A32" s="2"/>
      <c r="B32" s="17" t="s">
        <v>59</v>
      </c>
      <c r="C32" s="18" t="s">
        <v>18</v>
      </c>
      <c r="D32" s="19">
        <v>1.25</v>
      </c>
      <c r="E32" s="19">
        <f>D32*E31</f>
        <v>1300</v>
      </c>
      <c r="F32" s="10"/>
      <c r="G32" s="10">
        <f t="shared" si="0"/>
        <v>0</v>
      </c>
      <c r="H32" s="10"/>
      <c r="I32" s="10">
        <f t="shared" si="1"/>
        <v>0</v>
      </c>
      <c r="J32" s="10"/>
      <c r="K32" s="10">
        <f t="shared" si="2"/>
        <v>0</v>
      </c>
      <c r="L32" s="10">
        <f t="shared" si="3"/>
        <v>0</v>
      </c>
      <c r="R32" s="38"/>
    </row>
    <row r="33" spans="1:18" x14ac:dyDescent="0.3">
      <c r="A33" s="2"/>
      <c r="B33" s="5" t="s">
        <v>32</v>
      </c>
      <c r="C33" s="1" t="s">
        <v>30</v>
      </c>
      <c r="D33" s="8">
        <v>0.01</v>
      </c>
      <c r="E33" s="8">
        <f>D33*E31</f>
        <v>10.4</v>
      </c>
      <c r="F33" s="10"/>
      <c r="G33" s="10">
        <f t="shared" si="0"/>
        <v>0</v>
      </c>
      <c r="H33" s="10"/>
      <c r="I33" s="10">
        <f t="shared" si="1"/>
        <v>0</v>
      </c>
      <c r="J33" s="10"/>
      <c r="K33" s="10">
        <f t="shared" si="2"/>
        <v>0</v>
      </c>
      <c r="L33" s="10">
        <f t="shared" si="3"/>
        <v>0</v>
      </c>
      <c r="R33" s="38"/>
    </row>
    <row r="34" spans="1:18" x14ac:dyDescent="0.3">
      <c r="A34" s="2"/>
      <c r="B34" s="5" t="s">
        <v>33</v>
      </c>
      <c r="C34" s="1" t="s">
        <v>30</v>
      </c>
      <c r="D34" s="8">
        <v>0.01</v>
      </c>
      <c r="E34" s="8">
        <f>D34*E31</f>
        <v>10.4</v>
      </c>
      <c r="F34" s="10"/>
      <c r="G34" s="10">
        <f t="shared" si="0"/>
        <v>0</v>
      </c>
      <c r="H34" s="10"/>
      <c r="I34" s="10">
        <f t="shared" si="1"/>
        <v>0</v>
      </c>
      <c r="J34" s="10"/>
      <c r="K34" s="10">
        <f t="shared" si="2"/>
        <v>0</v>
      </c>
      <c r="L34" s="10">
        <f t="shared" si="3"/>
        <v>0</v>
      </c>
      <c r="R34" s="38"/>
    </row>
    <row r="35" spans="1:18" x14ac:dyDescent="0.3">
      <c r="A35" s="2">
        <f>A31+1</f>
        <v>12</v>
      </c>
      <c r="B35" s="14" t="s">
        <v>35</v>
      </c>
      <c r="C35" s="2" t="s">
        <v>16</v>
      </c>
      <c r="D35" s="15"/>
      <c r="E35" s="15">
        <v>1190</v>
      </c>
      <c r="F35" s="10"/>
      <c r="G35" s="10">
        <f t="shared" si="0"/>
        <v>0</v>
      </c>
      <c r="H35" s="10"/>
      <c r="I35" s="10">
        <f t="shared" si="1"/>
        <v>0</v>
      </c>
      <c r="J35" s="10"/>
      <c r="K35" s="10">
        <f t="shared" si="2"/>
        <v>0</v>
      </c>
      <c r="L35" s="10">
        <f t="shared" si="3"/>
        <v>0</v>
      </c>
    </row>
    <row r="36" spans="1:18" x14ac:dyDescent="0.3">
      <c r="A36" s="2"/>
      <c r="B36" s="5" t="s">
        <v>13</v>
      </c>
      <c r="C36" s="1" t="s">
        <v>16</v>
      </c>
      <c r="D36" s="8">
        <v>1</v>
      </c>
      <c r="E36" s="8">
        <f>D36*E$35</f>
        <v>1190</v>
      </c>
      <c r="F36" s="10"/>
      <c r="G36" s="10">
        <f t="shared" si="0"/>
        <v>0</v>
      </c>
      <c r="H36" s="10"/>
      <c r="I36" s="10">
        <f t="shared" si="1"/>
        <v>0</v>
      </c>
      <c r="J36" s="10"/>
      <c r="K36" s="10">
        <f t="shared" si="2"/>
        <v>0</v>
      </c>
      <c r="L36" s="10">
        <f t="shared" si="3"/>
        <v>0</v>
      </c>
    </row>
    <row r="37" spans="1:18" x14ac:dyDescent="0.3">
      <c r="A37" s="2"/>
      <c r="B37" s="5" t="s">
        <v>36</v>
      </c>
      <c r="C37" s="1" t="s">
        <v>18</v>
      </c>
      <c r="D37" s="8">
        <f>0.1*1.02</f>
        <v>0.10200000000000001</v>
      </c>
      <c r="E37" s="8">
        <f>D37*E$35</f>
        <v>121.38000000000001</v>
      </c>
      <c r="F37" s="10"/>
      <c r="G37" s="10">
        <f t="shared" si="0"/>
        <v>0</v>
      </c>
      <c r="H37" s="10"/>
      <c r="I37" s="10">
        <f t="shared" si="1"/>
        <v>0</v>
      </c>
      <c r="J37" s="10"/>
      <c r="K37" s="10">
        <f t="shared" si="2"/>
        <v>0</v>
      </c>
      <c r="L37" s="10">
        <f t="shared" si="3"/>
        <v>0</v>
      </c>
    </row>
    <row r="38" spans="1:18" x14ac:dyDescent="0.3">
      <c r="A38" s="2"/>
      <c r="B38" s="5" t="s">
        <v>19</v>
      </c>
      <c r="C38" s="1" t="s">
        <v>16</v>
      </c>
      <c r="D38" s="8">
        <v>1</v>
      </c>
      <c r="E38" s="8">
        <f>D38*E$35</f>
        <v>1190</v>
      </c>
      <c r="F38" s="10"/>
      <c r="G38" s="10">
        <f t="shared" si="0"/>
        <v>0</v>
      </c>
      <c r="H38" s="10"/>
      <c r="I38" s="10">
        <f t="shared" si="1"/>
        <v>0</v>
      </c>
      <c r="J38" s="10"/>
      <c r="K38" s="10">
        <f t="shared" si="2"/>
        <v>0</v>
      </c>
      <c r="L38" s="10">
        <f t="shared" si="3"/>
        <v>0</v>
      </c>
    </row>
    <row r="39" spans="1:18" x14ac:dyDescent="0.3">
      <c r="A39" s="2">
        <f>A35+1</f>
        <v>13</v>
      </c>
      <c r="B39" s="14" t="s">
        <v>49</v>
      </c>
      <c r="C39" s="2" t="s">
        <v>18</v>
      </c>
      <c r="D39" s="15"/>
      <c r="E39" s="15">
        <f>675*0.5</f>
        <v>337.5</v>
      </c>
      <c r="F39" s="10"/>
      <c r="G39" s="10">
        <f t="shared" si="0"/>
        <v>0</v>
      </c>
      <c r="H39" s="10"/>
      <c r="I39" s="10">
        <f t="shared" si="1"/>
        <v>0</v>
      </c>
      <c r="J39" s="10"/>
      <c r="K39" s="10">
        <f t="shared" si="2"/>
        <v>0</v>
      </c>
      <c r="L39" s="10">
        <f t="shared" si="3"/>
        <v>0</v>
      </c>
    </row>
    <row r="40" spans="1:18" x14ac:dyDescent="0.3">
      <c r="A40" s="2"/>
      <c r="B40" s="5" t="s">
        <v>13</v>
      </c>
      <c r="C40" s="1" t="s">
        <v>18</v>
      </c>
      <c r="D40" s="8">
        <v>1</v>
      </c>
      <c r="E40" s="8">
        <f>D40*E39</f>
        <v>337.5</v>
      </c>
      <c r="F40" s="10"/>
      <c r="G40" s="10">
        <f t="shared" si="0"/>
        <v>0</v>
      </c>
      <c r="H40" s="10"/>
      <c r="I40" s="10">
        <f t="shared" si="1"/>
        <v>0</v>
      </c>
      <c r="J40" s="10"/>
      <c r="K40" s="10">
        <f t="shared" si="2"/>
        <v>0</v>
      </c>
      <c r="L40" s="10">
        <f t="shared" si="3"/>
        <v>0</v>
      </c>
    </row>
    <row r="41" spans="1:18" x14ac:dyDescent="0.3">
      <c r="A41" s="2"/>
      <c r="B41" s="5" t="s">
        <v>37</v>
      </c>
      <c r="C41" s="1" t="s">
        <v>18</v>
      </c>
      <c r="D41" s="8">
        <f>1.02</f>
        <v>1.02</v>
      </c>
      <c r="E41" s="8">
        <f>D41*E40</f>
        <v>344.25</v>
      </c>
      <c r="F41" s="10"/>
      <c r="G41" s="10">
        <f t="shared" si="0"/>
        <v>0</v>
      </c>
      <c r="H41" s="10"/>
      <c r="I41" s="10">
        <f t="shared" si="1"/>
        <v>0</v>
      </c>
      <c r="J41" s="10"/>
      <c r="K41" s="10">
        <f t="shared" si="2"/>
        <v>0</v>
      </c>
      <c r="L41" s="10">
        <f t="shared" si="3"/>
        <v>0</v>
      </c>
    </row>
    <row r="42" spans="1:18" x14ac:dyDescent="0.3">
      <c r="A42" s="2"/>
      <c r="B42" s="5" t="s">
        <v>39</v>
      </c>
      <c r="C42" s="1" t="s">
        <v>38</v>
      </c>
      <c r="D42" s="8">
        <v>1.05</v>
      </c>
      <c r="E42" s="8">
        <f>22033.08/1000*1.05</f>
        <v>23.134734000000002</v>
      </c>
      <c r="F42" s="10"/>
      <c r="G42" s="10">
        <f t="shared" si="0"/>
        <v>0</v>
      </c>
      <c r="H42" s="10"/>
      <c r="I42" s="10">
        <f t="shared" si="1"/>
        <v>0</v>
      </c>
      <c r="J42" s="10"/>
      <c r="K42" s="10">
        <f t="shared" si="2"/>
        <v>0</v>
      </c>
      <c r="L42" s="10">
        <f t="shared" si="3"/>
        <v>0</v>
      </c>
    </row>
    <row r="43" spans="1:18" x14ac:dyDescent="0.3">
      <c r="A43" s="2"/>
      <c r="B43" s="5" t="s">
        <v>40</v>
      </c>
      <c r="C43" s="1" t="s">
        <v>38</v>
      </c>
      <c r="D43" s="8">
        <v>1.05</v>
      </c>
      <c r="E43" s="8">
        <f>361/1000*1.05</f>
        <v>0.37905</v>
      </c>
      <c r="F43" s="10"/>
      <c r="G43" s="10">
        <f t="shared" si="0"/>
        <v>0</v>
      </c>
      <c r="H43" s="10"/>
      <c r="I43" s="10">
        <f t="shared" si="1"/>
        <v>0</v>
      </c>
      <c r="J43" s="10"/>
      <c r="K43" s="10">
        <f t="shared" si="2"/>
        <v>0</v>
      </c>
      <c r="L43" s="10">
        <f t="shared" si="3"/>
        <v>0</v>
      </c>
    </row>
    <row r="44" spans="1:18" x14ac:dyDescent="0.3">
      <c r="A44" s="2"/>
      <c r="B44" s="5" t="s">
        <v>41</v>
      </c>
      <c r="C44" s="1" t="s">
        <v>16</v>
      </c>
      <c r="D44" s="8">
        <f>70.3/100</f>
        <v>0.70299999999999996</v>
      </c>
      <c r="E44" s="8">
        <f t="shared" ref="E44:E49" si="9">D44*E$41</f>
        <v>242.00774999999999</v>
      </c>
      <c r="F44" s="10"/>
      <c r="G44" s="10">
        <f t="shared" si="0"/>
        <v>0</v>
      </c>
      <c r="H44" s="10"/>
      <c r="I44" s="10">
        <f t="shared" si="1"/>
        <v>0</v>
      </c>
      <c r="J44" s="10"/>
      <c r="K44" s="10">
        <f t="shared" si="2"/>
        <v>0</v>
      </c>
      <c r="L44" s="10">
        <f t="shared" si="3"/>
        <v>0</v>
      </c>
    </row>
    <row r="45" spans="1:18" x14ac:dyDescent="0.3">
      <c r="A45" s="2"/>
      <c r="B45" s="5" t="s">
        <v>42</v>
      </c>
      <c r="C45" s="1" t="s">
        <v>18</v>
      </c>
      <c r="D45" s="8">
        <f>1.14/100</f>
        <v>1.1399999999999999E-2</v>
      </c>
      <c r="E45" s="8">
        <f t="shared" si="9"/>
        <v>3.9244499999999993</v>
      </c>
      <c r="F45" s="10"/>
      <c r="G45" s="10">
        <f t="shared" si="0"/>
        <v>0</v>
      </c>
      <c r="H45" s="10"/>
      <c r="I45" s="10">
        <f t="shared" si="1"/>
        <v>0</v>
      </c>
      <c r="J45" s="10"/>
      <c r="K45" s="10">
        <f t="shared" si="2"/>
        <v>0</v>
      </c>
      <c r="L45" s="10">
        <f t="shared" si="3"/>
        <v>0</v>
      </c>
    </row>
    <row r="46" spans="1:18" x14ac:dyDescent="0.3">
      <c r="A46" s="2"/>
      <c r="B46" s="5" t="s">
        <v>43</v>
      </c>
      <c r="C46" s="1" t="s">
        <v>47</v>
      </c>
      <c r="D46" s="8">
        <f>0.406</f>
        <v>0.40600000000000003</v>
      </c>
      <c r="E46" s="8">
        <f t="shared" si="9"/>
        <v>139.7655</v>
      </c>
      <c r="F46" s="10"/>
      <c r="G46" s="10">
        <f t="shared" si="0"/>
        <v>0</v>
      </c>
      <c r="H46" s="10"/>
      <c r="I46" s="10">
        <f t="shared" si="1"/>
        <v>0</v>
      </c>
      <c r="J46" s="10"/>
      <c r="K46" s="10">
        <f t="shared" si="2"/>
        <v>0</v>
      </c>
      <c r="L46" s="10">
        <f t="shared" si="3"/>
        <v>0</v>
      </c>
    </row>
    <row r="47" spans="1:18" x14ac:dyDescent="0.3">
      <c r="A47" s="2"/>
      <c r="B47" s="5" t="s">
        <v>44</v>
      </c>
      <c r="C47" s="1" t="s">
        <v>47</v>
      </c>
      <c r="D47" s="8">
        <v>0.38</v>
      </c>
      <c r="E47" s="8">
        <f t="shared" si="9"/>
        <v>130.815</v>
      </c>
      <c r="F47" s="10"/>
      <c r="G47" s="10">
        <f t="shared" si="0"/>
        <v>0</v>
      </c>
      <c r="H47" s="10"/>
      <c r="I47" s="10">
        <f t="shared" si="1"/>
        <v>0</v>
      </c>
      <c r="J47" s="10"/>
      <c r="K47" s="10">
        <f t="shared" si="2"/>
        <v>0</v>
      </c>
      <c r="L47" s="10">
        <f t="shared" si="3"/>
        <v>0</v>
      </c>
    </row>
    <row r="48" spans="1:18" x14ac:dyDescent="0.3">
      <c r="A48" s="2"/>
      <c r="B48" s="5" t="s">
        <v>19</v>
      </c>
      <c r="C48" s="1" t="s">
        <v>18</v>
      </c>
      <c r="D48" s="8">
        <f>60/100</f>
        <v>0.6</v>
      </c>
      <c r="E48" s="8">
        <f t="shared" si="9"/>
        <v>206.54999999999998</v>
      </c>
      <c r="F48" s="10"/>
      <c r="G48" s="10">
        <f t="shared" si="0"/>
        <v>0</v>
      </c>
      <c r="H48" s="10"/>
      <c r="I48" s="10">
        <f t="shared" si="1"/>
        <v>0</v>
      </c>
      <c r="J48" s="10"/>
      <c r="K48" s="10">
        <f t="shared" si="2"/>
        <v>0</v>
      </c>
      <c r="L48" s="10">
        <f t="shared" si="3"/>
        <v>0</v>
      </c>
    </row>
    <row r="49" spans="1:12" x14ac:dyDescent="0.3">
      <c r="A49" s="2"/>
      <c r="B49" s="5" t="s">
        <v>45</v>
      </c>
      <c r="C49" s="1" t="s">
        <v>18</v>
      </c>
      <c r="D49" s="8">
        <f>92/100</f>
        <v>0.92</v>
      </c>
      <c r="E49" s="8">
        <f t="shared" si="9"/>
        <v>316.71000000000004</v>
      </c>
      <c r="F49" s="10"/>
      <c r="G49" s="10">
        <f t="shared" ref="G49:G149" si="10">F49*E49</f>
        <v>0</v>
      </c>
      <c r="H49" s="10"/>
      <c r="I49" s="10">
        <f t="shared" ref="I49:I149" si="11">H49*E49</f>
        <v>0</v>
      </c>
      <c r="J49" s="10"/>
      <c r="K49" s="10">
        <f t="shared" ref="K49:K149" si="12">J49*E49</f>
        <v>0</v>
      </c>
      <c r="L49" s="10">
        <f t="shared" ref="L49:L149" si="13">K49+I49+G49</f>
        <v>0</v>
      </c>
    </row>
    <row r="50" spans="1:12" x14ac:dyDescent="0.3">
      <c r="A50" s="2"/>
      <c r="B50" s="5" t="s">
        <v>46</v>
      </c>
      <c r="C50" s="1" t="s">
        <v>18</v>
      </c>
      <c r="D50" s="8">
        <f>1.02</f>
        <v>1.02</v>
      </c>
      <c r="E50" s="8">
        <f>D50*E39</f>
        <v>344.25</v>
      </c>
      <c r="F50" s="10"/>
      <c r="G50" s="10">
        <f t="shared" si="10"/>
        <v>0</v>
      </c>
      <c r="H50" s="10"/>
      <c r="I50" s="10">
        <f t="shared" si="11"/>
        <v>0</v>
      </c>
      <c r="J50" s="10"/>
      <c r="K50" s="10">
        <f t="shared" si="12"/>
        <v>0</v>
      </c>
      <c r="L50" s="10">
        <f t="shared" si="13"/>
        <v>0</v>
      </c>
    </row>
    <row r="51" spans="1:12" x14ac:dyDescent="0.3">
      <c r="A51" s="2">
        <f>A39+1</f>
        <v>14</v>
      </c>
      <c r="B51" s="14" t="s">
        <v>48</v>
      </c>
      <c r="C51" s="2" t="s">
        <v>16</v>
      </c>
      <c r="D51" s="15"/>
      <c r="E51" s="15">
        <v>445</v>
      </c>
      <c r="F51" s="10"/>
      <c r="G51" s="10">
        <f t="shared" si="10"/>
        <v>0</v>
      </c>
      <c r="H51" s="10"/>
      <c r="I51" s="10">
        <f t="shared" si="11"/>
        <v>0</v>
      </c>
      <c r="J51" s="10"/>
      <c r="K51" s="10">
        <f t="shared" si="12"/>
        <v>0</v>
      </c>
      <c r="L51" s="10">
        <f t="shared" si="13"/>
        <v>0</v>
      </c>
    </row>
    <row r="52" spans="1:12" x14ac:dyDescent="0.3">
      <c r="A52" s="2"/>
      <c r="B52" s="5" t="s">
        <v>13</v>
      </c>
      <c r="C52" s="1" t="s">
        <v>16</v>
      </c>
      <c r="D52" s="8">
        <v>1</v>
      </c>
      <c r="E52" s="8">
        <f>D52*E51</f>
        <v>445</v>
      </c>
      <c r="F52" s="10"/>
      <c r="G52" s="10">
        <f t="shared" si="10"/>
        <v>0</v>
      </c>
      <c r="H52" s="10"/>
      <c r="I52" s="10">
        <f t="shared" si="11"/>
        <v>0</v>
      </c>
      <c r="J52" s="10"/>
      <c r="K52" s="10">
        <f t="shared" si="12"/>
        <v>0</v>
      </c>
      <c r="L52" s="10">
        <f t="shared" si="13"/>
        <v>0</v>
      </c>
    </row>
    <row r="53" spans="1:12" x14ac:dyDescent="0.3">
      <c r="A53" s="2"/>
      <c r="B53" s="5" t="s">
        <v>37</v>
      </c>
      <c r="C53" s="1" t="s">
        <v>18</v>
      </c>
      <c r="D53" s="8">
        <f>0.5*1.02</f>
        <v>0.51</v>
      </c>
      <c r="E53" s="8">
        <f>D53*E51</f>
        <v>226.95000000000002</v>
      </c>
      <c r="F53" s="10"/>
      <c r="G53" s="10">
        <f t="shared" si="10"/>
        <v>0</v>
      </c>
      <c r="H53" s="10"/>
      <c r="I53" s="10">
        <f t="shared" si="11"/>
        <v>0</v>
      </c>
      <c r="J53" s="10"/>
      <c r="K53" s="10">
        <f t="shared" si="12"/>
        <v>0</v>
      </c>
      <c r="L53" s="10">
        <f t="shared" si="13"/>
        <v>0</v>
      </c>
    </row>
    <row r="54" spans="1:12" x14ac:dyDescent="0.3">
      <c r="A54" s="2"/>
      <c r="B54" s="5" t="s">
        <v>39</v>
      </c>
      <c r="C54" s="1" t="s">
        <v>38</v>
      </c>
      <c r="D54" s="8">
        <v>1.05</v>
      </c>
      <c r="E54" s="8">
        <f>14525.52/1000*1.05</f>
        <v>15.251796000000001</v>
      </c>
      <c r="F54" s="10"/>
      <c r="G54" s="10">
        <f t="shared" si="10"/>
        <v>0</v>
      </c>
      <c r="H54" s="10"/>
      <c r="I54" s="10">
        <f t="shared" si="11"/>
        <v>0</v>
      </c>
      <c r="J54" s="10"/>
      <c r="K54" s="10">
        <f t="shared" si="12"/>
        <v>0</v>
      </c>
      <c r="L54" s="10">
        <f t="shared" si="13"/>
        <v>0</v>
      </c>
    </row>
    <row r="55" spans="1:12" x14ac:dyDescent="0.3">
      <c r="A55" s="2"/>
      <c r="B55" s="5" t="s">
        <v>40</v>
      </c>
      <c r="C55" s="1" t="s">
        <v>38</v>
      </c>
      <c r="D55" s="8">
        <v>1.05</v>
      </c>
      <c r="E55" s="8">
        <f>238.035/1000*1.05</f>
        <v>0.24993675000000001</v>
      </c>
      <c r="F55" s="10"/>
      <c r="G55" s="10">
        <f t="shared" si="10"/>
        <v>0</v>
      </c>
      <c r="H55" s="10"/>
      <c r="I55" s="10">
        <f t="shared" si="11"/>
        <v>0</v>
      </c>
      <c r="J55" s="10"/>
      <c r="K55" s="10">
        <f t="shared" si="12"/>
        <v>0</v>
      </c>
      <c r="L55" s="10">
        <f t="shared" si="13"/>
        <v>0</v>
      </c>
    </row>
    <row r="56" spans="1:12" x14ac:dyDescent="0.3">
      <c r="A56" s="2"/>
      <c r="B56" s="5" t="s">
        <v>41</v>
      </c>
      <c r="C56" s="1" t="s">
        <v>16</v>
      </c>
      <c r="D56" s="8">
        <f>7.54/100</f>
        <v>7.5399999999999995E-2</v>
      </c>
      <c r="E56" s="8">
        <f t="shared" ref="E56:E61" si="14">D56*E$53</f>
        <v>17.112030000000001</v>
      </c>
      <c r="F56" s="10"/>
      <c r="G56" s="10">
        <f t="shared" si="10"/>
        <v>0</v>
      </c>
      <c r="H56" s="10"/>
      <c r="I56" s="10">
        <f t="shared" si="11"/>
        <v>0</v>
      </c>
      <c r="J56" s="10"/>
      <c r="K56" s="10">
        <f t="shared" si="12"/>
        <v>0</v>
      </c>
      <c r="L56" s="10">
        <f t="shared" si="13"/>
        <v>0</v>
      </c>
    </row>
    <row r="57" spans="1:12" x14ac:dyDescent="0.3">
      <c r="A57" s="2"/>
      <c r="B57" s="5" t="s">
        <v>42</v>
      </c>
      <c r="C57" s="1" t="s">
        <v>18</v>
      </c>
      <c r="D57" s="8">
        <f>0.08/100</f>
        <v>8.0000000000000004E-4</v>
      </c>
      <c r="E57" s="8">
        <f t="shared" si="14"/>
        <v>0.18156000000000003</v>
      </c>
      <c r="F57" s="10"/>
      <c r="G57" s="10">
        <f t="shared" si="10"/>
        <v>0</v>
      </c>
      <c r="H57" s="10"/>
      <c r="I57" s="10">
        <f t="shared" si="11"/>
        <v>0</v>
      </c>
      <c r="J57" s="10"/>
      <c r="K57" s="10">
        <f t="shared" si="12"/>
        <v>0</v>
      </c>
      <c r="L57" s="10">
        <f t="shared" si="13"/>
        <v>0</v>
      </c>
    </row>
    <row r="58" spans="1:12" x14ac:dyDescent="0.3">
      <c r="A58" s="2"/>
      <c r="B58" s="5" t="s">
        <v>43</v>
      </c>
      <c r="C58" s="1" t="s">
        <v>47</v>
      </c>
      <c r="D58" s="8">
        <v>3.2000000000000001E-2</v>
      </c>
      <c r="E58" s="8">
        <f t="shared" si="14"/>
        <v>7.2624000000000004</v>
      </c>
      <c r="F58" s="10"/>
      <c r="G58" s="10">
        <f t="shared" si="10"/>
        <v>0</v>
      </c>
      <c r="H58" s="10"/>
      <c r="I58" s="10">
        <f t="shared" si="11"/>
        <v>0</v>
      </c>
      <c r="J58" s="10"/>
      <c r="K58" s="10">
        <f t="shared" si="12"/>
        <v>0</v>
      </c>
      <c r="L58" s="10">
        <f t="shared" si="13"/>
        <v>0</v>
      </c>
    </row>
    <row r="59" spans="1:12" x14ac:dyDescent="0.3">
      <c r="A59" s="2"/>
      <c r="B59" s="5" t="s">
        <v>44</v>
      </c>
      <c r="C59" s="1" t="s">
        <v>47</v>
      </c>
      <c r="D59" s="8">
        <v>0.21</v>
      </c>
      <c r="E59" s="8">
        <f t="shared" si="14"/>
        <v>47.659500000000001</v>
      </c>
      <c r="F59" s="10"/>
      <c r="G59" s="10">
        <f t="shared" si="10"/>
        <v>0</v>
      </c>
      <c r="H59" s="10"/>
      <c r="I59" s="10">
        <f t="shared" si="11"/>
        <v>0</v>
      </c>
      <c r="J59" s="10"/>
      <c r="K59" s="10">
        <f t="shared" si="12"/>
        <v>0</v>
      </c>
      <c r="L59" s="10">
        <f t="shared" si="13"/>
        <v>0</v>
      </c>
    </row>
    <row r="60" spans="1:12" x14ac:dyDescent="0.3">
      <c r="A60" s="2"/>
      <c r="B60" s="5" t="s">
        <v>19</v>
      </c>
      <c r="C60" s="1" t="s">
        <v>18</v>
      </c>
      <c r="D60" s="8">
        <f>7/100</f>
        <v>7.0000000000000007E-2</v>
      </c>
      <c r="E60" s="8">
        <f t="shared" si="14"/>
        <v>15.886500000000003</v>
      </c>
      <c r="F60" s="10"/>
      <c r="G60" s="10">
        <f t="shared" si="10"/>
        <v>0</v>
      </c>
      <c r="H60" s="10"/>
      <c r="I60" s="10">
        <f t="shared" si="11"/>
        <v>0</v>
      </c>
      <c r="J60" s="10"/>
      <c r="K60" s="10">
        <f t="shared" si="12"/>
        <v>0</v>
      </c>
      <c r="L60" s="10">
        <f t="shared" si="13"/>
        <v>0</v>
      </c>
    </row>
    <row r="61" spans="1:12" x14ac:dyDescent="0.3">
      <c r="A61" s="2"/>
      <c r="B61" s="5" t="s">
        <v>45</v>
      </c>
      <c r="C61" s="1" t="s">
        <v>18</v>
      </c>
      <c r="D61" s="8">
        <f>77/100</f>
        <v>0.77</v>
      </c>
      <c r="E61" s="8">
        <f t="shared" si="14"/>
        <v>174.75150000000002</v>
      </c>
      <c r="F61" s="10"/>
      <c r="G61" s="10">
        <f t="shared" si="10"/>
        <v>0</v>
      </c>
      <c r="H61" s="10"/>
      <c r="I61" s="10">
        <f t="shared" si="11"/>
        <v>0</v>
      </c>
      <c r="J61" s="10"/>
      <c r="K61" s="10">
        <f t="shared" si="12"/>
        <v>0</v>
      </c>
      <c r="L61" s="10">
        <f t="shared" si="13"/>
        <v>0</v>
      </c>
    </row>
    <row r="62" spans="1:12" x14ac:dyDescent="0.3">
      <c r="A62" s="2"/>
      <c r="B62" s="5" t="s">
        <v>46</v>
      </c>
      <c r="C62" s="1" t="s">
        <v>18</v>
      </c>
      <c r="D62" s="8">
        <f>0.5*1.02</f>
        <v>0.51</v>
      </c>
      <c r="E62" s="8">
        <f>D62*E51</f>
        <v>226.95000000000002</v>
      </c>
      <c r="F62" s="10"/>
      <c r="G62" s="10">
        <f t="shared" si="10"/>
        <v>0</v>
      </c>
      <c r="H62" s="10"/>
      <c r="I62" s="10">
        <f t="shared" si="11"/>
        <v>0</v>
      </c>
      <c r="J62" s="10"/>
      <c r="K62" s="10">
        <f t="shared" si="12"/>
        <v>0</v>
      </c>
      <c r="L62" s="10">
        <f t="shared" si="13"/>
        <v>0</v>
      </c>
    </row>
    <row r="63" spans="1:12" ht="28.8" x14ac:dyDescent="0.3">
      <c r="A63" s="2">
        <f>A51+1</f>
        <v>15</v>
      </c>
      <c r="B63" s="14" t="s">
        <v>50</v>
      </c>
      <c r="C63" s="2" t="s">
        <v>16</v>
      </c>
      <c r="D63" s="15"/>
      <c r="E63" s="15">
        <f>E51+675+360*0.5*2</f>
        <v>1480</v>
      </c>
      <c r="F63" s="10"/>
      <c r="G63" s="10">
        <f t="shared" si="10"/>
        <v>0</v>
      </c>
      <c r="H63" s="10"/>
      <c r="I63" s="10">
        <f t="shared" si="11"/>
        <v>0</v>
      </c>
      <c r="J63" s="10"/>
      <c r="K63" s="10">
        <f t="shared" si="12"/>
        <v>0</v>
      </c>
      <c r="L63" s="10">
        <f t="shared" si="13"/>
        <v>0</v>
      </c>
    </row>
    <row r="64" spans="1:12" x14ac:dyDescent="0.3">
      <c r="A64" s="2"/>
      <c r="B64" s="5" t="s">
        <v>13</v>
      </c>
      <c r="C64" s="1" t="s">
        <v>16</v>
      </c>
      <c r="D64" s="8">
        <v>1</v>
      </c>
      <c r="E64" s="8">
        <f>D64*E$63</f>
        <v>1480</v>
      </c>
      <c r="F64" s="10"/>
      <c r="G64" s="10">
        <f t="shared" si="10"/>
        <v>0</v>
      </c>
      <c r="H64" s="10"/>
      <c r="I64" s="10">
        <f t="shared" si="11"/>
        <v>0</v>
      </c>
      <c r="J64" s="10"/>
      <c r="K64" s="10">
        <f t="shared" si="12"/>
        <v>0</v>
      </c>
      <c r="L64" s="10">
        <f t="shared" si="13"/>
        <v>0</v>
      </c>
    </row>
    <row r="65" spans="1:12" x14ac:dyDescent="0.3">
      <c r="A65" s="2"/>
      <c r="B65" s="5" t="s">
        <v>51</v>
      </c>
      <c r="C65" s="1" t="s">
        <v>16</v>
      </c>
      <c r="D65" s="8">
        <v>1</v>
      </c>
      <c r="E65" s="8">
        <f>D65*E$63</f>
        <v>1480</v>
      </c>
      <c r="F65" s="10"/>
      <c r="G65" s="10">
        <f t="shared" si="10"/>
        <v>0</v>
      </c>
      <c r="H65" s="10"/>
      <c r="I65" s="10">
        <f t="shared" si="11"/>
        <v>0</v>
      </c>
      <c r="J65" s="10"/>
      <c r="K65" s="10">
        <f t="shared" si="12"/>
        <v>0</v>
      </c>
      <c r="L65" s="10">
        <f t="shared" si="13"/>
        <v>0</v>
      </c>
    </row>
    <row r="66" spans="1:12" x14ac:dyDescent="0.3">
      <c r="A66" s="2">
        <f>A63+1</f>
        <v>16</v>
      </c>
      <c r="B66" s="14" t="s">
        <v>53</v>
      </c>
      <c r="C66" s="2" t="s">
        <v>38</v>
      </c>
      <c r="D66" s="15"/>
      <c r="E66" s="15">
        <f>SUM(E67:E68)</f>
        <v>2.4958500000000008</v>
      </c>
      <c r="F66" s="10"/>
      <c r="G66" s="10">
        <f t="shared" ref="G66:G68" si="15">F66*E66</f>
        <v>0</v>
      </c>
      <c r="H66" s="10"/>
      <c r="I66" s="10">
        <f t="shared" ref="I66:I68" si="16">H66*E66</f>
        <v>0</v>
      </c>
      <c r="J66" s="10"/>
      <c r="K66" s="10">
        <f t="shared" ref="K66:K68" si="17">J66*E66</f>
        <v>0</v>
      </c>
      <c r="L66" s="10">
        <f t="shared" ref="L66:L68" si="18">K66+I66+G66</f>
        <v>0</v>
      </c>
    </row>
    <row r="67" spans="1:12" x14ac:dyDescent="0.3">
      <c r="A67" s="2"/>
      <c r="B67" s="5" t="s">
        <v>39</v>
      </c>
      <c r="C67" s="1" t="s">
        <v>38</v>
      </c>
      <c r="D67" s="8">
        <v>1.05</v>
      </c>
      <c r="E67" s="8">
        <f>(1037.4+240+933.7)/1000*1.05</f>
        <v>2.3216550000000007</v>
      </c>
      <c r="F67" s="10"/>
      <c r="G67" s="10">
        <f t="shared" si="15"/>
        <v>0</v>
      </c>
      <c r="H67" s="10"/>
      <c r="I67" s="10">
        <f t="shared" si="16"/>
        <v>0</v>
      </c>
      <c r="J67" s="10"/>
      <c r="K67" s="10">
        <f t="shared" si="17"/>
        <v>0</v>
      </c>
      <c r="L67" s="10">
        <f t="shared" si="18"/>
        <v>0</v>
      </c>
    </row>
    <row r="68" spans="1:12" x14ac:dyDescent="0.3">
      <c r="A68" s="2"/>
      <c r="B68" s="5" t="s">
        <v>40</v>
      </c>
      <c r="C68" s="1" t="s">
        <v>38</v>
      </c>
      <c r="D68" s="8">
        <v>1.05</v>
      </c>
      <c r="E68" s="8">
        <f>(165.9/1000*1.05)</f>
        <v>0.17419499999999999</v>
      </c>
      <c r="F68" s="10"/>
      <c r="G68" s="10">
        <f t="shared" si="15"/>
        <v>0</v>
      </c>
      <c r="H68" s="10"/>
      <c r="I68" s="10">
        <f t="shared" si="16"/>
        <v>0</v>
      </c>
      <c r="J68" s="10"/>
      <c r="K68" s="10">
        <f t="shared" si="17"/>
        <v>0</v>
      </c>
      <c r="L68" s="10">
        <f t="shared" si="18"/>
        <v>0</v>
      </c>
    </row>
    <row r="69" spans="1:12" x14ac:dyDescent="0.3">
      <c r="A69" s="2">
        <f>A66+1</f>
        <v>17</v>
      </c>
      <c r="B69" s="14" t="s">
        <v>52</v>
      </c>
      <c r="C69" s="2" t="s">
        <v>12</v>
      </c>
      <c r="D69" s="15"/>
      <c r="E69" s="15">
        <v>141.9</v>
      </c>
      <c r="F69" s="10"/>
      <c r="G69" s="10">
        <f t="shared" si="10"/>
        <v>0</v>
      </c>
      <c r="H69" s="10"/>
      <c r="I69" s="10">
        <f t="shared" si="11"/>
        <v>0</v>
      </c>
      <c r="J69" s="10"/>
      <c r="K69" s="10">
        <f t="shared" si="12"/>
        <v>0</v>
      </c>
      <c r="L69" s="10">
        <f t="shared" si="13"/>
        <v>0</v>
      </c>
    </row>
    <row r="70" spans="1:12" x14ac:dyDescent="0.3">
      <c r="A70" s="2"/>
      <c r="B70" s="5" t="s">
        <v>13</v>
      </c>
      <c r="C70" s="1" t="s">
        <v>16</v>
      </c>
      <c r="D70" s="8">
        <v>1.6</v>
      </c>
      <c r="E70" s="8">
        <f>D70*E69</f>
        <v>227.04000000000002</v>
      </c>
      <c r="F70" s="10"/>
      <c r="G70" s="10">
        <f t="shared" si="10"/>
        <v>0</v>
      </c>
      <c r="H70" s="10"/>
      <c r="I70" s="10">
        <f t="shared" si="11"/>
        <v>0</v>
      </c>
      <c r="J70" s="10"/>
      <c r="K70" s="10">
        <f t="shared" si="12"/>
        <v>0</v>
      </c>
      <c r="L70" s="10">
        <f t="shared" si="13"/>
        <v>0</v>
      </c>
    </row>
    <row r="71" spans="1:12" x14ac:dyDescent="0.3">
      <c r="A71" s="2"/>
      <c r="B71" s="5" t="s">
        <v>37</v>
      </c>
      <c r="C71" s="1" t="s">
        <v>18</v>
      </c>
      <c r="D71" s="8">
        <f>0.635*1.02</f>
        <v>0.64770000000000005</v>
      </c>
      <c r="E71" s="8">
        <f>D71*E69</f>
        <v>91.908630000000016</v>
      </c>
      <c r="F71" s="10"/>
      <c r="G71" s="10">
        <f t="shared" si="10"/>
        <v>0</v>
      </c>
      <c r="H71" s="10"/>
      <c r="I71" s="10">
        <f t="shared" si="11"/>
        <v>0</v>
      </c>
      <c r="J71" s="10"/>
      <c r="K71" s="10">
        <f t="shared" si="12"/>
        <v>0</v>
      </c>
      <c r="L71" s="10">
        <f t="shared" si="13"/>
        <v>0</v>
      </c>
    </row>
    <row r="72" spans="1:12" x14ac:dyDescent="0.3">
      <c r="A72" s="2"/>
      <c r="B72" s="5" t="s">
        <v>39</v>
      </c>
      <c r="C72" s="1" t="s">
        <v>38</v>
      </c>
      <c r="D72" s="8">
        <v>1.05</v>
      </c>
      <c r="E72" s="8">
        <f>4383/1000*1.05</f>
        <v>4.60215</v>
      </c>
      <c r="F72" s="10"/>
      <c r="G72" s="10">
        <f t="shared" si="10"/>
        <v>0</v>
      </c>
      <c r="H72" s="10"/>
      <c r="I72" s="10">
        <f t="shared" si="11"/>
        <v>0</v>
      </c>
      <c r="J72" s="10"/>
      <c r="K72" s="10">
        <f t="shared" si="12"/>
        <v>0</v>
      </c>
      <c r="L72" s="10">
        <f t="shared" si="13"/>
        <v>0</v>
      </c>
    </row>
    <row r="73" spans="1:12" x14ac:dyDescent="0.3">
      <c r="A73" s="2"/>
      <c r="B73" s="5" t="s">
        <v>40</v>
      </c>
      <c r="C73" s="1" t="s">
        <v>38</v>
      </c>
      <c r="D73" s="8">
        <v>1.05</v>
      </c>
      <c r="E73" s="8">
        <f>2918.8/1000*1.05</f>
        <v>3.06474</v>
      </c>
      <c r="F73" s="10"/>
      <c r="G73" s="10">
        <f t="shared" si="10"/>
        <v>0</v>
      </c>
      <c r="H73" s="10"/>
      <c r="I73" s="10">
        <f t="shared" si="11"/>
        <v>0</v>
      </c>
      <c r="J73" s="10"/>
      <c r="K73" s="10">
        <f t="shared" si="12"/>
        <v>0</v>
      </c>
      <c r="L73" s="10">
        <f t="shared" si="13"/>
        <v>0</v>
      </c>
    </row>
    <row r="74" spans="1:12" x14ac:dyDescent="0.3">
      <c r="A74" s="2"/>
      <c r="B74" s="5" t="s">
        <v>41</v>
      </c>
      <c r="C74" s="1" t="s">
        <v>16</v>
      </c>
      <c r="D74" s="8">
        <f>96/100</f>
        <v>0.96</v>
      </c>
      <c r="E74" s="8">
        <f t="shared" ref="E74:E79" si="19">D74*E$71</f>
        <v>88.232284800000016</v>
      </c>
      <c r="F74" s="10"/>
      <c r="G74" s="10">
        <f t="shared" si="10"/>
        <v>0</v>
      </c>
      <c r="H74" s="10"/>
      <c r="I74" s="10">
        <f t="shared" si="11"/>
        <v>0</v>
      </c>
      <c r="J74" s="10"/>
      <c r="K74" s="10">
        <f t="shared" si="12"/>
        <v>0</v>
      </c>
      <c r="L74" s="10">
        <f t="shared" si="13"/>
        <v>0</v>
      </c>
    </row>
    <row r="75" spans="1:12" x14ac:dyDescent="0.3">
      <c r="A75" s="2"/>
      <c r="B75" s="5" t="s">
        <v>42</v>
      </c>
      <c r="C75" s="1" t="s">
        <v>18</v>
      </c>
      <c r="D75" s="8">
        <f>(1.85+0.11)/100</f>
        <v>1.9600000000000003E-2</v>
      </c>
      <c r="E75" s="8">
        <f t="shared" si="19"/>
        <v>1.8014091480000005</v>
      </c>
      <c r="F75" s="10"/>
      <c r="G75" s="10">
        <f t="shared" si="10"/>
        <v>0</v>
      </c>
      <c r="H75" s="10"/>
      <c r="I75" s="10">
        <f t="shared" si="11"/>
        <v>0</v>
      </c>
      <c r="J75" s="10"/>
      <c r="K75" s="10">
        <f t="shared" si="12"/>
        <v>0</v>
      </c>
      <c r="L75" s="10">
        <f t="shared" si="13"/>
        <v>0</v>
      </c>
    </row>
    <row r="76" spans="1:12" x14ac:dyDescent="0.3">
      <c r="A76" s="2"/>
      <c r="B76" s="5" t="s">
        <v>43</v>
      </c>
      <c r="C76" s="1" t="s">
        <v>47</v>
      </c>
      <c r="D76" s="8">
        <v>3.54</v>
      </c>
      <c r="E76" s="8">
        <f t="shared" si="19"/>
        <v>325.35655020000007</v>
      </c>
      <c r="F76" s="10"/>
      <c r="G76" s="10">
        <f t="shared" si="10"/>
        <v>0</v>
      </c>
      <c r="H76" s="10"/>
      <c r="I76" s="10">
        <f t="shared" si="11"/>
        <v>0</v>
      </c>
      <c r="J76" s="10"/>
      <c r="K76" s="10">
        <f t="shared" si="12"/>
        <v>0</v>
      </c>
      <c r="L76" s="10">
        <f t="shared" si="13"/>
        <v>0</v>
      </c>
    </row>
    <row r="77" spans="1:12" x14ac:dyDescent="0.3">
      <c r="A77" s="2"/>
      <c r="B77" s="5" t="s">
        <v>44</v>
      </c>
      <c r="C77" s="1" t="s">
        <v>47</v>
      </c>
      <c r="D77" s="8">
        <v>0.61</v>
      </c>
      <c r="E77" s="8">
        <f t="shared" si="19"/>
        <v>56.064264300000012</v>
      </c>
      <c r="F77" s="10"/>
      <c r="G77" s="10">
        <f t="shared" si="10"/>
        <v>0</v>
      </c>
      <c r="H77" s="10"/>
      <c r="I77" s="10">
        <f t="shared" si="11"/>
        <v>0</v>
      </c>
      <c r="J77" s="10"/>
      <c r="K77" s="10">
        <f t="shared" si="12"/>
        <v>0</v>
      </c>
      <c r="L77" s="10">
        <f t="shared" si="13"/>
        <v>0</v>
      </c>
    </row>
    <row r="78" spans="1:12" x14ac:dyDescent="0.3">
      <c r="A78" s="2"/>
      <c r="B78" s="5" t="s">
        <v>19</v>
      </c>
      <c r="C78" s="1" t="s">
        <v>18</v>
      </c>
      <c r="D78" s="8">
        <f>29/100</f>
        <v>0.28999999999999998</v>
      </c>
      <c r="E78" s="8">
        <f t="shared" si="19"/>
        <v>26.653502700000004</v>
      </c>
      <c r="F78" s="10"/>
      <c r="G78" s="10">
        <f t="shared" si="10"/>
        <v>0</v>
      </c>
      <c r="H78" s="10"/>
      <c r="I78" s="10">
        <f t="shared" si="11"/>
        <v>0</v>
      </c>
      <c r="J78" s="10"/>
      <c r="K78" s="10">
        <f t="shared" si="12"/>
        <v>0</v>
      </c>
      <c r="L78" s="10">
        <f t="shared" si="13"/>
        <v>0</v>
      </c>
    </row>
    <row r="79" spans="1:12" x14ac:dyDescent="0.3">
      <c r="A79" s="2"/>
      <c r="B79" s="5" t="s">
        <v>45</v>
      </c>
      <c r="C79" s="1" t="s">
        <v>18</v>
      </c>
      <c r="D79" s="8">
        <f>195/100</f>
        <v>1.95</v>
      </c>
      <c r="E79" s="8">
        <f t="shared" si="19"/>
        <v>179.22182850000002</v>
      </c>
      <c r="F79" s="10"/>
      <c r="G79" s="10">
        <f t="shared" si="10"/>
        <v>0</v>
      </c>
      <c r="H79" s="10"/>
      <c r="I79" s="10">
        <f t="shared" si="11"/>
        <v>0</v>
      </c>
      <c r="J79" s="10"/>
      <c r="K79" s="10">
        <f t="shared" si="12"/>
        <v>0</v>
      </c>
      <c r="L79" s="10">
        <f t="shared" si="13"/>
        <v>0</v>
      </c>
    </row>
    <row r="80" spans="1:12" x14ac:dyDescent="0.3">
      <c r="A80" s="2"/>
      <c r="B80" s="5" t="s">
        <v>46</v>
      </c>
      <c r="C80" s="1" t="s">
        <v>18</v>
      </c>
      <c r="D80" s="8">
        <f>D71</f>
        <v>0.64770000000000005</v>
      </c>
      <c r="E80" s="8">
        <f>D80*E69</f>
        <v>91.908630000000016</v>
      </c>
      <c r="F80" s="10"/>
      <c r="G80" s="10">
        <f t="shared" si="10"/>
        <v>0</v>
      </c>
      <c r="H80" s="10"/>
      <c r="I80" s="10">
        <f t="shared" si="11"/>
        <v>0</v>
      </c>
      <c r="J80" s="10"/>
      <c r="K80" s="10">
        <f t="shared" si="12"/>
        <v>0</v>
      </c>
      <c r="L80" s="10">
        <f t="shared" si="13"/>
        <v>0</v>
      </c>
    </row>
    <row r="81" spans="1:12" x14ac:dyDescent="0.3">
      <c r="A81" s="2">
        <f>A69+1</f>
        <v>18</v>
      </c>
      <c r="B81" s="14" t="s">
        <v>76</v>
      </c>
      <c r="C81" s="2" t="s">
        <v>72</v>
      </c>
      <c r="D81" s="15"/>
      <c r="E81" s="15">
        <v>43</v>
      </c>
      <c r="F81" s="10"/>
      <c r="G81" s="10">
        <f t="shared" ref="G81:G95" si="20">F81*E81</f>
        <v>0</v>
      </c>
      <c r="H81" s="10"/>
      <c r="I81" s="10">
        <f t="shared" ref="I81:I95" si="21">H81*E81</f>
        <v>0</v>
      </c>
      <c r="J81" s="10"/>
      <c r="K81" s="10">
        <f t="shared" ref="K81:K95" si="22">J81*E81</f>
        <v>0</v>
      </c>
      <c r="L81" s="10">
        <f t="shared" ref="L81:L95" si="23">K81+I81+G81</f>
        <v>0</v>
      </c>
    </row>
    <row r="82" spans="1:12" x14ac:dyDescent="0.3">
      <c r="A82" s="2"/>
      <c r="B82" s="5" t="s">
        <v>13</v>
      </c>
      <c r="C82" s="1" t="s">
        <v>72</v>
      </c>
      <c r="D82" s="8">
        <v>1</v>
      </c>
      <c r="E82" s="8">
        <f>D82*E81</f>
        <v>43</v>
      </c>
      <c r="F82" s="10"/>
      <c r="G82" s="10">
        <f t="shared" si="20"/>
        <v>0</v>
      </c>
      <c r="H82" s="10"/>
      <c r="I82" s="10">
        <f t="shared" si="21"/>
        <v>0</v>
      </c>
      <c r="J82" s="10"/>
      <c r="K82" s="10">
        <f t="shared" si="22"/>
        <v>0</v>
      </c>
      <c r="L82" s="10">
        <f t="shared" si="23"/>
        <v>0</v>
      </c>
    </row>
    <row r="83" spans="1:12" x14ac:dyDescent="0.3">
      <c r="A83" s="2"/>
      <c r="B83" s="5" t="s">
        <v>77</v>
      </c>
      <c r="C83" s="1" t="s">
        <v>72</v>
      </c>
      <c r="D83" s="8"/>
      <c r="E83" s="8">
        <f>19*4</f>
        <v>76</v>
      </c>
      <c r="F83" s="10"/>
      <c r="G83" s="10">
        <f t="shared" si="20"/>
        <v>0</v>
      </c>
      <c r="H83" s="10"/>
      <c r="I83" s="10">
        <f t="shared" si="21"/>
        <v>0</v>
      </c>
      <c r="J83" s="10"/>
      <c r="K83" s="10">
        <f t="shared" si="22"/>
        <v>0</v>
      </c>
      <c r="L83" s="10">
        <f t="shared" si="23"/>
        <v>0</v>
      </c>
    </row>
    <row r="84" spans="1:12" x14ac:dyDescent="0.3">
      <c r="A84" s="2"/>
      <c r="B84" s="5" t="s">
        <v>81</v>
      </c>
      <c r="C84" s="1" t="s">
        <v>72</v>
      </c>
      <c r="D84" s="8"/>
      <c r="E84" s="8">
        <f>14*4</f>
        <v>56</v>
      </c>
      <c r="F84" s="10"/>
      <c r="G84" s="10">
        <f t="shared" si="20"/>
        <v>0</v>
      </c>
      <c r="H84" s="10"/>
      <c r="I84" s="10">
        <f t="shared" si="21"/>
        <v>0</v>
      </c>
      <c r="J84" s="10"/>
      <c r="K84" s="10">
        <f t="shared" si="22"/>
        <v>0</v>
      </c>
      <c r="L84" s="10">
        <f t="shared" si="23"/>
        <v>0</v>
      </c>
    </row>
    <row r="85" spans="1:12" x14ac:dyDescent="0.3">
      <c r="A85" s="2"/>
      <c r="B85" s="5" t="s">
        <v>82</v>
      </c>
      <c r="C85" s="1" t="s">
        <v>72</v>
      </c>
      <c r="D85" s="8"/>
      <c r="E85" s="8">
        <f>6*4</f>
        <v>24</v>
      </c>
      <c r="F85" s="10"/>
      <c r="G85" s="10">
        <f t="shared" si="20"/>
        <v>0</v>
      </c>
      <c r="H85" s="10"/>
      <c r="I85" s="10">
        <f t="shared" si="21"/>
        <v>0</v>
      </c>
      <c r="J85" s="10"/>
      <c r="K85" s="10">
        <f t="shared" si="22"/>
        <v>0</v>
      </c>
      <c r="L85" s="10">
        <f t="shared" si="23"/>
        <v>0</v>
      </c>
    </row>
    <row r="86" spans="1:12" x14ac:dyDescent="0.3">
      <c r="A86" s="2"/>
      <c r="B86" s="5" t="s">
        <v>83</v>
      </c>
      <c r="C86" s="1" t="s">
        <v>72</v>
      </c>
      <c r="D86" s="8"/>
      <c r="E86" s="8">
        <f>4*4</f>
        <v>16</v>
      </c>
      <c r="F86" s="10"/>
      <c r="G86" s="10">
        <f t="shared" si="20"/>
        <v>0</v>
      </c>
      <c r="H86" s="10"/>
      <c r="I86" s="10">
        <f t="shared" si="21"/>
        <v>0</v>
      </c>
      <c r="J86" s="10"/>
      <c r="K86" s="10">
        <f t="shared" si="22"/>
        <v>0</v>
      </c>
      <c r="L86" s="10">
        <f t="shared" si="23"/>
        <v>0</v>
      </c>
    </row>
    <row r="87" spans="1:12" x14ac:dyDescent="0.3">
      <c r="A87" s="2"/>
      <c r="B87" s="5" t="s">
        <v>78</v>
      </c>
      <c r="C87" s="1" t="s">
        <v>47</v>
      </c>
      <c r="D87" s="8"/>
      <c r="E87" s="8">
        <f>(8.8+3.68)*19+(9.02+3.89)*7+(8.27+3.89)*7</f>
        <v>412.61</v>
      </c>
      <c r="F87" s="10"/>
      <c r="G87" s="10">
        <f t="shared" si="20"/>
        <v>0</v>
      </c>
      <c r="H87" s="10"/>
      <c r="I87" s="10">
        <f t="shared" si="21"/>
        <v>0</v>
      </c>
      <c r="J87" s="10"/>
      <c r="K87" s="10">
        <f t="shared" si="22"/>
        <v>0</v>
      </c>
      <c r="L87" s="10">
        <f t="shared" si="23"/>
        <v>0</v>
      </c>
    </row>
    <row r="88" spans="1:12" x14ac:dyDescent="0.3">
      <c r="A88" s="2"/>
      <c r="B88" s="5" t="s">
        <v>79</v>
      </c>
      <c r="C88" s="1" t="s">
        <v>47</v>
      </c>
      <c r="D88" s="8"/>
      <c r="E88" s="8">
        <f>(2.9+1.18)*6+(4.81+1.18)*4</f>
        <v>48.44</v>
      </c>
      <c r="F88" s="10"/>
      <c r="G88" s="10">
        <f t="shared" si="20"/>
        <v>0</v>
      </c>
      <c r="H88" s="10"/>
      <c r="I88" s="10">
        <f t="shared" si="21"/>
        <v>0</v>
      </c>
      <c r="J88" s="10"/>
      <c r="K88" s="10">
        <f t="shared" si="22"/>
        <v>0</v>
      </c>
      <c r="L88" s="10">
        <f t="shared" si="23"/>
        <v>0</v>
      </c>
    </row>
    <row r="89" spans="1:12" x14ac:dyDescent="0.3">
      <c r="A89" s="2"/>
      <c r="B89" s="5" t="s">
        <v>80</v>
      </c>
      <c r="C89" s="1" t="s">
        <v>47</v>
      </c>
      <c r="D89" s="8"/>
      <c r="E89" s="8">
        <f>50.87*19</f>
        <v>966.53</v>
      </c>
      <c r="F89" s="10"/>
      <c r="G89" s="10">
        <f t="shared" si="20"/>
        <v>0</v>
      </c>
      <c r="H89" s="10"/>
      <c r="I89" s="10">
        <f t="shared" si="21"/>
        <v>0</v>
      </c>
      <c r="J89" s="10"/>
      <c r="K89" s="10">
        <f t="shared" si="22"/>
        <v>0</v>
      </c>
      <c r="L89" s="10">
        <f t="shared" si="23"/>
        <v>0</v>
      </c>
    </row>
    <row r="90" spans="1:12" x14ac:dyDescent="0.3">
      <c r="A90" s="2"/>
      <c r="B90" s="5" t="s">
        <v>84</v>
      </c>
      <c r="C90" s="1" t="s">
        <v>47</v>
      </c>
      <c r="D90" s="8"/>
      <c r="E90" s="8">
        <f>20.36*19+31.4*7+16.08*7+31.4*7+16.08*7</f>
        <v>1051.56</v>
      </c>
      <c r="F90" s="10"/>
      <c r="G90" s="10">
        <f t="shared" si="20"/>
        <v>0</v>
      </c>
      <c r="H90" s="10"/>
      <c r="I90" s="10">
        <f t="shared" si="21"/>
        <v>0</v>
      </c>
      <c r="J90" s="10"/>
      <c r="K90" s="10">
        <f t="shared" si="22"/>
        <v>0</v>
      </c>
      <c r="L90" s="10">
        <f t="shared" si="23"/>
        <v>0</v>
      </c>
    </row>
    <row r="91" spans="1:12" x14ac:dyDescent="0.3">
      <c r="A91" s="2"/>
      <c r="B91" s="5" t="s">
        <v>85</v>
      </c>
      <c r="C91" s="1" t="s">
        <v>47</v>
      </c>
      <c r="D91" s="8"/>
      <c r="E91" s="8">
        <f>10.18*19+8.04*7+8.04*7</f>
        <v>305.97999999999996</v>
      </c>
      <c r="F91" s="10"/>
      <c r="G91" s="10">
        <f t="shared" si="20"/>
        <v>0</v>
      </c>
      <c r="H91" s="10"/>
      <c r="I91" s="10">
        <f t="shared" si="21"/>
        <v>0</v>
      </c>
      <c r="J91" s="10"/>
      <c r="K91" s="10">
        <f t="shared" si="22"/>
        <v>0</v>
      </c>
      <c r="L91" s="10">
        <f t="shared" si="23"/>
        <v>0</v>
      </c>
    </row>
    <row r="92" spans="1:12" x14ac:dyDescent="0.3">
      <c r="A92" s="2"/>
      <c r="B92" s="5" t="s">
        <v>86</v>
      </c>
      <c r="C92" s="1" t="s">
        <v>47</v>
      </c>
      <c r="D92" s="8"/>
      <c r="E92" s="8">
        <f>(4.6+10.4)*19+(3.89+7.15)*7+(3.89+7.15)*7</f>
        <v>439.55999999999995</v>
      </c>
      <c r="F92" s="10"/>
      <c r="G92" s="10">
        <f t="shared" si="20"/>
        <v>0</v>
      </c>
      <c r="H92" s="10"/>
      <c r="I92" s="10">
        <f t="shared" si="21"/>
        <v>0</v>
      </c>
      <c r="J92" s="10"/>
      <c r="K92" s="10">
        <f t="shared" si="22"/>
        <v>0</v>
      </c>
      <c r="L92" s="10">
        <f t="shared" si="23"/>
        <v>0</v>
      </c>
    </row>
    <row r="93" spans="1:12" x14ac:dyDescent="0.3">
      <c r="A93" s="2"/>
      <c r="B93" s="5" t="s">
        <v>87</v>
      </c>
      <c r="C93" s="1" t="s">
        <v>47</v>
      </c>
      <c r="D93" s="8"/>
      <c r="E93" s="8">
        <f>(2.45+0.64+1.08)*6+(2.45+0.64+1.08)*4</f>
        <v>41.7</v>
      </c>
      <c r="F93" s="10"/>
      <c r="G93" s="10">
        <f t="shared" si="20"/>
        <v>0</v>
      </c>
      <c r="H93" s="10"/>
      <c r="I93" s="10">
        <f t="shared" si="21"/>
        <v>0</v>
      </c>
      <c r="J93" s="10"/>
      <c r="K93" s="10">
        <f t="shared" si="22"/>
        <v>0</v>
      </c>
      <c r="L93" s="10">
        <f t="shared" si="23"/>
        <v>0</v>
      </c>
    </row>
    <row r="94" spans="1:12" x14ac:dyDescent="0.3">
      <c r="A94" s="2"/>
      <c r="B94" s="5" t="s">
        <v>88</v>
      </c>
      <c r="C94" s="1" t="s">
        <v>72</v>
      </c>
      <c r="D94" s="8"/>
      <c r="E94" s="8">
        <f>E81*4</f>
        <v>172</v>
      </c>
      <c r="F94" s="10"/>
      <c r="G94" s="10">
        <f t="shared" si="20"/>
        <v>0</v>
      </c>
      <c r="H94" s="10"/>
      <c r="I94" s="10">
        <f t="shared" si="21"/>
        <v>0</v>
      </c>
      <c r="J94" s="10"/>
      <c r="K94" s="10">
        <f t="shared" si="22"/>
        <v>0</v>
      </c>
      <c r="L94" s="10">
        <f t="shared" si="23"/>
        <v>0</v>
      </c>
    </row>
    <row r="95" spans="1:12" x14ac:dyDescent="0.3">
      <c r="A95" s="2"/>
      <c r="B95" s="5" t="s">
        <v>19</v>
      </c>
      <c r="C95" s="1" t="s">
        <v>72</v>
      </c>
      <c r="D95" s="8">
        <v>1</v>
      </c>
      <c r="E95" s="8">
        <f>D95*E81</f>
        <v>43</v>
      </c>
      <c r="F95" s="10"/>
      <c r="G95" s="10">
        <f t="shared" si="20"/>
        <v>0</v>
      </c>
      <c r="H95" s="10"/>
      <c r="I95" s="10">
        <f t="shared" si="21"/>
        <v>0</v>
      </c>
      <c r="J95" s="10"/>
      <c r="K95" s="10">
        <f t="shared" si="22"/>
        <v>0</v>
      </c>
      <c r="L95" s="10">
        <f t="shared" si="23"/>
        <v>0</v>
      </c>
    </row>
    <row r="96" spans="1:12" x14ac:dyDescent="0.3">
      <c r="A96" s="2">
        <f>A69+1</f>
        <v>18</v>
      </c>
      <c r="B96" s="14" t="s">
        <v>55</v>
      </c>
      <c r="C96" s="2" t="s">
        <v>16</v>
      </c>
      <c r="D96" s="15"/>
      <c r="E96" s="15">
        <f>370</f>
        <v>370</v>
      </c>
      <c r="F96" s="10"/>
      <c r="G96" s="10">
        <f t="shared" si="10"/>
        <v>0</v>
      </c>
      <c r="H96" s="10"/>
      <c r="I96" s="10">
        <f t="shared" si="11"/>
        <v>0</v>
      </c>
      <c r="J96" s="10"/>
      <c r="K96" s="10">
        <f t="shared" si="12"/>
        <v>0</v>
      </c>
      <c r="L96" s="10">
        <f t="shared" si="13"/>
        <v>0</v>
      </c>
    </row>
    <row r="97" spans="1:22" x14ac:dyDescent="0.3">
      <c r="A97" s="2"/>
      <c r="B97" s="5" t="s">
        <v>13</v>
      </c>
      <c r="C97" s="1" t="s">
        <v>16</v>
      </c>
      <c r="D97" s="8">
        <v>1</v>
      </c>
      <c r="E97" s="8">
        <f>D97*E$96</f>
        <v>370</v>
      </c>
      <c r="F97" s="10"/>
      <c r="G97" s="10">
        <f t="shared" si="10"/>
        <v>0</v>
      </c>
      <c r="H97" s="10"/>
      <c r="I97" s="10">
        <f t="shared" si="11"/>
        <v>0</v>
      </c>
      <c r="J97" s="10"/>
      <c r="K97" s="10">
        <f t="shared" si="12"/>
        <v>0</v>
      </c>
      <c r="L97" s="10">
        <f t="shared" si="13"/>
        <v>0</v>
      </c>
    </row>
    <row r="98" spans="1:22" x14ac:dyDescent="0.3">
      <c r="A98" s="2"/>
      <c r="B98" s="5" t="s">
        <v>37</v>
      </c>
      <c r="C98" s="1" t="s">
        <v>18</v>
      </c>
      <c r="D98" s="8">
        <f>0.4*1.02</f>
        <v>0.40800000000000003</v>
      </c>
      <c r="E98" s="8">
        <f>135.7*1.02</f>
        <v>138.41399999999999</v>
      </c>
      <c r="F98" s="10"/>
      <c r="G98" s="10">
        <f t="shared" si="10"/>
        <v>0</v>
      </c>
      <c r="H98" s="10"/>
      <c r="I98" s="10">
        <f t="shared" si="11"/>
        <v>0</v>
      </c>
      <c r="J98" s="10"/>
      <c r="K98" s="10">
        <f t="shared" si="12"/>
        <v>0</v>
      </c>
      <c r="L98" s="10">
        <f t="shared" si="13"/>
        <v>0</v>
      </c>
    </row>
    <row r="99" spans="1:22" x14ac:dyDescent="0.3">
      <c r="A99" s="2"/>
      <c r="B99" s="5" t="s">
        <v>39</v>
      </c>
      <c r="C99" s="1" t="s">
        <v>38</v>
      </c>
      <c r="D99" s="8">
        <v>1.05</v>
      </c>
      <c r="E99" s="8">
        <f>4763.4/1000*1.05</f>
        <v>5.0015700000000001</v>
      </c>
      <c r="F99" s="10"/>
      <c r="G99" s="10">
        <f t="shared" si="10"/>
        <v>0</v>
      </c>
      <c r="H99" s="10"/>
      <c r="I99" s="10">
        <f t="shared" si="11"/>
        <v>0</v>
      </c>
      <c r="J99" s="10"/>
      <c r="K99" s="10">
        <f t="shared" si="12"/>
        <v>0</v>
      </c>
      <c r="L99" s="10">
        <f t="shared" si="13"/>
        <v>0</v>
      </c>
    </row>
    <row r="100" spans="1:22" x14ac:dyDescent="0.3">
      <c r="A100" s="2"/>
      <c r="B100" s="5" t="s">
        <v>40</v>
      </c>
      <c r="C100" s="1" t="s">
        <v>38</v>
      </c>
      <c r="D100" s="8">
        <v>1.05</v>
      </c>
      <c r="E100" s="8">
        <f>96.7/1000*1.05</f>
        <v>0.10153500000000001</v>
      </c>
      <c r="F100" s="10"/>
      <c r="G100" s="10">
        <f t="shared" si="10"/>
        <v>0</v>
      </c>
      <c r="H100" s="10"/>
      <c r="I100" s="10">
        <f t="shared" si="11"/>
        <v>0</v>
      </c>
      <c r="J100" s="10"/>
      <c r="K100" s="10">
        <f t="shared" si="12"/>
        <v>0</v>
      </c>
      <c r="L100" s="10">
        <f t="shared" si="13"/>
        <v>0</v>
      </c>
    </row>
    <row r="101" spans="1:22" x14ac:dyDescent="0.3">
      <c r="A101" s="2"/>
      <c r="B101" s="5" t="s">
        <v>41</v>
      </c>
      <c r="C101" s="1" t="s">
        <v>16</v>
      </c>
      <c r="D101" s="8">
        <f>176/100</f>
        <v>1.76</v>
      </c>
      <c r="E101" s="8">
        <f t="shared" ref="E101:E106" si="24">D101*E$98</f>
        <v>243.60863999999998</v>
      </c>
      <c r="F101" s="10"/>
      <c r="G101" s="10">
        <f t="shared" si="10"/>
        <v>0</v>
      </c>
      <c r="H101" s="10"/>
      <c r="I101" s="10">
        <f t="shared" si="11"/>
        <v>0</v>
      </c>
      <c r="J101" s="10"/>
      <c r="K101" s="10">
        <f t="shared" si="12"/>
        <v>0</v>
      </c>
      <c r="L101" s="10">
        <f t="shared" si="13"/>
        <v>0</v>
      </c>
    </row>
    <row r="102" spans="1:22" x14ac:dyDescent="0.3">
      <c r="A102" s="2"/>
      <c r="B102" s="5" t="s">
        <v>42</v>
      </c>
      <c r="C102" s="1" t="s">
        <v>18</v>
      </c>
      <c r="D102" s="8">
        <f>(0.33+3.66)/100</f>
        <v>3.9900000000000005E-2</v>
      </c>
      <c r="E102" s="8">
        <f t="shared" si="24"/>
        <v>5.5227186000000001</v>
      </c>
      <c r="F102" s="10"/>
      <c r="G102" s="10">
        <f t="shared" si="10"/>
        <v>0</v>
      </c>
      <c r="H102" s="10"/>
      <c r="I102" s="10">
        <f t="shared" si="11"/>
        <v>0</v>
      </c>
      <c r="J102" s="10"/>
      <c r="K102" s="10">
        <f t="shared" si="12"/>
        <v>0</v>
      </c>
      <c r="L102" s="10">
        <f t="shared" si="13"/>
        <v>0</v>
      </c>
    </row>
    <row r="103" spans="1:22" x14ac:dyDescent="0.3">
      <c r="A103" s="2"/>
      <c r="B103" s="5" t="s">
        <v>43</v>
      </c>
      <c r="C103" s="1" t="s">
        <v>47</v>
      </c>
      <c r="D103" s="8">
        <v>1.5269999999999999</v>
      </c>
      <c r="E103" s="8">
        <f t="shared" si="24"/>
        <v>211.35817799999998</v>
      </c>
      <c r="F103" s="10"/>
      <c r="G103" s="10">
        <f t="shared" si="10"/>
        <v>0</v>
      </c>
      <c r="H103" s="10"/>
      <c r="I103" s="10">
        <f t="shared" si="11"/>
        <v>0</v>
      </c>
      <c r="J103" s="10"/>
      <c r="K103" s="10">
        <f t="shared" si="12"/>
        <v>0</v>
      </c>
      <c r="L103" s="10">
        <f t="shared" si="13"/>
        <v>0</v>
      </c>
    </row>
    <row r="104" spans="1:22" x14ac:dyDescent="0.3">
      <c r="A104" s="2"/>
      <c r="B104" s="5" t="s">
        <v>44</v>
      </c>
      <c r="C104" s="1" t="s">
        <v>47</v>
      </c>
      <c r="D104" s="8">
        <v>0.42</v>
      </c>
      <c r="E104" s="8">
        <f t="shared" si="24"/>
        <v>58.133879999999991</v>
      </c>
      <c r="F104" s="10"/>
      <c r="G104" s="10">
        <f t="shared" si="10"/>
        <v>0</v>
      </c>
      <c r="H104" s="10"/>
      <c r="I104" s="10">
        <f t="shared" si="11"/>
        <v>0</v>
      </c>
      <c r="J104" s="10"/>
      <c r="K104" s="10">
        <f t="shared" si="12"/>
        <v>0</v>
      </c>
      <c r="L104" s="10">
        <f t="shared" si="13"/>
        <v>0</v>
      </c>
    </row>
    <row r="105" spans="1:22" x14ac:dyDescent="0.3">
      <c r="A105" s="2"/>
      <c r="B105" s="5" t="s">
        <v>19</v>
      </c>
      <c r="C105" s="1" t="s">
        <v>18</v>
      </c>
      <c r="D105" s="8">
        <f>32/100</f>
        <v>0.32</v>
      </c>
      <c r="E105" s="8">
        <f t="shared" si="24"/>
        <v>44.292479999999998</v>
      </c>
      <c r="F105" s="10"/>
      <c r="G105" s="10">
        <f t="shared" si="10"/>
        <v>0</v>
      </c>
      <c r="H105" s="10"/>
      <c r="I105" s="10">
        <f t="shared" si="11"/>
        <v>0</v>
      </c>
      <c r="J105" s="10"/>
      <c r="K105" s="10">
        <f t="shared" si="12"/>
        <v>0</v>
      </c>
      <c r="L105" s="10">
        <f t="shared" si="13"/>
        <v>0</v>
      </c>
    </row>
    <row r="106" spans="1:22" x14ac:dyDescent="0.3">
      <c r="A106" s="2"/>
      <c r="B106" s="5" t="s">
        <v>45</v>
      </c>
      <c r="C106" s="1" t="s">
        <v>18</v>
      </c>
      <c r="D106" s="8">
        <f>114/100</f>
        <v>1.1399999999999999</v>
      </c>
      <c r="E106" s="8">
        <f t="shared" si="24"/>
        <v>157.79195999999996</v>
      </c>
      <c r="F106" s="10"/>
      <c r="G106" s="10">
        <f t="shared" si="10"/>
        <v>0</v>
      </c>
      <c r="H106" s="10"/>
      <c r="I106" s="10">
        <f t="shared" si="11"/>
        <v>0</v>
      </c>
      <c r="J106" s="10"/>
      <c r="K106" s="10">
        <f t="shared" si="12"/>
        <v>0</v>
      </c>
      <c r="L106" s="10">
        <f t="shared" si="13"/>
        <v>0</v>
      </c>
    </row>
    <row r="107" spans="1:22" x14ac:dyDescent="0.3">
      <c r="A107" s="2"/>
      <c r="B107" s="5" t="s">
        <v>46</v>
      </c>
      <c r="C107" s="1" t="s">
        <v>18</v>
      </c>
      <c r="D107" s="8">
        <f>0.4*1.02</f>
        <v>0.40800000000000003</v>
      </c>
      <c r="E107" s="8">
        <f>E98</f>
        <v>138.41399999999999</v>
      </c>
      <c r="F107" s="10"/>
      <c r="G107" s="10">
        <f t="shared" si="10"/>
        <v>0</v>
      </c>
      <c r="H107" s="10"/>
      <c r="I107" s="10">
        <f t="shared" si="11"/>
        <v>0</v>
      </c>
      <c r="J107" s="10"/>
      <c r="K107" s="10">
        <f t="shared" si="12"/>
        <v>0</v>
      </c>
      <c r="L107" s="10">
        <f t="shared" si="13"/>
        <v>0</v>
      </c>
    </row>
    <row r="108" spans="1:22" ht="28.8" x14ac:dyDescent="0.3">
      <c r="A108" s="2">
        <f>A96+1</f>
        <v>19</v>
      </c>
      <c r="B108" s="14" t="s">
        <v>1042</v>
      </c>
      <c r="C108" s="2" t="s">
        <v>16</v>
      </c>
      <c r="D108" s="15"/>
      <c r="E108" s="15">
        <v>280</v>
      </c>
      <c r="F108" s="10"/>
      <c r="G108" s="10">
        <f t="shared" si="10"/>
        <v>0</v>
      </c>
      <c r="H108" s="10"/>
      <c r="I108" s="10">
        <f t="shared" si="11"/>
        <v>0</v>
      </c>
      <c r="J108" s="10"/>
      <c r="K108" s="10">
        <f t="shared" si="12"/>
        <v>0</v>
      </c>
      <c r="L108" s="10">
        <f t="shared" si="13"/>
        <v>0</v>
      </c>
    </row>
    <row r="109" spans="1:22" x14ac:dyDescent="0.3">
      <c r="A109" s="2"/>
      <c r="B109" s="5" t="s">
        <v>13</v>
      </c>
      <c r="C109" s="1" t="s">
        <v>16</v>
      </c>
      <c r="D109" s="8">
        <v>1</v>
      </c>
      <c r="E109" s="8">
        <f>D109*E$108</f>
        <v>280</v>
      </c>
      <c r="F109" s="10"/>
      <c r="G109" s="10">
        <f t="shared" si="10"/>
        <v>0</v>
      </c>
      <c r="H109" s="10"/>
      <c r="I109" s="10">
        <f t="shared" si="11"/>
        <v>0</v>
      </c>
      <c r="J109" s="10"/>
      <c r="K109" s="10">
        <f t="shared" si="12"/>
        <v>0</v>
      </c>
      <c r="L109" s="10">
        <f t="shared" si="13"/>
        <v>0</v>
      </c>
      <c r="T109" s="9"/>
    </row>
    <row r="110" spans="1:22" x14ac:dyDescent="0.3">
      <c r="A110" s="2"/>
      <c r="B110" s="5" t="s">
        <v>37</v>
      </c>
      <c r="C110" s="1" t="s">
        <v>18</v>
      </c>
      <c r="D110" s="8">
        <f>0.4*1.02</f>
        <v>0.40800000000000003</v>
      </c>
      <c r="E110" s="8">
        <f>D110*E$108</f>
        <v>114.24000000000001</v>
      </c>
      <c r="F110" s="10"/>
      <c r="G110" s="10">
        <f t="shared" si="10"/>
        <v>0</v>
      </c>
      <c r="H110" s="10"/>
      <c r="I110" s="10">
        <f t="shared" si="11"/>
        <v>0</v>
      </c>
      <c r="J110" s="10"/>
      <c r="K110" s="10">
        <f t="shared" si="12"/>
        <v>0</v>
      </c>
      <c r="L110" s="10">
        <f t="shared" si="13"/>
        <v>0</v>
      </c>
      <c r="T110" s="9"/>
    </row>
    <row r="111" spans="1:22" x14ac:dyDescent="0.3">
      <c r="A111" s="2"/>
      <c r="B111" s="5" t="s">
        <v>39</v>
      </c>
      <c r="C111" s="1" t="s">
        <v>38</v>
      </c>
      <c r="D111" s="8">
        <v>1.05</v>
      </c>
      <c r="E111" s="8">
        <f>(341.9+274.8+519.2+1081.3+3701.1)/1000*1.05</f>
        <v>6.2142149999999994</v>
      </c>
      <c r="F111" s="10"/>
      <c r="G111" s="10">
        <f t="shared" si="10"/>
        <v>0</v>
      </c>
      <c r="H111" s="10"/>
      <c r="I111" s="10">
        <f t="shared" si="11"/>
        <v>0</v>
      </c>
      <c r="J111" s="10"/>
      <c r="K111" s="10">
        <f t="shared" si="12"/>
        <v>0</v>
      </c>
      <c r="L111" s="10">
        <f t="shared" si="13"/>
        <v>0</v>
      </c>
      <c r="T111" s="9"/>
      <c r="V111" s="9"/>
    </row>
    <row r="112" spans="1:22" x14ac:dyDescent="0.3">
      <c r="A112" s="2"/>
      <c r="B112" s="5" t="s">
        <v>40</v>
      </c>
      <c r="C112" s="1" t="s">
        <v>38</v>
      </c>
      <c r="D112" s="8">
        <v>1.05</v>
      </c>
      <c r="E112" s="8">
        <f>304/1000*1.05</f>
        <v>0.31919999999999998</v>
      </c>
      <c r="F112" s="10"/>
      <c r="G112" s="10">
        <f t="shared" si="10"/>
        <v>0</v>
      </c>
      <c r="H112" s="10"/>
      <c r="I112" s="10">
        <f t="shared" si="11"/>
        <v>0</v>
      </c>
      <c r="J112" s="10"/>
      <c r="K112" s="10">
        <f t="shared" si="12"/>
        <v>0</v>
      </c>
      <c r="L112" s="10">
        <f t="shared" si="13"/>
        <v>0</v>
      </c>
      <c r="T112" s="9"/>
    </row>
    <row r="113" spans="1:20" x14ac:dyDescent="0.3">
      <c r="A113" s="2"/>
      <c r="B113" s="5" t="s">
        <v>41</v>
      </c>
      <c r="C113" s="1" t="s">
        <v>16</v>
      </c>
      <c r="D113" s="8">
        <f>176/100</f>
        <v>1.76</v>
      </c>
      <c r="E113" s="8">
        <f t="shared" ref="E113:E118" si="25">D113*E$110</f>
        <v>201.06240000000003</v>
      </c>
      <c r="F113" s="10"/>
      <c r="G113" s="10">
        <f t="shared" si="10"/>
        <v>0</v>
      </c>
      <c r="H113" s="10"/>
      <c r="I113" s="10">
        <f t="shared" si="11"/>
        <v>0</v>
      </c>
      <c r="J113" s="10"/>
      <c r="K113" s="10">
        <f t="shared" si="12"/>
        <v>0</v>
      </c>
      <c r="L113" s="10">
        <f t="shared" si="13"/>
        <v>0</v>
      </c>
      <c r="T113" s="9"/>
    </row>
    <row r="114" spans="1:20" x14ac:dyDescent="0.3">
      <c r="A114" s="2"/>
      <c r="B114" s="5" t="s">
        <v>42</v>
      </c>
      <c r="C114" s="1" t="s">
        <v>18</v>
      </c>
      <c r="D114" s="8">
        <f>(0.33+3.66)/100</f>
        <v>3.9900000000000005E-2</v>
      </c>
      <c r="E114" s="8">
        <f t="shared" si="25"/>
        <v>4.5581760000000013</v>
      </c>
      <c r="F114" s="10"/>
      <c r="G114" s="10">
        <f t="shared" si="10"/>
        <v>0</v>
      </c>
      <c r="H114" s="10"/>
      <c r="I114" s="10">
        <f t="shared" si="11"/>
        <v>0</v>
      </c>
      <c r="J114" s="10"/>
      <c r="K114" s="10">
        <f t="shared" si="12"/>
        <v>0</v>
      </c>
      <c r="L114" s="10">
        <f t="shared" si="13"/>
        <v>0</v>
      </c>
      <c r="T114" s="9"/>
    </row>
    <row r="115" spans="1:20" x14ac:dyDescent="0.3">
      <c r="A115" s="2"/>
      <c r="B115" s="5" t="s">
        <v>43</v>
      </c>
      <c r="C115" s="1" t="s">
        <v>47</v>
      </c>
      <c r="D115" s="8">
        <v>1.5269999999999999</v>
      </c>
      <c r="E115" s="8">
        <f t="shared" si="25"/>
        <v>174.44448</v>
      </c>
      <c r="F115" s="10"/>
      <c r="G115" s="10">
        <f t="shared" si="10"/>
        <v>0</v>
      </c>
      <c r="H115" s="10"/>
      <c r="I115" s="10">
        <f t="shared" si="11"/>
        <v>0</v>
      </c>
      <c r="J115" s="10"/>
      <c r="K115" s="10">
        <f t="shared" si="12"/>
        <v>0</v>
      </c>
      <c r="L115" s="10">
        <f t="shared" si="13"/>
        <v>0</v>
      </c>
      <c r="T115" s="9"/>
    </row>
    <row r="116" spans="1:20" x14ac:dyDescent="0.3">
      <c r="A116" s="2"/>
      <c r="B116" s="5" t="s">
        <v>44</v>
      </c>
      <c r="C116" s="1" t="s">
        <v>47</v>
      </c>
      <c r="D116" s="8">
        <v>0.42</v>
      </c>
      <c r="E116" s="8">
        <f t="shared" si="25"/>
        <v>47.980800000000002</v>
      </c>
      <c r="F116" s="10"/>
      <c r="G116" s="10">
        <f t="shared" si="10"/>
        <v>0</v>
      </c>
      <c r="H116" s="10"/>
      <c r="I116" s="10">
        <f t="shared" si="11"/>
        <v>0</v>
      </c>
      <c r="J116" s="10"/>
      <c r="K116" s="10">
        <f t="shared" si="12"/>
        <v>0</v>
      </c>
      <c r="L116" s="10">
        <f t="shared" si="13"/>
        <v>0</v>
      </c>
    </row>
    <row r="117" spans="1:20" x14ac:dyDescent="0.3">
      <c r="A117" s="2"/>
      <c r="B117" s="5" t="s">
        <v>19</v>
      </c>
      <c r="C117" s="1" t="s">
        <v>18</v>
      </c>
      <c r="D117" s="8">
        <f>32/100</f>
        <v>0.32</v>
      </c>
      <c r="E117" s="8">
        <f t="shared" si="25"/>
        <v>36.556800000000003</v>
      </c>
      <c r="F117" s="10"/>
      <c r="G117" s="10">
        <f t="shared" si="10"/>
        <v>0</v>
      </c>
      <c r="H117" s="10"/>
      <c r="I117" s="10">
        <f t="shared" si="11"/>
        <v>0</v>
      </c>
      <c r="J117" s="10"/>
      <c r="K117" s="10">
        <f t="shared" si="12"/>
        <v>0</v>
      </c>
      <c r="L117" s="10">
        <f t="shared" si="13"/>
        <v>0</v>
      </c>
    </row>
    <row r="118" spans="1:20" x14ac:dyDescent="0.3">
      <c r="A118" s="2"/>
      <c r="B118" s="5" t="s">
        <v>45</v>
      </c>
      <c r="C118" s="1" t="s">
        <v>18</v>
      </c>
      <c r="D118" s="8">
        <f>114/100</f>
        <v>1.1399999999999999</v>
      </c>
      <c r="E118" s="8">
        <f t="shared" si="25"/>
        <v>130.2336</v>
      </c>
      <c r="F118" s="10"/>
      <c r="G118" s="10">
        <f t="shared" si="10"/>
        <v>0</v>
      </c>
      <c r="H118" s="10"/>
      <c r="I118" s="10">
        <f t="shared" si="11"/>
        <v>0</v>
      </c>
      <c r="J118" s="10"/>
      <c r="K118" s="10">
        <f t="shared" si="12"/>
        <v>0</v>
      </c>
      <c r="L118" s="10">
        <f t="shared" si="13"/>
        <v>0</v>
      </c>
    </row>
    <row r="119" spans="1:20" x14ac:dyDescent="0.3">
      <c r="A119" s="2"/>
      <c r="B119" s="5" t="s">
        <v>46</v>
      </c>
      <c r="C119" s="1" t="s">
        <v>18</v>
      </c>
      <c r="D119" s="8">
        <f>0.4*1.02</f>
        <v>0.40800000000000003</v>
      </c>
      <c r="E119" s="8">
        <f>D119*E108</f>
        <v>114.24000000000001</v>
      </c>
      <c r="F119" s="10"/>
      <c r="G119" s="10">
        <f t="shared" si="10"/>
        <v>0</v>
      </c>
      <c r="H119" s="10"/>
      <c r="I119" s="10">
        <f t="shared" si="11"/>
        <v>0</v>
      </c>
      <c r="J119" s="10"/>
      <c r="K119" s="10">
        <f t="shared" si="12"/>
        <v>0</v>
      </c>
      <c r="L119" s="10">
        <f t="shared" si="13"/>
        <v>0</v>
      </c>
    </row>
    <row r="120" spans="1:20" ht="28.8" x14ac:dyDescent="0.3">
      <c r="A120" s="2">
        <f>A108+1</f>
        <v>20</v>
      </c>
      <c r="B120" s="14" t="s">
        <v>1041</v>
      </c>
      <c r="C120" s="2" t="s">
        <v>12</v>
      </c>
      <c r="D120" s="15"/>
      <c r="E120" s="15">
        <v>128</v>
      </c>
      <c r="F120" s="10"/>
      <c r="G120" s="10">
        <f t="shared" si="10"/>
        <v>0</v>
      </c>
      <c r="H120" s="10"/>
      <c r="I120" s="10">
        <f t="shared" si="11"/>
        <v>0</v>
      </c>
      <c r="J120" s="10"/>
      <c r="K120" s="10">
        <f t="shared" si="12"/>
        <v>0</v>
      </c>
      <c r="L120" s="10">
        <f t="shared" si="13"/>
        <v>0</v>
      </c>
    </row>
    <row r="121" spans="1:20" x14ac:dyDescent="0.3">
      <c r="A121" s="2"/>
      <c r="B121" s="5" t="s">
        <v>13</v>
      </c>
      <c r="C121" s="1" t="s">
        <v>18</v>
      </c>
      <c r="D121" s="8">
        <v>1</v>
      </c>
      <c r="E121" s="8">
        <f>D121*E120</f>
        <v>128</v>
      </c>
      <c r="F121" s="10"/>
      <c r="G121" s="10">
        <f t="shared" ref="G121:G131" si="26">F121*E121</f>
        <v>0</v>
      </c>
      <c r="H121" s="10"/>
      <c r="I121" s="10">
        <f t="shared" ref="I121:I131" si="27">H121*E121</f>
        <v>0</v>
      </c>
      <c r="J121" s="10"/>
      <c r="K121" s="10">
        <f t="shared" ref="K121:K131" si="28">J121*E121</f>
        <v>0</v>
      </c>
      <c r="L121" s="10">
        <f t="shared" ref="L121:L131" si="29">K121+I121+G121</f>
        <v>0</v>
      </c>
    </row>
    <row r="122" spans="1:20" x14ac:dyDescent="0.3">
      <c r="A122" s="2"/>
      <c r="B122" s="5" t="s">
        <v>37</v>
      </c>
      <c r="C122" s="1" t="s">
        <v>18</v>
      </c>
      <c r="D122" s="8">
        <f>0.6*0.4*1.02</f>
        <v>0.24479999999999999</v>
      </c>
      <c r="E122" s="8">
        <f>D122*E120</f>
        <v>31.334399999999999</v>
      </c>
      <c r="F122" s="10"/>
      <c r="G122" s="10">
        <f t="shared" si="26"/>
        <v>0</v>
      </c>
      <c r="H122" s="10"/>
      <c r="I122" s="10">
        <f t="shared" si="27"/>
        <v>0</v>
      </c>
      <c r="J122" s="10"/>
      <c r="K122" s="10">
        <f t="shared" si="28"/>
        <v>0</v>
      </c>
      <c r="L122" s="10">
        <f t="shared" si="29"/>
        <v>0</v>
      </c>
    </row>
    <row r="123" spans="1:20" x14ac:dyDescent="0.3">
      <c r="A123" s="2"/>
      <c r="B123" s="5" t="s">
        <v>39</v>
      </c>
      <c r="C123" s="1" t="s">
        <v>38</v>
      </c>
      <c r="D123" s="8">
        <v>1.05</v>
      </c>
      <c r="E123" s="8">
        <f>(1890)/1000*1.05</f>
        <v>1.9844999999999999</v>
      </c>
      <c r="F123" s="10"/>
      <c r="G123" s="10">
        <f t="shared" si="26"/>
        <v>0</v>
      </c>
      <c r="H123" s="10"/>
      <c r="I123" s="10">
        <f t="shared" si="27"/>
        <v>0</v>
      </c>
      <c r="J123" s="10"/>
      <c r="K123" s="10">
        <f t="shared" si="28"/>
        <v>0</v>
      </c>
      <c r="L123" s="10">
        <f t="shared" si="29"/>
        <v>0</v>
      </c>
    </row>
    <row r="124" spans="1:20" x14ac:dyDescent="0.3">
      <c r="A124" s="2"/>
      <c r="B124" s="5" t="s">
        <v>40</v>
      </c>
      <c r="C124" s="1" t="s">
        <v>38</v>
      </c>
      <c r="D124" s="8">
        <v>1.05</v>
      </c>
      <c r="E124" s="8">
        <f>1194.7/1000*1.05</f>
        <v>1.2544350000000002</v>
      </c>
      <c r="F124" s="10"/>
      <c r="G124" s="10">
        <f t="shared" si="26"/>
        <v>0</v>
      </c>
      <c r="H124" s="10"/>
      <c r="I124" s="10">
        <f t="shared" si="27"/>
        <v>0</v>
      </c>
      <c r="J124" s="10"/>
      <c r="K124" s="10">
        <f t="shared" si="28"/>
        <v>0</v>
      </c>
      <c r="L124" s="10">
        <f t="shared" si="29"/>
        <v>0</v>
      </c>
    </row>
    <row r="125" spans="1:20" x14ac:dyDescent="0.3">
      <c r="A125" s="2"/>
      <c r="B125" s="5" t="s">
        <v>41</v>
      </c>
      <c r="C125" s="1" t="s">
        <v>16</v>
      </c>
      <c r="D125" s="8">
        <f>70.3/100</f>
        <v>0.70299999999999996</v>
      </c>
      <c r="E125" s="8">
        <f t="shared" ref="E125:E130" si="30">D125*E$122</f>
        <v>22.028083199999998</v>
      </c>
      <c r="F125" s="10"/>
      <c r="G125" s="10">
        <f t="shared" si="26"/>
        <v>0</v>
      </c>
      <c r="H125" s="10"/>
      <c r="I125" s="10">
        <f t="shared" si="27"/>
        <v>0</v>
      </c>
      <c r="J125" s="10"/>
      <c r="K125" s="10">
        <f t="shared" si="28"/>
        <v>0</v>
      </c>
      <c r="L125" s="10">
        <f t="shared" si="29"/>
        <v>0</v>
      </c>
    </row>
    <row r="126" spans="1:20" x14ac:dyDescent="0.3">
      <c r="A126" s="2"/>
      <c r="B126" s="5" t="s">
        <v>42</v>
      </c>
      <c r="C126" s="1" t="s">
        <v>18</v>
      </c>
      <c r="D126" s="8">
        <f>1.14/100</f>
        <v>1.1399999999999999E-2</v>
      </c>
      <c r="E126" s="8">
        <f t="shared" si="30"/>
        <v>0.35721215999999995</v>
      </c>
      <c r="F126" s="10"/>
      <c r="G126" s="10">
        <f t="shared" si="26"/>
        <v>0</v>
      </c>
      <c r="H126" s="10"/>
      <c r="I126" s="10">
        <f t="shared" si="27"/>
        <v>0</v>
      </c>
      <c r="J126" s="10"/>
      <c r="K126" s="10">
        <f t="shared" si="28"/>
        <v>0</v>
      </c>
      <c r="L126" s="10">
        <f t="shared" si="29"/>
        <v>0</v>
      </c>
    </row>
    <row r="127" spans="1:20" x14ac:dyDescent="0.3">
      <c r="A127" s="2"/>
      <c r="B127" s="5" t="s">
        <v>43</v>
      </c>
      <c r="C127" s="1" t="s">
        <v>47</v>
      </c>
      <c r="D127" s="8">
        <v>0.40600000000000003</v>
      </c>
      <c r="E127" s="8">
        <f t="shared" si="30"/>
        <v>12.7217664</v>
      </c>
      <c r="F127" s="10"/>
      <c r="G127" s="10">
        <f t="shared" si="26"/>
        <v>0</v>
      </c>
      <c r="H127" s="10"/>
      <c r="I127" s="10">
        <f t="shared" si="27"/>
        <v>0</v>
      </c>
      <c r="J127" s="10"/>
      <c r="K127" s="10">
        <f t="shared" si="28"/>
        <v>0</v>
      </c>
      <c r="L127" s="10">
        <f t="shared" si="29"/>
        <v>0</v>
      </c>
    </row>
    <row r="128" spans="1:20" x14ac:dyDescent="0.3">
      <c r="A128" s="2"/>
      <c r="B128" s="5" t="s">
        <v>44</v>
      </c>
      <c r="C128" s="1" t="s">
        <v>47</v>
      </c>
      <c r="D128" s="8">
        <v>0.38</v>
      </c>
      <c r="E128" s="8">
        <f t="shared" si="30"/>
        <v>11.907071999999999</v>
      </c>
      <c r="F128" s="10"/>
      <c r="G128" s="10">
        <f t="shared" si="26"/>
        <v>0</v>
      </c>
      <c r="H128" s="10"/>
      <c r="I128" s="10">
        <f t="shared" si="27"/>
        <v>0</v>
      </c>
      <c r="J128" s="10"/>
      <c r="K128" s="10">
        <f t="shared" si="28"/>
        <v>0</v>
      </c>
      <c r="L128" s="10">
        <f t="shared" si="29"/>
        <v>0</v>
      </c>
    </row>
    <row r="129" spans="1:18" x14ac:dyDescent="0.3">
      <c r="A129" s="2"/>
      <c r="B129" s="5" t="s">
        <v>19</v>
      </c>
      <c r="C129" s="1" t="s">
        <v>18</v>
      </c>
      <c r="D129" s="8">
        <f>60/100</f>
        <v>0.6</v>
      </c>
      <c r="E129" s="8">
        <f t="shared" si="30"/>
        <v>18.800639999999998</v>
      </c>
      <c r="F129" s="10"/>
      <c r="G129" s="10">
        <f t="shared" si="26"/>
        <v>0</v>
      </c>
      <c r="H129" s="10"/>
      <c r="I129" s="10">
        <f t="shared" si="27"/>
        <v>0</v>
      </c>
      <c r="J129" s="10"/>
      <c r="K129" s="10">
        <f t="shared" si="28"/>
        <v>0</v>
      </c>
      <c r="L129" s="10">
        <f t="shared" si="29"/>
        <v>0</v>
      </c>
    </row>
    <row r="130" spans="1:18" x14ac:dyDescent="0.3">
      <c r="A130" s="2"/>
      <c r="B130" s="5" t="s">
        <v>45</v>
      </c>
      <c r="C130" s="1" t="s">
        <v>18</v>
      </c>
      <c r="D130" s="8">
        <f>92/100</f>
        <v>0.92</v>
      </c>
      <c r="E130" s="8">
        <f t="shared" si="30"/>
        <v>28.827648</v>
      </c>
      <c r="F130" s="10"/>
      <c r="G130" s="10">
        <f t="shared" si="26"/>
        <v>0</v>
      </c>
      <c r="H130" s="10"/>
      <c r="I130" s="10">
        <f t="shared" si="27"/>
        <v>0</v>
      </c>
      <c r="J130" s="10"/>
      <c r="K130" s="10">
        <f t="shared" si="28"/>
        <v>0</v>
      </c>
      <c r="L130" s="10">
        <f t="shared" si="29"/>
        <v>0</v>
      </c>
    </row>
    <row r="131" spans="1:18" x14ac:dyDescent="0.3">
      <c r="A131" s="2"/>
      <c r="B131" s="5" t="s">
        <v>46</v>
      </c>
      <c r="C131" s="1" t="s">
        <v>18</v>
      </c>
      <c r="D131" s="8">
        <f>0.4*0.6*1.02</f>
        <v>0.24479999999999999</v>
      </c>
      <c r="E131" s="8">
        <f>D131*E120</f>
        <v>31.334399999999999</v>
      </c>
      <c r="F131" s="10"/>
      <c r="G131" s="10">
        <f t="shared" si="26"/>
        <v>0</v>
      </c>
      <c r="H131" s="10"/>
      <c r="I131" s="10">
        <f t="shared" si="27"/>
        <v>0</v>
      </c>
      <c r="J131" s="10"/>
      <c r="K131" s="10">
        <f t="shared" si="28"/>
        <v>0</v>
      </c>
      <c r="L131" s="10">
        <f t="shared" si="29"/>
        <v>0</v>
      </c>
    </row>
    <row r="132" spans="1:18" ht="28.8" x14ac:dyDescent="0.3">
      <c r="A132" s="2">
        <f>A120+1</f>
        <v>21</v>
      </c>
      <c r="B132" s="14" t="s">
        <v>56</v>
      </c>
      <c r="C132" s="2" t="s">
        <v>16</v>
      </c>
      <c r="D132" s="15"/>
      <c r="E132" s="15">
        <f>E96+E108</f>
        <v>650</v>
      </c>
      <c r="F132" s="10"/>
      <c r="G132" s="10">
        <f t="shared" si="10"/>
        <v>0</v>
      </c>
      <c r="H132" s="10"/>
      <c r="I132" s="10">
        <f t="shared" si="11"/>
        <v>0</v>
      </c>
      <c r="J132" s="10"/>
      <c r="K132" s="10">
        <f t="shared" si="12"/>
        <v>0</v>
      </c>
      <c r="L132" s="10">
        <f t="shared" si="13"/>
        <v>0</v>
      </c>
    </row>
    <row r="133" spans="1:18" x14ac:dyDescent="0.3">
      <c r="A133" s="2"/>
      <c r="B133" s="5" t="s">
        <v>13</v>
      </c>
      <c r="C133" s="1" t="s">
        <v>16</v>
      </c>
      <c r="D133" s="8">
        <v>1</v>
      </c>
      <c r="E133" s="8">
        <f>D133*E132</f>
        <v>650</v>
      </c>
      <c r="F133" s="10"/>
      <c r="G133" s="10">
        <f t="shared" si="10"/>
        <v>0</v>
      </c>
      <c r="H133" s="10"/>
      <c r="I133" s="10">
        <f t="shared" si="11"/>
        <v>0</v>
      </c>
      <c r="J133" s="10"/>
      <c r="K133" s="10">
        <f t="shared" si="12"/>
        <v>0</v>
      </c>
      <c r="L133" s="10">
        <f t="shared" si="13"/>
        <v>0</v>
      </c>
    </row>
    <row r="134" spans="1:18" x14ac:dyDescent="0.3">
      <c r="A134" s="2"/>
      <c r="B134" s="5" t="s">
        <v>51</v>
      </c>
      <c r="C134" s="1" t="s">
        <v>16</v>
      </c>
      <c r="D134" s="8">
        <v>1</v>
      </c>
      <c r="E134" s="8">
        <f>D134*E132</f>
        <v>650</v>
      </c>
      <c r="F134" s="10"/>
      <c r="G134" s="10">
        <f t="shared" si="10"/>
        <v>0</v>
      </c>
      <c r="H134" s="10"/>
      <c r="I134" s="10">
        <f t="shared" si="11"/>
        <v>0</v>
      </c>
      <c r="J134" s="10"/>
      <c r="K134" s="10">
        <f t="shared" si="12"/>
        <v>0</v>
      </c>
      <c r="L134" s="10">
        <f t="shared" si="13"/>
        <v>0</v>
      </c>
    </row>
    <row r="135" spans="1:18" x14ac:dyDescent="0.3">
      <c r="A135" s="2">
        <f>A132+1</f>
        <v>22</v>
      </c>
      <c r="B135" s="14" t="s">
        <v>264</v>
      </c>
      <c r="C135" s="2" t="s">
        <v>16</v>
      </c>
      <c r="D135" s="15"/>
      <c r="E135" s="15">
        <f>E132</f>
        <v>650</v>
      </c>
      <c r="F135" s="10"/>
      <c r="G135" s="10">
        <f t="shared" ref="G135:G138" si="31">F135*E135</f>
        <v>0</v>
      </c>
      <c r="H135" s="10"/>
      <c r="I135" s="10">
        <f t="shared" ref="I135:I138" si="32">H135*E135</f>
        <v>0</v>
      </c>
      <c r="J135" s="10"/>
      <c r="K135" s="10">
        <f t="shared" ref="K135:K138" si="33">J135*E135</f>
        <v>0</v>
      </c>
      <c r="L135" s="10">
        <f t="shared" ref="L135:L138" si="34">K135+I135+G135</f>
        <v>0</v>
      </c>
    </row>
    <row r="136" spans="1:18" x14ac:dyDescent="0.3">
      <c r="A136" s="2"/>
      <c r="B136" s="5" t="s">
        <v>13</v>
      </c>
      <c r="C136" s="1" t="s">
        <v>16</v>
      </c>
      <c r="D136" s="8">
        <v>1</v>
      </c>
      <c r="E136" s="8">
        <f>D136*E$135</f>
        <v>650</v>
      </c>
      <c r="F136" s="10"/>
      <c r="G136" s="10">
        <f t="shared" si="31"/>
        <v>0</v>
      </c>
      <c r="H136" s="10"/>
      <c r="I136" s="10">
        <f t="shared" si="32"/>
        <v>0</v>
      </c>
      <c r="J136" s="10"/>
      <c r="K136" s="10">
        <f t="shared" si="33"/>
        <v>0</v>
      </c>
      <c r="L136" s="10">
        <f t="shared" si="34"/>
        <v>0</v>
      </c>
    </row>
    <row r="137" spans="1:18" x14ac:dyDescent="0.3">
      <c r="A137" s="2"/>
      <c r="B137" s="5" t="s">
        <v>264</v>
      </c>
      <c r="C137" s="1" t="s">
        <v>16</v>
      </c>
      <c r="D137" s="8">
        <v>1.05</v>
      </c>
      <c r="E137" s="8">
        <f>D137*E$135</f>
        <v>682.5</v>
      </c>
      <c r="F137" s="10"/>
      <c r="G137" s="10">
        <f t="shared" si="31"/>
        <v>0</v>
      </c>
      <c r="H137" s="10"/>
      <c r="I137" s="10">
        <f t="shared" si="32"/>
        <v>0</v>
      </c>
      <c r="J137" s="10"/>
      <c r="K137" s="10">
        <f t="shared" si="33"/>
        <v>0</v>
      </c>
      <c r="L137" s="10">
        <f t="shared" si="34"/>
        <v>0</v>
      </c>
    </row>
    <row r="138" spans="1:18" x14ac:dyDescent="0.3">
      <c r="A138" s="2"/>
      <c r="B138" s="5" t="s">
        <v>19</v>
      </c>
      <c r="C138" s="1" t="s">
        <v>16</v>
      </c>
      <c r="D138" s="8">
        <v>1</v>
      </c>
      <c r="E138" s="8">
        <f>D138*E$135</f>
        <v>650</v>
      </c>
      <c r="F138" s="10"/>
      <c r="G138" s="10">
        <f t="shared" si="31"/>
        <v>0</v>
      </c>
      <c r="H138" s="10"/>
      <c r="I138" s="10">
        <f t="shared" si="32"/>
        <v>0</v>
      </c>
      <c r="J138" s="10"/>
      <c r="K138" s="10">
        <f t="shared" si="33"/>
        <v>0</v>
      </c>
      <c r="L138" s="10">
        <f t="shared" si="34"/>
        <v>0</v>
      </c>
    </row>
    <row r="139" spans="1:18" x14ac:dyDescent="0.3">
      <c r="A139" s="2">
        <f>A135+1</f>
        <v>23</v>
      </c>
      <c r="B139" s="14" t="s">
        <v>57</v>
      </c>
      <c r="C139" s="2" t="s">
        <v>18</v>
      </c>
      <c r="D139" s="15"/>
      <c r="E139" s="15">
        <f>E25*0.8</f>
        <v>4992</v>
      </c>
      <c r="F139" s="10"/>
      <c r="G139" s="10">
        <f t="shared" si="10"/>
        <v>0</v>
      </c>
      <c r="H139" s="10"/>
      <c r="I139" s="10">
        <f t="shared" si="11"/>
        <v>0</v>
      </c>
      <c r="J139" s="10"/>
      <c r="K139" s="10">
        <f t="shared" si="12"/>
        <v>0</v>
      </c>
      <c r="L139" s="10">
        <f t="shared" si="13"/>
        <v>0</v>
      </c>
    </row>
    <row r="140" spans="1:18" x14ac:dyDescent="0.3">
      <c r="A140" s="2"/>
      <c r="B140" s="5" t="s">
        <v>29</v>
      </c>
      <c r="C140" s="1" t="s">
        <v>30</v>
      </c>
      <c r="D140" s="16">
        <v>1E-3</v>
      </c>
      <c r="E140" s="8">
        <f>D140*E$139</f>
        <v>4.992</v>
      </c>
      <c r="F140" s="10"/>
      <c r="G140" s="10">
        <f t="shared" si="10"/>
        <v>0</v>
      </c>
      <c r="H140" s="10"/>
      <c r="I140" s="10">
        <f t="shared" si="11"/>
        <v>0</v>
      </c>
      <c r="J140" s="10"/>
      <c r="K140" s="10">
        <f t="shared" si="12"/>
        <v>0</v>
      </c>
      <c r="L140" s="10">
        <f t="shared" si="13"/>
        <v>0</v>
      </c>
      <c r="R140" s="38"/>
    </row>
    <row r="141" spans="1:18" x14ac:dyDescent="0.3">
      <c r="A141" s="2"/>
      <c r="B141" s="5" t="s">
        <v>31</v>
      </c>
      <c r="C141" s="1" t="s">
        <v>30</v>
      </c>
      <c r="D141" s="16">
        <f>D140*2</f>
        <v>2E-3</v>
      </c>
      <c r="E141" s="8">
        <f>D141*E$139</f>
        <v>9.984</v>
      </c>
      <c r="F141" s="10"/>
      <c r="G141" s="10">
        <f t="shared" si="10"/>
        <v>0</v>
      </c>
      <c r="H141" s="10"/>
      <c r="I141" s="10">
        <f t="shared" si="11"/>
        <v>0</v>
      </c>
      <c r="J141" s="10"/>
      <c r="K141" s="10">
        <f t="shared" si="12"/>
        <v>0</v>
      </c>
      <c r="L141" s="10">
        <f t="shared" si="13"/>
        <v>0</v>
      </c>
      <c r="R141" s="38"/>
    </row>
    <row r="142" spans="1:18" x14ac:dyDescent="0.3">
      <c r="A142" s="2"/>
      <c r="B142" s="5" t="s">
        <v>32</v>
      </c>
      <c r="C142" s="1" t="s">
        <v>30</v>
      </c>
      <c r="D142" s="8">
        <v>5.0000000000000001E-3</v>
      </c>
      <c r="E142" s="8">
        <f>D142*E$139</f>
        <v>24.96</v>
      </c>
      <c r="F142" s="10"/>
      <c r="G142" s="10">
        <f t="shared" si="10"/>
        <v>0</v>
      </c>
      <c r="H142" s="10"/>
      <c r="I142" s="10">
        <f t="shared" si="11"/>
        <v>0</v>
      </c>
      <c r="J142" s="10"/>
      <c r="K142" s="10">
        <f t="shared" si="12"/>
        <v>0</v>
      </c>
      <c r="L142" s="10">
        <f t="shared" si="13"/>
        <v>0</v>
      </c>
      <c r="R142" s="38"/>
    </row>
    <row r="143" spans="1:18" x14ac:dyDescent="0.3">
      <c r="A143" s="2"/>
      <c r="B143" s="5" t="s">
        <v>33</v>
      </c>
      <c r="C143" s="1" t="s">
        <v>30</v>
      </c>
      <c r="D143" s="8">
        <v>5.0000000000000001E-3</v>
      </c>
      <c r="E143" s="8">
        <f>D143*E$139</f>
        <v>24.96</v>
      </c>
      <c r="F143" s="10"/>
      <c r="G143" s="10">
        <f t="shared" si="10"/>
        <v>0</v>
      </c>
      <c r="H143" s="10"/>
      <c r="I143" s="10">
        <f t="shared" si="11"/>
        <v>0</v>
      </c>
      <c r="J143" s="10"/>
      <c r="K143" s="10">
        <f t="shared" si="12"/>
        <v>0</v>
      </c>
      <c r="L143" s="10">
        <f t="shared" si="13"/>
        <v>0</v>
      </c>
      <c r="R143" s="38"/>
    </row>
    <row r="144" spans="1:18" x14ac:dyDescent="0.3">
      <c r="A144" s="2">
        <f>A139+1</f>
        <v>24</v>
      </c>
      <c r="B144" s="14" t="s">
        <v>61</v>
      </c>
      <c r="C144" s="2" t="s">
        <v>16</v>
      </c>
      <c r="D144" s="15"/>
      <c r="E144" s="15">
        <f>1815+215</f>
        <v>2030</v>
      </c>
      <c r="F144" s="10"/>
      <c r="G144" s="10">
        <f t="shared" si="10"/>
        <v>0</v>
      </c>
      <c r="H144" s="10"/>
      <c r="I144" s="10">
        <f t="shared" si="11"/>
        <v>0</v>
      </c>
      <c r="J144" s="10"/>
      <c r="K144" s="10">
        <f t="shared" si="12"/>
        <v>0</v>
      </c>
      <c r="L144" s="10">
        <f t="shared" si="13"/>
        <v>0</v>
      </c>
    </row>
    <row r="145" spans="1:18" x14ac:dyDescent="0.3">
      <c r="A145" s="2"/>
      <c r="B145" s="5" t="s">
        <v>13</v>
      </c>
      <c r="C145" s="1" t="s">
        <v>16</v>
      </c>
      <c r="D145" s="8">
        <v>1</v>
      </c>
      <c r="E145" s="8">
        <f>D145*E144</f>
        <v>2030</v>
      </c>
      <c r="F145" s="10"/>
      <c r="G145" s="10">
        <f t="shared" si="10"/>
        <v>0</v>
      </c>
      <c r="H145" s="10"/>
      <c r="I145" s="10">
        <f t="shared" si="11"/>
        <v>0</v>
      </c>
      <c r="J145" s="10"/>
      <c r="K145" s="10">
        <f t="shared" si="12"/>
        <v>0</v>
      </c>
      <c r="L145" s="10">
        <f t="shared" si="13"/>
        <v>0</v>
      </c>
    </row>
    <row r="146" spans="1:18" x14ac:dyDescent="0.3">
      <c r="A146" s="2"/>
      <c r="B146" s="5" t="s">
        <v>62</v>
      </c>
      <c r="C146" s="1" t="s">
        <v>16</v>
      </c>
      <c r="D146" s="8">
        <v>1.1000000000000001</v>
      </c>
      <c r="E146" s="8">
        <f>D146*E144</f>
        <v>2233</v>
      </c>
      <c r="F146" s="10"/>
      <c r="G146" s="10">
        <f t="shared" si="10"/>
        <v>0</v>
      </c>
      <c r="H146" s="10"/>
      <c r="I146" s="10">
        <f t="shared" si="11"/>
        <v>0</v>
      </c>
      <c r="J146" s="10"/>
      <c r="K146" s="10">
        <f t="shared" si="12"/>
        <v>0</v>
      </c>
      <c r="L146" s="10">
        <f t="shared" si="13"/>
        <v>0</v>
      </c>
      <c r="R146" s="38"/>
    </row>
    <row r="147" spans="1:18" x14ac:dyDescent="0.3">
      <c r="A147" s="2">
        <f>A144+1</f>
        <v>25</v>
      </c>
      <c r="B147" s="14" t="s">
        <v>58</v>
      </c>
      <c r="C147" s="2" t="s">
        <v>18</v>
      </c>
      <c r="D147" s="15"/>
      <c r="E147" s="15">
        <f>E144*5-E139</f>
        <v>5158</v>
      </c>
      <c r="F147" s="10"/>
      <c r="G147" s="10">
        <f t="shared" si="10"/>
        <v>0</v>
      </c>
      <c r="H147" s="10"/>
      <c r="I147" s="10">
        <f t="shared" si="11"/>
        <v>0</v>
      </c>
      <c r="J147" s="10"/>
      <c r="K147" s="10">
        <f t="shared" si="12"/>
        <v>0</v>
      </c>
      <c r="L147" s="10">
        <f t="shared" si="13"/>
        <v>0</v>
      </c>
      <c r="R147" s="9"/>
    </row>
    <row r="148" spans="1:18" x14ac:dyDescent="0.3">
      <c r="A148" s="2"/>
      <c r="B148" s="5" t="s">
        <v>59</v>
      </c>
      <c r="C148" s="1" t="s">
        <v>18</v>
      </c>
      <c r="D148" s="8">
        <v>1.25</v>
      </c>
      <c r="E148" s="8">
        <f>D148*E$147</f>
        <v>6447.5</v>
      </c>
      <c r="F148" s="10"/>
      <c r="G148" s="10">
        <f t="shared" si="10"/>
        <v>0</v>
      </c>
      <c r="H148" s="10"/>
      <c r="I148" s="10">
        <f t="shared" si="11"/>
        <v>0</v>
      </c>
      <c r="J148" s="10"/>
      <c r="K148" s="10">
        <f t="shared" si="12"/>
        <v>0</v>
      </c>
      <c r="L148" s="10">
        <f t="shared" si="13"/>
        <v>0</v>
      </c>
      <c r="R148" s="9"/>
    </row>
    <row r="149" spans="1:18" x14ac:dyDescent="0.3">
      <c r="A149" s="2"/>
      <c r="B149" s="5" t="s">
        <v>32</v>
      </c>
      <c r="C149" s="1" t="s">
        <v>30</v>
      </c>
      <c r="D149" s="8">
        <v>5.0000000000000001E-3</v>
      </c>
      <c r="E149" s="8">
        <f>D149*E$147</f>
        <v>25.79</v>
      </c>
      <c r="F149" s="10"/>
      <c r="G149" s="10">
        <f t="shared" si="10"/>
        <v>0</v>
      </c>
      <c r="H149" s="10"/>
      <c r="I149" s="10">
        <f t="shared" si="11"/>
        <v>0</v>
      </c>
      <c r="J149" s="10"/>
      <c r="K149" s="10">
        <f t="shared" si="12"/>
        <v>0</v>
      </c>
      <c r="L149" s="10">
        <f t="shared" si="13"/>
        <v>0</v>
      </c>
      <c r="R149" s="9"/>
    </row>
    <row r="150" spans="1:18" x14ac:dyDescent="0.3">
      <c r="A150" s="2"/>
      <c r="B150" s="5" t="s">
        <v>33</v>
      </c>
      <c r="C150" s="1" t="s">
        <v>30</v>
      </c>
      <c r="D150" s="8">
        <v>5.0000000000000001E-3</v>
      </c>
      <c r="E150" s="8">
        <f>D150*E$147</f>
        <v>25.79</v>
      </c>
      <c r="F150" s="10"/>
      <c r="G150" s="10">
        <f t="shared" ref="G150:G169" si="35">F150*E150</f>
        <v>0</v>
      </c>
      <c r="H150" s="10"/>
      <c r="I150" s="10">
        <f t="shared" ref="I150:I169" si="36">H150*E150</f>
        <v>0</v>
      </c>
      <c r="J150" s="10"/>
      <c r="K150" s="10">
        <f t="shared" ref="K150:K169" si="37">J150*E150</f>
        <v>0</v>
      </c>
      <c r="L150" s="10">
        <f t="shared" ref="L150:L169" si="38">K150+I150+G150</f>
        <v>0</v>
      </c>
      <c r="R150" s="9"/>
    </row>
    <row r="151" spans="1:18" x14ac:dyDescent="0.3">
      <c r="A151" s="2">
        <f>A147+1</f>
        <v>26</v>
      </c>
      <c r="B151" s="14" t="s">
        <v>60</v>
      </c>
      <c r="C151" s="2" t="s">
        <v>18</v>
      </c>
      <c r="D151" s="15"/>
      <c r="E151" s="15">
        <f>E144*0.1</f>
        <v>203</v>
      </c>
      <c r="F151" s="10"/>
      <c r="G151" s="10">
        <f t="shared" si="35"/>
        <v>0</v>
      </c>
      <c r="H151" s="10"/>
      <c r="I151" s="10">
        <f t="shared" si="36"/>
        <v>0</v>
      </c>
      <c r="J151" s="10"/>
      <c r="K151" s="10">
        <f t="shared" si="37"/>
        <v>0</v>
      </c>
      <c r="L151" s="10">
        <f t="shared" si="38"/>
        <v>0</v>
      </c>
    </row>
    <row r="152" spans="1:18" x14ac:dyDescent="0.3">
      <c r="A152" s="2"/>
      <c r="B152" s="5" t="s">
        <v>63</v>
      </c>
      <c r="C152" s="1" t="s">
        <v>18</v>
      </c>
      <c r="D152" s="8">
        <v>1.1499999999999999</v>
      </c>
      <c r="E152" s="8">
        <f>D152*E$151</f>
        <v>233.45</v>
      </c>
      <c r="F152" s="10"/>
      <c r="G152" s="10">
        <f t="shared" si="35"/>
        <v>0</v>
      </c>
      <c r="H152" s="10"/>
      <c r="I152" s="10">
        <f t="shared" si="36"/>
        <v>0</v>
      </c>
      <c r="J152" s="10"/>
      <c r="K152" s="10">
        <f t="shared" si="37"/>
        <v>0</v>
      </c>
      <c r="L152" s="10">
        <f t="shared" si="38"/>
        <v>0</v>
      </c>
    </row>
    <row r="153" spans="1:18" x14ac:dyDescent="0.3">
      <c r="A153" s="2"/>
      <c r="B153" s="5" t="s">
        <v>32</v>
      </c>
      <c r="C153" s="1" t="s">
        <v>30</v>
      </c>
      <c r="D153" s="8">
        <v>0.01</v>
      </c>
      <c r="E153" s="8">
        <f>D153*E$151</f>
        <v>2.0300000000000002</v>
      </c>
      <c r="F153" s="10"/>
      <c r="G153" s="10">
        <f t="shared" si="35"/>
        <v>0</v>
      </c>
      <c r="H153" s="10"/>
      <c r="I153" s="10">
        <f t="shared" si="36"/>
        <v>0</v>
      </c>
      <c r="J153" s="10"/>
      <c r="K153" s="10">
        <f t="shared" si="37"/>
        <v>0</v>
      </c>
      <c r="L153" s="10">
        <f t="shared" si="38"/>
        <v>0</v>
      </c>
    </row>
    <row r="154" spans="1:18" x14ac:dyDescent="0.3">
      <c r="A154" s="2"/>
      <c r="B154" s="5" t="s">
        <v>33</v>
      </c>
      <c r="C154" s="1" t="s">
        <v>30</v>
      </c>
      <c r="D154" s="8">
        <v>0.01</v>
      </c>
      <c r="E154" s="8">
        <f>D154*E$151</f>
        <v>2.0300000000000002</v>
      </c>
      <c r="F154" s="10"/>
      <c r="G154" s="10">
        <f t="shared" si="35"/>
        <v>0</v>
      </c>
      <c r="H154" s="10"/>
      <c r="I154" s="10">
        <f t="shared" si="36"/>
        <v>0</v>
      </c>
      <c r="J154" s="10"/>
      <c r="K154" s="10">
        <f t="shared" si="37"/>
        <v>0</v>
      </c>
      <c r="L154" s="10">
        <f t="shared" si="38"/>
        <v>0</v>
      </c>
    </row>
    <row r="155" spans="1:18" x14ac:dyDescent="0.3">
      <c r="A155" s="2">
        <f>A151+1</f>
        <v>27</v>
      </c>
      <c r="B155" s="14" t="s">
        <v>424</v>
      </c>
      <c r="C155" s="2" t="s">
        <v>16</v>
      </c>
      <c r="D155" s="15"/>
      <c r="E155" s="15">
        <f>E159</f>
        <v>1815</v>
      </c>
      <c r="F155" s="10"/>
      <c r="G155" s="10">
        <f t="shared" ref="G155:G160" si="39">F155*E155</f>
        <v>0</v>
      </c>
      <c r="H155" s="10"/>
      <c r="I155" s="10">
        <f t="shared" ref="I155:I160" si="40">H155*E155</f>
        <v>0</v>
      </c>
      <c r="J155" s="10"/>
      <c r="K155" s="10">
        <f t="shared" ref="K155:K160" si="41">J155*E155</f>
        <v>0</v>
      </c>
      <c r="L155" s="10">
        <f t="shared" ref="L155:L160" si="42">K155+I155+G155</f>
        <v>0</v>
      </c>
    </row>
    <row r="156" spans="1:18" x14ac:dyDescent="0.3">
      <c r="A156" s="2"/>
      <c r="B156" s="5" t="s">
        <v>13</v>
      </c>
      <c r="C156" s="1" t="s">
        <v>16</v>
      </c>
      <c r="D156" s="8">
        <v>1</v>
      </c>
      <c r="E156" s="8">
        <f>D156*E$155</f>
        <v>1815</v>
      </c>
      <c r="F156" s="10"/>
      <c r="G156" s="10">
        <f t="shared" si="39"/>
        <v>0</v>
      </c>
      <c r="H156" s="10"/>
      <c r="I156" s="10">
        <f t="shared" si="40"/>
        <v>0</v>
      </c>
      <c r="J156" s="10"/>
      <c r="K156" s="10">
        <f t="shared" si="41"/>
        <v>0</v>
      </c>
      <c r="L156" s="10">
        <f t="shared" si="42"/>
        <v>0</v>
      </c>
    </row>
    <row r="157" spans="1:18" x14ac:dyDescent="0.3">
      <c r="A157" s="2"/>
      <c r="B157" s="5" t="s">
        <v>36</v>
      </c>
      <c r="C157" s="1" t="s">
        <v>18</v>
      </c>
      <c r="D157" s="8">
        <f>0.05*1.02</f>
        <v>5.1000000000000004E-2</v>
      </c>
      <c r="E157" s="8">
        <f>D157*E$155</f>
        <v>92.565000000000012</v>
      </c>
      <c r="F157" s="10"/>
      <c r="G157" s="10">
        <f t="shared" si="39"/>
        <v>0</v>
      </c>
      <c r="H157" s="10"/>
      <c r="I157" s="10">
        <f t="shared" si="40"/>
        <v>0</v>
      </c>
      <c r="J157" s="10"/>
      <c r="K157" s="10">
        <f t="shared" si="41"/>
        <v>0</v>
      </c>
      <c r="L157" s="10">
        <f t="shared" si="42"/>
        <v>0</v>
      </c>
    </row>
    <row r="158" spans="1:18" x14ac:dyDescent="0.3">
      <c r="A158" s="2"/>
      <c r="B158" s="5" t="s">
        <v>19</v>
      </c>
      <c r="C158" s="1" t="s">
        <v>16</v>
      </c>
      <c r="D158" s="8">
        <v>1</v>
      </c>
      <c r="E158" s="8">
        <f>D158*E$155</f>
        <v>1815</v>
      </c>
      <c r="F158" s="10"/>
      <c r="G158" s="10">
        <f t="shared" si="39"/>
        <v>0</v>
      </c>
      <c r="H158" s="10"/>
      <c r="I158" s="10">
        <f t="shared" si="40"/>
        <v>0</v>
      </c>
      <c r="J158" s="10"/>
      <c r="K158" s="10">
        <f t="shared" si="41"/>
        <v>0</v>
      </c>
      <c r="L158" s="10">
        <f t="shared" si="42"/>
        <v>0</v>
      </c>
    </row>
    <row r="159" spans="1:18" x14ac:dyDescent="0.3">
      <c r="A159" s="2">
        <f>A155+1</f>
        <v>28</v>
      </c>
      <c r="B159" s="14" t="s">
        <v>64</v>
      </c>
      <c r="C159" s="2" t="s">
        <v>16</v>
      </c>
      <c r="D159" s="15"/>
      <c r="E159" s="15">
        <f>1815</f>
        <v>1815</v>
      </c>
      <c r="F159" s="10"/>
      <c r="G159" s="10">
        <f t="shared" si="39"/>
        <v>0</v>
      </c>
      <c r="H159" s="10"/>
      <c r="I159" s="10">
        <f t="shared" si="40"/>
        <v>0</v>
      </c>
      <c r="J159" s="10"/>
      <c r="K159" s="10">
        <f t="shared" si="41"/>
        <v>0</v>
      </c>
      <c r="L159" s="10">
        <f t="shared" si="42"/>
        <v>0</v>
      </c>
    </row>
    <row r="160" spans="1:18" x14ac:dyDescent="0.3">
      <c r="A160" s="2"/>
      <c r="B160" s="5" t="s">
        <v>13</v>
      </c>
      <c r="C160" s="1" t="s">
        <v>16</v>
      </c>
      <c r="D160" s="8">
        <v>1</v>
      </c>
      <c r="E160" s="8">
        <f>D160*E$159</f>
        <v>1815</v>
      </c>
      <c r="F160" s="10"/>
      <c r="G160" s="10">
        <f t="shared" si="39"/>
        <v>0</v>
      </c>
      <c r="H160" s="10"/>
      <c r="I160" s="10">
        <f t="shared" si="40"/>
        <v>0</v>
      </c>
      <c r="J160" s="10"/>
      <c r="K160" s="10">
        <f t="shared" si="41"/>
        <v>0</v>
      </c>
      <c r="L160" s="10">
        <f t="shared" si="42"/>
        <v>0</v>
      </c>
    </row>
    <row r="161" spans="1:12" x14ac:dyDescent="0.3">
      <c r="A161" s="2"/>
      <c r="B161" s="5" t="s">
        <v>65</v>
      </c>
      <c r="C161" s="1" t="s">
        <v>16</v>
      </c>
      <c r="D161" s="8">
        <v>1.1499999999999999</v>
      </c>
      <c r="E161" s="8">
        <f>D161*E$159</f>
        <v>2087.25</v>
      </c>
      <c r="F161" s="10"/>
      <c r="G161" s="10">
        <f t="shared" si="35"/>
        <v>0</v>
      </c>
      <c r="H161" s="10"/>
      <c r="I161" s="10">
        <f t="shared" si="36"/>
        <v>0</v>
      </c>
      <c r="J161" s="10"/>
      <c r="K161" s="10">
        <f t="shared" si="37"/>
        <v>0</v>
      </c>
      <c r="L161" s="10">
        <f t="shared" si="38"/>
        <v>0</v>
      </c>
    </row>
    <row r="162" spans="1:12" ht="28.8" x14ac:dyDescent="0.3">
      <c r="A162" s="2">
        <f>A159+1</f>
        <v>29</v>
      </c>
      <c r="B162" s="14" t="s">
        <v>75</v>
      </c>
      <c r="C162" s="2" t="s">
        <v>16</v>
      </c>
      <c r="D162" s="15"/>
      <c r="E162" s="15">
        <f>1815-205</f>
        <v>1610</v>
      </c>
      <c r="F162" s="10"/>
      <c r="G162" s="10">
        <f t="shared" si="35"/>
        <v>0</v>
      </c>
      <c r="H162" s="10"/>
      <c r="I162" s="10">
        <f t="shared" si="36"/>
        <v>0</v>
      </c>
      <c r="J162" s="10"/>
      <c r="K162" s="10">
        <f t="shared" si="37"/>
        <v>0</v>
      </c>
      <c r="L162" s="10">
        <f t="shared" si="38"/>
        <v>0</v>
      </c>
    </row>
    <row r="163" spans="1:12" x14ac:dyDescent="0.3">
      <c r="A163" s="2"/>
      <c r="B163" s="5" t="s">
        <v>13</v>
      </c>
      <c r="C163" s="1" t="s">
        <v>16</v>
      </c>
      <c r="D163" s="8">
        <v>1</v>
      </c>
      <c r="E163" s="8">
        <f>D163*E162</f>
        <v>1610</v>
      </c>
      <c r="F163" s="10"/>
      <c r="G163" s="10">
        <f t="shared" si="35"/>
        <v>0</v>
      </c>
      <c r="H163" s="10"/>
      <c r="I163" s="10">
        <f t="shared" si="36"/>
        <v>0</v>
      </c>
      <c r="J163" s="10"/>
      <c r="K163" s="10">
        <f t="shared" si="37"/>
        <v>0</v>
      </c>
      <c r="L163" s="10">
        <f t="shared" si="38"/>
        <v>0</v>
      </c>
    </row>
    <row r="164" spans="1:12" x14ac:dyDescent="0.3">
      <c r="A164" s="2"/>
      <c r="B164" s="5" t="s">
        <v>37</v>
      </c>
      <c r="C164" s="1" t="s">
        <v>18</v>
      </c>
      <c r="D164" s="8">
        <f>0.16*1.02</f>
        <v>0.16320000000000001</v>
      </c>
      <c r="E164" s="8">
        <f>D164*E162</f>
        <v>262.75200000000001</v>
      </c>
      <c r="F164" s="10"/>
      <c r="G164" s="10">
        <f t="shared" si="35"/>
        <v>0</v>
      </c>
      <c r="H164" s="10"/>
      <c r="I164" s="10">
        <f t="shared" si="36"/>
        <v>0</v>
      </c>
      <c r="J164" s="10"/>
      <c r="K164" s="10">
        <f t="shared" si="37"/>
        <v>0</v>
      </c>
      <c r="L164" s="10">
        <f t="shared" si="38"/>
        <v>0</v>
      </c>
    </row>
    <row r="165" spans="1:12" x14ac:dyDescent="0.3">
      <c r="A165" s="2"/>
      <c r="B165" s="5" t="s">
        <v>39</v>
      </c>
      <c r="C165" s="1" t="s">
        <v>38</v>
      </c>
      <c r="D165" s="8">
        <v>1.05</v>
      </c>
      <c r="E165" s="8">
        <f>19822.3*1.05/1000</f>
        <v>20.813414999999999</v>
      </c>
      <c r="F165" s="10"/>
      <c r="G165" s="10">
        <f t="shared" si="35"/>
        <v>0</v>
      </c>
      <c r="H165" s="10"/>
      <c r="I165" s="10">
        <f t="shared" si="36"/>
        <v>0</v>
      </c>
      <c r="J165" s="10"/>
      <c r="K165" s="10">
        <f t="shared" si="37"/>
        <v>0</v>
      </c>
      <c r="L165" s="10">
        <f t="shared" si="38"/>
        <v>0</v>
      </c>
    </row>
    <row r="166" spans="1:12" x14ac:dyDescent="0.3">
      <c r="A166" s="2"/>
      <c r="B166" s="5" t="s">
        <v>40</v>
      </c>
      <c r="C166" s="1" t="s">
        <v>38</v>
      </c>
      <c r="D166" s="8">
        <v>1.05</v>
      </c>
      <c r="E166" s="8">
        <f>225.767*1.05/1000</f>
        <v>0.23705535</v>
      </c>
      <c r="F166" s="10"/>
      <c r="G166" s="10">
        <f t="shared" si="35"/>
        <v>0</v>
      </c>
      <c r="H166" s="10"/>
      <c r="I166" s="10">
        <f t="shared" si="36"/>
        <v>0</v>
      </c>
      <c r="J166" s="10"/>
      <c r="K166" s="10">
        <f t="shared" si="37"/>
        <v>0</v>
      </c>
      <c r="L166" s="10">
        <f t="shared" si="38"/>
        <v>0</v>
      </c>
    </row>
    <row r="167" spans="1:12" x14ac:dyDescent="0.3">
      <c r="A167" s="2"/>
      <c r="B167" s="5" t="s">
        <v>41</v>
      </c>
      <c r="C167" s="1" t="s">
        <v>16</v>
      </c>
      <c r="D167" s="8">
        <f>7.54/100</f>
        <v>7.5399999999999995E-2</v>
      </c>
      <c r="E167" s="8">
        <f t="shared" ref="E167:E172" si="43">D167*E$164</f>
        <v>19.811500800000001</v>
      </c>
      <c r="F167" s="10"/>
      <c r="G167" s="10">
        <f t="shared" si="35"/>
        <v>0</v>
      </c>
      <c r="H167" s="10"/>
      <c r="I167" s="10">
        <f t="shared" si="36"/>
        <v>0</v>
      </c>
      <c r="J167" s="10"/>
      <c r="K167" s="10">
        <f t="shared" si="37"/>
        <v>0</v>
      </c>
      <c r="L167" s="10">
        <f t="shared" si="38"/>
        <v>0</v>
      </c>
    </row>
    <row r="168" spans="1:12" x14ac:dyDescent="0.3">
      <c r="A168" s="2"/>
      <c r="B168" s="5" t="s">
        <v>42</v>
      </c>
      <c r="C168" s="1" t="s">
        <v>18</v>
      </c>
      <c r="D168" s="16">
        <f>0.08/100</f>
        <v>8.0000000000000004E-4</v>
      </c>
      <c r="E168" s="8">
        <f t="shared" si="43"/>
        <v>0.21020160000000002</v>
      </c>
      <c r="F168" s="10"/>
      <c r="G168" s="10">
        <f t="shared" si="35"/>
        <v>0</v>
      </c>
      <c r="H168" s="10"/>
      <c r="I168" s="10">
        <f t="shared" si="36"/>
        <v>0</v>
      </c>
      <c r="J168" s="10"/>
      <c r="K168" s="10">
        <f t="shared" si="37"/>
        <v>0</v>
      </c>
      <c r="L168" s="10">
        <f t="shared" si="38"/>
        <v>0</v>
      </c>
    </row>
    <row r="169" spans="1:12" x14ac:dyDescent="0.3">
      <c r="A169" s="2"/>
      <c r="B169" s="5" t="s">
        <v>43</v>
      </c>
      <c r="C169" s="1" t="s">
        <v>47</v>
      </c>
      <c r="D169" s="8">
        <v>3.2000000000000001E-2</v>
      </c>
      <c r="E169" s="8">
        <f t="shared" si="43"/>
        <v>8.4080640000000013</v>
      </c>
      <c r="F169" s="10"/>
      <c r="G169" s="10">
        <f t="shared" si="35"/>
        <v>0</v>
      </c>
      <c r="H169" s="10"/>
      <c r="I169" s="10">
        <f t="shared" si="36"/>
        <v>0</v>
      </c>
      <c r="J169" s="10"/>
      <c r="K169" s="10">
        <f t="shared" si="37"/>
        <v>0</v>
      </c>
      <c r="L169" s="10">
        <f t="shared" si="38"/>
        <v>0</v>
      </c>
    </row>
    <row r="170" spans="1:12" x14ac:dyDescent="0.3">
      <c r="A170" s="2"/>
      <c r="B170" s="5" t="s">
        <v>44</v>
      </c>
      <c r="C170" s="1" t="s">
        <v>47</v>
      </c>
      <c r="D170" s="8">
        <v>0.21</v>
      </c>
      <c r="E170" s="8">
        <f t="shared" si="43"/>
        <v>55.17792</v>
      </c>
      <c r="F170" s="10"/>
      <c r="G170" s="10">
        <f t="shared" ref="G170:G249" si="44">F170*E170</f>
        <v>0</v>
      </c>
      <c r="H170" s="10"/>
      <c r="I170" s="10">
        <f t="shared" ref="I170:I249" si="45">H170*E170</f>
        <v>0</v>
      </c>
      <c r="J170" s="10"/>
      <c r="K170" s="10">
        <f t="shared" ref="K170:K249" si="46">J170*E170</f>
        <v>0</v>
      </c>
      <c r="L170" s="10">
        <f t="shared" ref="L170:L249" si="47">K170+I170+G170</f>
        <v>0</v>
      </c>
    </row>
    <row r="171" spans="1:12" x14ac:dyDescent="0.3">
      <c r="A171" s="2"/>
      <c r="B171" s="5" t="s">
        <v>19</v>
      </c>
      <c r="C171" s="1" t="s">
        <v>18</v>
      </c>
      <c r="D171" s="8">
        <f>7/100</f>
        <v>7.0000000000000007E-2</v>
      </c>
      <c r="E171" s="8">
        <f t="shared" si="43"/>
        <v>18.392640000000004</v>
      </c>
      <c r="F171" s="10"/>
      <c r="G171" s="10">
        <f t="shared" si="44"/>
        <v>0</v>
      </c>
      <c r="H171" s="10"/>
      <c r="I171" s="10">
        <f t="shared" si="45"/>
        <v>0</v>
      </c>
      <c r="J171" s="10"/>
      <c r="K171" s="10">
        <f t="shared" si="46"/>
        <v>0</v>
      </c>
      <c r="L171" s="10">
        <f t="shared" si="47"/>
        <v>0</v>
      </c>
    </row>
    <row r="172" spans="1:12" x14ac:dyDescent="0.3">
      <c r="A172" s="2"/>
      <c r="B172" s="5" t="s">
        <v>45</v>
      </c>
      <c r="C172" s="1" t="s">
        <v>18</v>
      </c>
      <c r="D172" s="8">
        <f>77/100</f>
        <v>0.77</v>
      </c>
      <c r="E172" s="8">
        <f t="shared" si="43"/>
        <v>202.31904</v>
      </c>
      <c r="F172" s="10"/>
      <c r="G172" s="10">
        <f t="shared" si="44"/>
        <v>0</v>
      </c>
      <c r="H172" s="10"/>
      <c r="I172" s="10">
        <f t="shared" si="45"/>
        <v>0</v>
      </c>
      <c r="J172" s="10"/>
      <c r="K172" s="10">
        <f t="shared" si="46"/>
        <v>0</v>
      </c>
      <c r="L172" s="10">
        <f t="shared" si="47"/>
        <v>0</v>
      </c>
    </row>
    <row r="173" spans="1:12" x14ac:dyDescent="0.3">
      <c r="A173" s="2"/>
      <c r="B173" s="5" t="s">
        <v>46</v>
      </c>
      <c r="C173" s="1" t="s">
        <v>18</v>
      </c>
      <c r="D173" s="8">
        <f>0.18*1.02</f>
        <v>0.18359999999999999</v>
      </c>
      <c r="E173" s="8">
        <f>D173*E162</f>
        <v>295.596</v>
      </c>
      <c r="F173" s="10"/>
      <c r="G173" s="10">
        <f t="shared" si="44"/>
        <v>0</v>
      </c>
      <c r="H173" s="10"/>
      <c r="I173" s="10">
        <f t="shared" si="45"/>
        <v>0</v>
      </c>
      <c r="J173" s="10"/>
      <c r="K173" s="10">
        <f t="shared" si="46"/>
        <v>0</v>
      </c>
      <c r="L173" s="10">
        <f t="shared" si="47"/>
        <v>0</v>
      </c>
    </row>
    <row r="174" spans="1:12" ht="28.8" x14ac:dyDescent="0.3">
      <c r="A174" s="2">
        <f>A162+1</f>
        <v>30</v>
      </c>
      <c r="B174" s="14" t="s">
        <v>423</v>
      </c>
      <c r="C174" s="2" t="s">
        <v>16</v>
      </c>
      <c r="D174" s="15"/>
      <c r="E174" s="15">
        <v>205</v>
      </c>
      <c r="F174" s="10"/>
      <c r="G174" s="10">
        <f t="shared" ref="G174:G185" si="48">F174*E174</f>
        <v>0</v>
      </c>
      <c r="H174" s="10"/>
      <c r="I174" s="10">
        <f t="shared" ref="I174:I185" si="49">H174*E174</f>
        <v>0</v>
      </c>
      <c r="J174" s="10"/>
      <c r="K174" s="10">
        <f t="shared" ref="K174:K185" si="50">J174*E174</f>
        <v>0</v>
      </c>
      <c r="L174" s="10">
        <f t="shared" ref="L174:L185" si="51">K174+I174+G174</f>
        <v>0</v>
      </c>
    </row>
    <row r="175" spans="1:12" x14ac:dyDescent="0.3">
      <c r="A175" s="2"/>
      <c r="B175" s="5" t="s">
        <v>13</v>
      </c>
      <c r="C175" s="1" t="s">
        <v>16</v>
      </c>
      <c r="D175" s="8">
        <v>1</v>
      </c>
      <c r="E175" s="8">
        <f>D175*E$174</f>
        <v>205</v>
      </c>
      <c r="F175" s="10"/>
      <c r="G175" s="10">
        <f t="shared" si="48"/>
        <v>0</v>
      </c>
      <c r="H175" s="10"/>
      <c r="I175" s="10">
        <f t="shared" si="49"/>
        <v>0</v>
      </c>
      <c r="J175" s="10"/>
      <c r="K175" s="10">
        <f t="shared" si="50"/>
        <v>0</v>
      </c>
      <c r="L175" s="10">
        <f t="shared" si="51"/>
        <v>0</v>
      </c>
    </row>
    <row r="176" spans="1:12" x14ac:dyDescent="0.3">
      <c r="A176" s="2"/>
      <c r="B176" s="5" t="s">
        <v>37</v>
      </c>
      <c r="C176" s="1" t="s">
        <v>18</v>
      </c>
      <c r="D176" s="8">
        <f>0.2*1.02</f>
        <v>0.20400000000000001</v>
      </c>
      <c r="E176" s="8">
        <f>D176*E$174</f>
        <v>41.82</v>
      </c>
      <c r="F176" s="10"/>
      <c r="G176" s="10">
        <f t="shared" si="48"/>
        <v>0</v>
      </c>
      <c r="H176" s="10"/>
      <c r="I176" s="10">
        <f t="shared" si="49"/>
        <v>0</v>
      </c>
      <c r="J176" s="10"/>
      <c r="K176" s="10">
        <f t="shared" si="50"/>
        <v>0</v>
      </c>
      <c r="L176" s="10">
        <f t="shared" si="51"/>
        <v>0</v>
      </c>
    </row>
    <row r="177" spans="1:12" x14ac:dyDescent="0.3">
      <c r="A177" s="2"/>
      <c r="B177" s="5" t="s">
        <v>39</v>
      </c>
      <c r="C177" s="1" t="s">
        <v>38</v>
      </c>
      <c r="D177" s="8">
        <v>1.05</v>
      </c>
      <c r="E177" s="8">
        <f>3154.94/1000*1.05</f>
        <v>3.3126869999999999</v>
      </c>
      <c r="F177" s="10"/>
      <c r="G177" s="10">
        <f t="shared" si="48"/>
        <v>0</v>
      </c>
      <c r="H177" s="10"/>
      <c r="I177" s="10">
        <f t="shared" si="49"/>
        <v>0</v>
      </c>
      <c r="J177" s="10"/>
      <c r="K177" s="10">
        <f t="shared" si="50"/>
        <v>0</v>
      </c>
      <c r="L177" s="10">
        <f t="shared" si="51"/>
        <v>0</v>
      </c>
    </row>
    <row r="178" spans="1:12" x14ac:dyDescent="0.3">
      <c r="A178" s="2"/>
      <c r="B178" s="5" t="s">
        <v>40</v>
      </c>
      <c r="C178" s="1" t="s">
        <v>38</v>
      </c>
      <c r="D178" s="8">
        <v>1.05</v>
      </c>
      <c r="E178" s="8">
        <f>35.933/1000*1.05</f>
        <v>3.7729650000000003E-2</v>
      </c>
      <c r="F178" s="10"/>
      <c r="G178" s="10">
        <f t="shared" si="48"/>
        <v>0</v>
      </c>
      <c r="H178" s="10"/>
      <c r="I178" s="10">
        <f t="shared" si="49"/>
        <v>0</v>
      </c>
      <c r="J178" s="10"/>
      <c r="K178" s="10">
        <f t="shared" si="50"/>
        <v>0</v>
      </c>
      <c r="L178" s="10">
        <f t="shared" si="51"/>
        <v>0</v>
      </c>
    </row>
    <row r="179" spans="1:12" x14ac:dyDescent="0.3">
      <c r="A179" s="2"/>
      <c r="B179" s="5" t="s">
        <v>41</v>
      </c>
      <c r="C179" s="1" t="s">
        <v>16</v>
      </c>
      <c r="D179" s="8">
        <f>7.54/100</f>
        <v>7.5399999999999995E-2</v>
      </c>
      <c r="E179" s="8">
        <f t="shared" ref="E179:E184" si="52">D179*E$176</f>
        <v>3.1532279999999999</v>
      </c>
      <c r="F179" s="10"/>
      <c r="G179" s="10">
        <f t="shared" si="48"/>
        <v>0</v>
      </c>
      <c r="H179" s="10"/>
      <c r="I179" s="10">
        <f t="shared" si="49"/>
        <v>0</v>
      </c>
      <c r="J179" s="10"/>
      <c r="K179" s="10">
        <f t="shared" si="50"/>
        <v>0</v>
      </c>
      <c r="L179" s="10">
        <f t="shared" si="51"/>
        <v>0</v>
      </c>
    </row>
    <row r="180" spans="1:12" x14ac:dyDescent="0.3">
      <c r="A180" s="2"/>
      <c r="B180" s="5" t="s">
        <v>42</v>
      </c>
      <c r="C180" s="1" t="s">
        <v>18</v>
      </c>
      <c r="D180" s="16">
        <f>0.08/100</f>
        <v>8.0000000000000004E-4</v>
      </c>
      <c r="E180" s="8">
        <f t="shared" si="52"/>
        <v>3.3456E-2</v>
      </c>
      <c r="F180" s="10"/>
      <c r="G180" s="10">
        <f t="shared" si="48"/>
        <v>0</v>
      </c>
      <c r="H180" s="10"/>
      <c r="I180" s="10">
        <f t="shared" si="49"/>
        <v>0</v>
      </c>
      <c r="J180" s="10"/>
      <c r="K180" s="10">
        <f t="shared" si="50"/>
        <v>0</v>
      </c>
      <c r="L180" s="10">
        <f t="shared" si="51"/>
        <v>0</v>
      </c>
    </row>
    <row r="181" spans="1:12" x14ac:dyDescent="0.3">
      <c r="A181" s="2"/>
      <c r="B181" s="5" t="s">
        <v>43</v>
      </c>
      <c r="C181" s="1" t="s">
        <v>47</v>
      </c>
      <c r="D181" s="8">
        <v>3.2000000000000001E-2</v>
      </c>
      <c r="E181" s="8">
        <f t="shared" si="52"/>
        <v>1.3382400000000001</v>
      </c>
      <c r="F181" s="10"/>
      <c r="G181" s="10">
        <f t="shared" si="48"/>
        <v>0</v>
      </c>
      <c r="H181" s="10"/>
      <c r="I181" s="10">
        <f t="shared" si="49"/>
        <v>0</v>
      </c>
      <c r="J181" s="10"/>
      <c r="K181" s="10">
        <f t="shared" si="50"/>
        <v>0</v>
      </c>
      <c r="L181" s="10">
        <f t="shared" si="51"/>
        <v>0</v>
      </c>
    </row>
    <row r="182" spans="1:12" x14ac:dyDescent="0.3">
      <c r="A182" s="2"/>
      <c r="B182" s="5" t="s">
        <v>44</v>
      </c>
      <c r="C182" s="1" t="s">
        <v>47</v>
      </c>
      <c r="D182" s="8">
        <v>0.21</v>
      </c>
      <c r="E182" s="8">
        <f t="shared" si="52"/>
        <v>8.7821999999999996</v>
      </c>
      <c r="F182" s="10"/>
      <c r="G182" s="10">
        <f t="shared" si="48"/>
        <v>0</v>
      </c>
      <c r="H182" s="10"/>
      <c r="I182" s="10">
        <f t="shared" si="49"/>
        <v>0</v>
      </c>
      <c r="J182" s="10"/>
      <c r="K182" s="10">
        <f t="shared" si="50"/>
        <v>0</v>
      </c>
      <c r="L182" s="10">
        <f t="shared" si="51"/>
        <v>0</v>
      </c>
    </row>
    <row r="183" spans="1:12" x14ac:dyDescent="0.3">
      <c r="A183" s="2"/>
      <c r="B183" s="5" t="s">
        <v>19</v>
      </c>
      <c r="C183" s="1" t="s">
        <v>18</v>
      </c>
      <c r="D183" s="8">
        <f>7/100</f>
        <v>7.0000000000000007E-2</v>
      </c>
      <c r="E183" s="8">
        <f t="shared" si="52"/>
        <v>2.9274000000000004</v>
      </c>
      <c r="F183" s="10"/>
      <c r="G183" s="10">
        <f t="shared" si="48"/>
        <v>0</v>
      </c>
      <c r="H183" s="10"/>
      <c r="I183" s="10">
        <f t="shared" si="49"/>
        <v>0</v>
      </c>
      <c r="J183" s="10"/>
      <c r="K183" s="10">
        <f t="shared" si="50"/>
        <v>0</v>
      </c>
      <c r="L183" s="10">
        <f t="shared" si="51"/>
        <v>0</v>
      </c>
    </row>
    <row r="184" spans="1:12" x14ac:dyDescent="0.3">
      <c r="A184" s="2"/>
      <c r="B184" s="5" t="s">
        <v>45</v>
      </c>
      <c r="C184" s="1" t="s">
        <v>18</v>
      </c>
      <c r="D184" s="8">
        <f>77/100</f>
        <v>0.77</v>
      </c>
      <c r="E184" s="8">
        <f t="shared" si="52"/>
        <v>32.2014</v>
      </c>
      <c r="F184" s="10"/>
      <c r="G184" s="10">
        <f t="shared" si="48"/>
        <v>0</v>
      </c>
      <c r="H184" s="10"/>
      <c r="I184" s="10">
        <f t="shared" si="49"/>
        <v>0</v>
      </c>
      <c r="J184" s="10"/>
      <c r="K184" s="10">
        <f t="shared" si="50"/>
        <v>0</v>
      </c>
      <c r="L184" s="10">
        <f t="shared" si="51"/>
        <v>0</v>
      </c>
    </row>
    <row r="185" spans="1:12" x14ac:dyDescent="0.3">
      <c r="A185" s="2"/>
      <c r="B185" s="5" t="s">
        <v>46</v>
      </c>
      <c r="C185" s="1" t="s">
        <v>18</v>
      </c>
      <c r="D185" s="8">
        <f>0.2*1.02</f>
        <v>0.20400000000000001</v>
      </c>
      <c r="E185" s="8">
        <f>D185*E174</f>
        <v>41.82</v>
      </c>
      <c r="F185" s="10"/>
      <c r="G185" s="10">
        <f t="shared" si="48"/>
        <v>0</v>
      </c>
      <c r="H185" s="10"/>
      <c r="I185" s="10">
        <f t="shared" si="49"/>
        <v>0</v>
      </c>
      <c r="J185" s="10"/>
      <c r="K185" s="10">
        <f t="shared" si="50"/>
        <v>0</v>
      </c>
      <c r="L185" s="10">
        <f t="shared" si="51"/>
        <v>0</v>
      </c>
    </row>
    <row r="186" spans="1:12" x14ac:dyDescent="0.3">
      <c r="A186" s="2">
        <f>A174+1</f>
        <v>31</v>
      </c>
      <c r="B186" s="14" t="s">
        <v>109</v>
      </c>
      <c r="C186" s="2" t="s">
        <v>16</v>
      </c>
      <c r="D186" s="15"/>
      <c r="E186" s="15">
        <f>E162</f>
        <v>1610</v>
      </c>
      <c r="F186" s="10"/>
      <c r="G186" s="10">
        <f t="shared" si="44"/>
        <v>0</v>
      </c>
      <c r="H186" s="10"/>
      <c r="I186" s="10">
        <f t="shared" si="45"/>
        <v>0</v>
      </c>
      <c r="J186" s="10"/>
      <c r="K186" s="10">
        <f t="shared" si="46"/>
        <v>0</v>
      </c>
      <c r="L186" s="10">
        <f t="shared" si="47"/>
        <v>0</v>
      </c>
    </row>
    <row r="187" spans="1:12" x14ac:dyDescent="0.3">
      <c r="A187" s="2"/>
      <c r="B187" s="5" t="s">
        <v>13</v>
      </c>
      <c r="C187" s="1" t="s">
        <v>16</v>
      </c>
      <c r="D187" s="8">
        <v>1</v>
      </c>
      <c r="E187" s="8">
        <f>D187*E186</f>
        <v>1610</v>
      </c>
      <c r="F187" s="10"/>
      <c r="G187" s="10">
        <f t="shared" ref="G187" si="53">F187*E187</f>
        <v>0</v>
      </c>
      <c r="H187" s="10"/>
      <c r="I187" s="10">
        <f t="shared" ref="I187" si="54">H187*E187</f>
        <v>0</v>
      </c>
      <c r="J187" s="10"/>
      <c r="K187" s="10">
        <f t="shared" ref="K187" si="55">J187*E187</f>
        <v>0</v>
      </c>
      <c r="L187" s="10">
        <f t="shared" ref="L187" si="56">K187+I187+G187</f>
        <v>0</v>
      </c>
    </row>
    <row r="188" spans="1:12" x14ac:dyDescent="0.3">
      <c r="A188" s="2"/>
      <c r="B188" s="5" t="s">
        <v>110</v>
      </c>
      <c r="C188" s="1" t="s">
        <v>47</v>
      </c>
      <c r="D188" s="8">
        <v>0.09</v>
      </c>
      <c r="E188" s="8">
        <f>D188*E186</f>
        <v>144.9</v>
      </c>
      <c r="F188" s="10"/>
      <c r="G188" s="10">
        <f t="shared" ref="G188" si="57">F188*E188</f>
        <v>0</v>
      </c>
      <c r="H188" s="10"/>
      <c r="I188" s="10">
        <f t="shared" ref="I188" si="58">H188*E188</f>
        <v>0</v>
      </c>
      <c r="J188" s="10"/>
      <c r="K188" s="10">
        <f t="shared" ref="K188" si="59">J188*E188</f>
        <v>0</v>
      </c>
      <c r="L188" s="10">
        <f t="shared" ref="L188" si="60">K188+I188+G188</f>
        <v>0</v>
      </c>
    </row>
    <row r="189" spans="1:12" x14ac:dyDescent="0.3">
      <c r="A189" s="2">
        <f>A186+1</f>
        <v>32</v>
      </c>
      <c r="B189" s="14" t="s">
        <v>74</v>
      </c>
      <c r="C189" s="2" t="s">
        <v>16</v>
      </c>
      <c r="D189" s="15"/>
      <c r="E189" s="15">
        <v>215</v>
      </c>
      <c r="F189" s="10"/>
      <c r="G189" s="10">
        <f t="shared" si="44"/>
        <v>0</v>
      </c>
      <c r="H189" s="10"/>
      <c r="I189" s="10">
        <f t="shared" si="45"/>
        <v>0</v>
      </c>
      <c r="J189" s="10"/>
      <c r="K189" s="10">
        <f t="shared" si="46"/>
        <v>0</v>
      </c>
      <c r="L189" s="10">
        <f t="shared" si="47"/>
        <v>0</v>
      </c>
    </row>
    <row r="190" spans="1:12" x14ac:dyDescent="0.3">
      <c r="A190" s="2"/>
      <c r="B190" s="5" t="s">
        <v>13</v>
      </c>
      <c r="C190" s="1" t="s">
        <v>16</v>
      </c>
      <c r="D190" s="8">
        <v>1</v>
      </c>
      <c r="E190" s="8">
        <f>D190*E189</f>
        <v>215</v>
      </c>
      <c r="F190" s="10"/>
      <c r="G190" s="10">
        <f t="shared" si="44"/>
        <v>0</v>
      </c>
      <c r="H190" s="10"/>
      <c r="I190" s="10">
        <f t="shared" si="45"/>
        <v>0</v>
      </c>
      <c r="J190" s="10"/>
      <c r="K190" s="10">
        <f t="shared" si="46"/>
        <v>0</v>
      </c>
      <c r="L190" s="10">
        <f t="shared" si="47"/>
        <v>0</v>
      </c>
    </row>
    <row r="191" spans="1:12" x14ac:dyDescent="0.3">
      <c r="A191" s="2"/>
      <c r="B191" s="5" t="s">
        <v>37</v>
      </c>
      <c r="C191" s="1" t="s">
        <v>18</v>
      </c>
      <c r="D191" s="8">
        <f>0.18*1.02</f>
        <v>0.18359999999999999</v>
      </c>
      <c r="E191" s="8">
        <f>D191*E189</f>
        <v>39.473999999999997</v>
      </c>
      <c r="F191" s="10"/>
      <c r="G191" s="10">
        <f t="shared" si="44"/>
        <v>0</v>
      </c>
      <c r="H191" s="10"/>
      <c r="I191" s="10">
        <f t="shared" si="45"/>
        <v>0</v>
      </c>
      <c r="J191" s="10"/>
      <c r="K191" s="10">
        <f t="shared" si="46"/>
        <v>0</v>
      </c>
      <c r="L191" s="10">
        <f t="shared" si="47"/>
        <v>0</v>
      </c>
    </row>
    <row r="192" spans="1:12" x14ac:dyDescent="0.3">
      <c r="A192" s="2"/>
      <c r="B192" s="5" t="s">
        <v>39</v>
      </c>
      <c r="C192" s="1" t="s">
        <v>38</v>
      </c>
      <c r="D192" s="8">
        <v>1.05</v>
      </c>
      <c r="E192" s="8">
        <f>2616.3/1000*1.05</f>
        <v>2.7471150000000004</v>
      </c>
      <c r="F192" s="10"/>
      <c r="G192" s="10">
        <f t="shared" si="44"/>
        <v>0</v>
      </c>
      <c r="H192" s="10"/>
      <c r="I192" s="10">
        <f t="shared" si="45"/>
        <v>0</v>
      </c>
      <c r="J192" s="10"/>
      <c r="K192" s="10">
        <f t="shared" si="46"/>
        <v>0</v>
      </c>
      <c r="L192" s="10">
        <f t="shared" si="47"/>
        <v>0</v>
      </c>
    </row>
    <row r="193" spans="1:12" x14ac:dyDescent="0.3">
      <c r="A193" s="2"/>
      <c r="B193" s="5" t="s">
        <v>40</v>
      </c>
      <c r="C193" s="1" t="s">
        <v>38</v>
      </c>
      <c r="D193" s="8">
        <v>1.05</v>
      </c>
      <c r="E193" s="8">
        <f>31.3/1000*1.05</f>
        <v>3.2865000000000005E-2</v>
      </c>
      <c r="F193" s="10"/>
      <c r="G193" s="10">
        <f t="shared" si="44"/>
        <v>0</v>
      </c>
      <c r="H193" s="10"/>
      <c r="I193" s="10">
        <f t="shared" si="45"/>
        <v>0</v>
      </c>
      <c r="J193" s="10"/>
      <c r="K193" s="10">
        <f t="shared" si="46"/>
        <v>0</v>
      </c>
      <c r="L193" s="10">
        <f t="shared" si="47"/>
        <v>0</v>
      </c>
    </row>
    <row r="194" spans="1:12" x14ac:dyDescent="0.3">
      <c r="A194" s="2"/>
      <c r="B194" s="5" t="s">
        <v>41</v>
      </c>
      <c r="C194" s="1" t="s">
        <v>16</v>
      </c>
      <c r="D194" s="8">
        <f>137/100</f>
        <v>1.37</v>
      </c>
      <c r="E194" s="8">
        <f t="shared" ref="E194:E199" si="61">D194*E$191</f>
        <v>54.07938</v>
      </c>
      <c r="F194" s="10"/>
      <c r="G194" s="10">
        <f t="shared" si="44"/>
        <v>0</v>
      </c>
      <c r="H194" s="10"/>
      <c r="I194" s="10">
        <f t="shared" si="45"/>
        <v>0</v>
      </c>
      <c r="J194" s="10"/>
      <c r="K194" s="10">
        <f t="shared" si="46"/>
        <v>0</v>
      </c>
      <c r="L194" s="10">
        <f t="shared" si="47"/>
        <v>0</v>
      </c>
    </row>
    <row r="195" spans="1:12" x14ac:dyDescent="0.3">
      <c r="A195" s="2"/>
      <c r="B195" s="5" t="s">
        <v>42</v>
      </c>
      <c r="C195" s="1" t="s">
        <v>18</v>
      </c>
      <c r="D195" s="8">
        <f>(0.84+2.56+0.26)/100</f>
        <v>3.6600000000000001E-2</v>
      </c>
      <c r="E195" s="8">
        <f t="shared" si="61"/>
        <v>1.4447483999999999</v>
      </c>
      <c r="F195" s="10"/>
      <c r="G195" s="10">
        <f t="shared" si="44"/>
        <v>0</v>
      </c>
      <c r="H195" s="10"/>
      <c r="I195" s="10">
        <f t="shared" si="45"/>
        <v>0</v>
      </c>
      <c r="J195" s="10"/>
      <c r="K195" s="10">
        <f t="shared" si="46"/>
        <v>0</v>
      </c>
      <c r="L195" s="10">
        <f t="shared" si="47"/>
        <v>0</v>
      </c>
    </row>
    <row r="196" spans="1:12" x14ac:dyDescent="0.3">
      <c r="A196" s="2"/>
      <c r="B196" s="5" t="s">
        <v>43</v>
      </c>
      <c r="C196" s="1" t="s">
        <v>47</v>
      </c>
      <c r="D196" s="8">
        <v>0.75</v>
      </c>
      <c r="E196" s="8">
        <f t="shared" si="61"/>
        <v>29.605499999999999</v>
      </c>
      <c r="F196" s="10"/>
      <c r="G196" s="10">
        <f t="shared" si="44"/>
        <v>0</v>
      </c>
      <c r="H196" s="10"/>
      <c r="I196" s="10">
        <f t="shared" si="45"/>
        <v>0</v>
      </c>
      <c r="J196" s="10"/>
      <c r="K196" s="10">
        <f t="shared" si="46"/>
        <v>0</v>
      </c>
      <c r="L196" s="10">
        <f t="shared" si="47"/>
        <v>0</v>
      </c>
    </row>
    <row r="197" spans="1:12" x14ac:dyDescent="0.3">
      <c r="A197" s="2"/>
      <c r="B197" s="5" t="s">
        <v>44</v>
      </c>
      <c r="C197" s="1" t="s">
        <v>47</v>
      </c>
      <c r="D197" s="8">
        <v>0.21</v>
      </c>
      <c r="E197" s="8">
        <f t="shared" si="61"/>
        <v>8.2895399999999988</v>
      </c>
      <c r="F197" s="10"/>
      <c r="G197" s="10">
        <f t="shared" si="44"/>
        <v>0</v>
      </c>
      <c r="H197" s="10"/>
      <c r="I197" s="10">
        <f t="shared" si="45"/>
        <v>0</v>
      </c>
      <c r="J197" s="10"/>
      <c r="K197" s="10">
        <f t="shared" si="46"/>
        <v>0</v>
      </c>
      <c r="L197" s="10">
        <f t="shared" si="47"/>
        <v>0</v>
      </c>
    </row>
    <row r="198" spans="1:12" x14ac:dyDescent="0.3">
      <c r="A198" s="2"/>
      <c r="B198" s="5" t="s">
        <v>19</v>
      </c>
      <c r="C198" s="1" t="s">
        <v>18</v>
      </c>
      <c r="D198" s="8">
        <f>81/100</f>
        <v>0.81</v>
      </c>
      <c r="E198" s="8">
        <f t="shared" si="61"/>
        <v>31.973939999999999</v>
      </c>
      <c r="F198" s="10"/>
      <c r="G198" s="10">
        <f t="shared" si="44"/>
        <v>0</v>
      </c>
      <c r="H198" s="10"/>
      <c r="I198" s="10">
        <f t="shared" si="45"/>
        <v>0</v>
      </c>
      <c r="J198" s="10"/>
      <c r="K198" s="10">
        <f t="shared" si="46"/>
        <v>0</v>
      </c>
      <c r="L198" s="10">
        <f t="shared" si="47"/>
        <v>0</v>
      </c>
    </row>
    <row r="199" spans="1:12" x14ac:dyDescent="0.3">
      <c r="A199" s="2"/>
      <c r="B199" s="5" t="s">
        <v>45</v>
      </c>
      <c r="C199" s="1" t="s">
        <v>18</v>
      </c>
      <c r="D199" s="8">
        <f>39/100</f>
        <v>0.39</v>
      </c>
      <c r="E199" s="8">
        <f t="shared" si="61"/>
        <v>15.39486</v>
      </c>
      <c r="F199" s="10"/>
      <c r="G199" s="10">
        <f t="shared" si="44"/>
        <v>0</v>
      </c>
      <c r="H199" s="10"/>
      <c r="I199" s="10">
        <f t="shared" si="45"/>
        <v>0</v>
      </c>
      <c r="J199" s="10"/>
      <c r="K199" s="10">
        <f t="shared" si="46"/>
        <v>0</v>
      </c>
      <c r="L199" s="10">
        <f t="shared" si="47"/>
        <v>0</v>
      </c>
    </row>
    <row r="200" spans="1:12" x14ac:dyDescent="0.3">
      <c r="A200" s="2"/>
      <c r="B200" s="5" t="s">
        <v>46</v>
      </c>
      <c r="C200" s="1" t="s">
        <v>18</v>
      </c>
      <c r="D200" s="8">
        <f>0.18*1.02</f>
        <v>0.18359999999999999</v>
      </c>
      <c r="E200" s="8">
        <f>D200*E189</f>
        <v>39.473999999999997</v>
      </c>
      <c r="F200" s="10"/>
      <c r="G200" s="10">
        <f t="shared" si="44"/>
        <v>0</v>
      </c>
      <c r="H200" s="10"/>
      <c r="I200" s="10">
        <f t="shared" si="45"/>
        <v>0</v>
      </c>
      <c r="J200" s="10"/>
      <c r="K200" s="10">
        <f t="shared" si="46"/>
        <v>0</v>
      </c>
      <c r="L200" s="10">
        <f t="shared" si="47"/>
        <v>0</v>
      </c>
    </row>
    <row r="201" spans="1:12" x14ac:dyDescent="0.3">
      <c r="A201" s="2">
        <f>A189+1</f>
        <v>33</v>
      </c>
      <c r="B201" s="14" t="s">
        <v>66</v>
      </c>
      <c r="C201" s="2" t="s">
        <v>16</v>
      </c>
      <c r="D201" s="15"/>
      <c r="E201" s="15">
        <v>154</v>
      </c>
      <c r="F201" s="10"/>
      <c r="G201" s="10">
        <f t="shared" si="44"/>
        <v>0</v>
      </c>
      <c r="H201" s="10"/>
      <c r="I201" s="10">
        <f t="shared" si="45"/>
        <v>0</v>
      </c>
      <c r="J201" s="10"/>
      <c r="K201" s="10">
        <f t="shared" si="46"/>
        <v>0</v>
      </c>
      <c r="L201" s="10">
        <f t="shared" si="47"/>
        <v>0</v>
      </c>
    </row>
    <row r="202" spans="1:12" x14ac:dyDescent="0.3">
      <c r="A202" s="2"/>
      <c r="B202" s="5" t="s">
        <v>13</v>
      </c>
      <c r="C202" s="1" t="s">
        <v>16</v>
      </c>
      <c r="D202" s="8">
        <v>1</v>
      </c>
      <c r="E202" s="8">
        <f>D202*E201</f>
        <v>154</v>
      </c>
      <c r="F202" s="10"/>
      <c r="G202" s="10">
        <f t="shared" si="44"/>
        <v>0</v>
      </c>
      <c r="H202" s="10"/>
      <c r="I202" s="10">
        <f t="shared" si="45"/>
        <v>0</v>
      </c>
      <c r="J202" s="10"/>
      <c r="K202" s="10">
        <f t="shared" si="46"/>
        <v>0</v>
      </c>
      <c r="L202" s="10">
        <f t="shared" si="47"/>
        <v>0</v>
      </c>
    </row>
    <row r="203" spans="1:12" x14ac:dyDescent="0.3">
      <c r="A203" s="2"/>
      <c r="B203" s="5" t="s">
        <v>37</v>
      </c>
      <c r="C203" s="1" t="s">
        <v>18</v>
      </c>
      <c r="D203" s="8">
        <f>0.18*1.02</f>
        <v>0.18359999999999999</v>
      </c>
      <c r="E203" s="8">
        <f>21.2*1.02</f>
        <v>21.623999999999999</v>
      </c>
      <c r="F203" s="10"/>
      <c r="G203" s="10">
        <f t="shared" si="44"/>
        <v>0</v>
      </c>
      <c r="H203" s="10"/>
      <c r="I203" s="10">
        <f t="shared" si="45"/>
        <v>0</v>
      </c>
      <c r="J203" s="10"/>
      <c r="K203" s="10">
        <f t="shared" si="46"/>
        <v>0</v>
      </c>
      <c r="L203" s="10">
        <f t="shared" si="47"/>
        <v>0</v>
      </c>
    </row>
    <row r="204" spans="1:12" x14ac:dyDescent="0.3">
      <c r="A204" s="2"/>
      <c r="B204" s="5" t="s">
        <v>39</v>
      </c>
      <c r="C204" s="1" t="s">
        <v>38</v>
      </c>
      <c r="D204" s="8">
        <v>1.05</v>
      </c>
      <c r="E204" s="8">
        <f>1932.9/1000*1.05</f>
        <v>2.0295450000000002</v>
      </c>
      <c r="F204" s="10"/>
      <c r="G204" s="10">
        <f t="shared" si="44"/>
        <v>0</v>
      </c>
      <c r="H204" s="10"/>
      <c r="I204" s="10">
        <f t="shared" si="45"/>
        <v>0</v>
      </c>
      <c r="J204" s="10"/>
      <c r="K204" s="10">
        <f t="shared" si="46"/>
        <v>0</v>
      </c>
      <c r="L204" s="10">
        <f t="shared" si="47"/>
        <v>0</v>
      </c>
    </row>
    <row r="205" spans="1:12" x14ac:dyDescent="0.3">
      <c r="A205" s="2"/>
      <c r="B205" s="5" t="s">
        <v>40</v>
      </c>
      <c r="C205" s="1" t="s">
        <v>38</v>
      </c>
      <c r="D205" s="8">
        <v>1.05</v>
      </c>
      <c r="E205" s="8">
        <f>21.9/1000*1.05</f>
        <v>2.2995000000000002E-2</v>
      </c>
      <c r="F205" s="10"/>
      <c r="G205" s="10">
        <f t="shared" si="44"/>
        <v>0</v>
      </c>
      <c r="H205" s="10"/>
      <c r="I205" s="10">
        <f t="shared" si="45"/>
        <v>0</v>
      </c>
      <c r="J205" s="10"/>
      <c r="K205" s="10">
        <f t="shared" si="46"/>
        <v>0</v>
      </c>
      <c r="L205" s="10">
        <f t="shared" si="47"/>
        <v>0</v>
      </c>
    </row>
    <row r="206" spans="1:12" x14ac:dyDescent="0.3">
      <c r="A206" s="2"/>
      <c r="B206" s="5" t="s">
        <v>41</v>
      </c>
      <c r="C206" s="1" t="s">
        <v>16</v>
      </c>
      <c r="D206" s="8">
        <f>137/100</f>
        <v>1.37</v>
      </c>
      <c r="E206" s="8">
        <f t="shared" ref="E206:E211" si="62">D206*E$203</f>
        <v>29.624880000000001</v>
      </c>
      <c r="F206" s="10"/>
      <c r="G206" s="10">
        <f t="shared" si="44"/>
        <v>0</v>
      </c>
      <c r="H206" s="10"/>
      <c r="I206" s="10">
        <f t="shared" si="45"/>
        <v>0</v>
      </c>
      <c r="J206" s="10"/>
      <c r="K206" s="10">
        <f t="shared" si="46"/>
        <v>0</v>
      </c>
      <c r="L206" s="10">
        <f t="shared" si="47"/>
        <v>0</v>
      </c>
    </row>
    <row r="207" spans="1:12" x14ac:dyDescent="0.3">
      <c r="A207" s="2"/>
      <c r="B207" s="5" t="s">
        <v>42</v>
      </c>
      <c r="C207" s="1" t="s">
        <v>18</v>
      </c>
      <c r="D207" s="8">
        <f>(0.84+2.56+0.4)/100</f>
        <v>3.7999999999999999E-2</v>
      </c>
      <c r="E207" s="8">
        <f t="shared" si="62"/>
        <v>0.82171199999999989</v>
      </c>
      <c r="F207" s="10"/>
      <c r="G207" s="10">
        <f t="shared" si="44"/>
        <v>0</v>
      </c>
      <c r="H207" s="10"/>
      <c r="I207" s="10">
        <f t="shared" si="45"/>
        <v>0</v>
      </c>
      <c r="J207" s="10"/>
      <c r="K207" s="10">
        <f t="shared" si="46"/>
        <v>0</v>
      </c>
      <c r="L207" s="10">
        <f t="shared" si="47"/>
        <v>0</v>
      </c>
    </row>
    <row r="208" spans="1:12" x14ac:dyDescent="0.3">
      <c r="A208" s="2"/>
      <c r="B208" s="5" t="s">
        <v>43</v>
      </c>
      <c r="C208" s="1" t="s">
        <v>47</v>
      </c>
      <c r="D208" s="8">
        <v>0.75</v>
      </c>
      <c r="E208" s="8">
        <f t="shared" si="62"/>
        <v>16.218</v>
      </c>
      <c r="F208" s="10"/>
      <c r="G208" s="10">
        <f t="shared" si="44"/>
        <v>0</v>
      </c>
      <c r="H208" s="10"/>
      <c r="I208" s="10">
        <f t="shared" si="45"/>
        <v>0</v>
      </c>
      <c r="J208" s="10"/>
      <c r="K208" s="10">
        <f t="shared" si="46"/>
        <v>0</v>
      </c>
      <c r="L208" s="10">
        <f t="shared" si="47"/>
        <v>0</v>
      </c>
    </row>
    <row r="209" spans="1:12" x14ac:dyDescent="0.3">
      <c r="A209" s="2"/>
      <c r="B209" s="5" t="s">
        <v>44</v>
      </c>
      <c r="C209" s="1" t="s">
        <v>47</v>
      </c>
      <c r="D209" s="8">
        <v>0.21</v>
      </c>
      <c r="E209" s="8">
        <f t="shared" si="62"/>
        <v>4.5410399999999997</v>
      </c>
      <c r="F209" s="10"/>
      <c r="G209" s="10">
        <f t="shared" si="44"/>
        <v>0</v>
      </c>
      <c r="H209" s="10"/>
      <c r="I209" s="10">
        <f t="shared" si="45"/>
        <v>0</v>
      </c>
      <c r="J209" s="10"/>
      <c r="K209" s="10">
        <f t="shared" si="46"/>
        <v>0</v>
      </c>
      <c r="L209" s="10">
        <f t="shared" si="47"/>
        <v>0</v>
      </c>
    </row>
    <row r="210" spans="1:12" x14ac:dyDescent="0.3">
      <c r="A210" s="2"/>
      <c r="B210" s="5" t="s">
        <v>19</v>
      </c>
      <c r="C210" s="1" t="s">
        <v>18</v>
      </c>
      <c r="D210" s="8">
        <f>86/100</f>
        <v>0.86</v>
      </c>
      <c r="E210" s="8">
        <f t="shared" si="62"/>
        <v>18.596639999999997</v>
      </c>
      <c r="F210" s="10"/>
      <c r="G210" s="10">
        <f t="shared" si="44"/>
        <v>0</v>
      </c>
      <c r="H210" s="10"/>
      <c r="I210" s="10">
        <f t="shared" si="45"/>
        <v>0</v>
      </c>
      <c r="J210" s="10"/>
      <c r="K210" s="10">
        <f t="shared" si="46"/>
        <v>0</v>
      </c>
      <c r="L210" s="10">
        <f t="shared" si="47"/>
        <v>0</v>
      </c>
    </row>
    <row r="211" spans="1:12" x14ac:dyDescent="0.3">
      <c r="A211" s="2"/>
      <c r="B211" s="5" t="s">
        <v>45</v>
      </c>
      <c r="C211" s="1" t="s">
        <v>18</v>
      </c>
      <c r="D211" s="8">
        <f>51/100</f>
        <v>0.51</v>
      </c>
      <c r="E211" s="8">
        <f t="shared" si="62"/>
        <v>11.02824</v>
      </c>
      <c r="F211" s="10"/>
      <c r="G211" s="10">
        <f t="shared" si="44"/>
        <v>0</v>
      </c>
      <c r="H211" s="10"/>
      <c r="I211" s="10">
        <f t="shared" si="45"/>
        <v>0</v>
      </c>
      <c r="J211" s="10"/>
      <c r="K211" s="10">
        <f t="shared" si="46"/>
        <v>0</v>
      </c>
      <c r="L211" s="10">
        <f t="shared" si="47"/>
        <v>0</v>
      </c>
    </row>
    <row r="212" spans="1:12" x14ac:dyDescent="0.3">
      <c r="A212" s="2"/>
      <c r="B212" s="5" t="s">
        <v>46</v>
      </c>
      <c r="C212" s="1" t="s">
        <v>18</v>
      </c>
      <c r="D212" s="8">
        <f>0.18*1.02</f>
        <v>0.18359999999999999</v>
      </c>
      <c r="E212" s="8">
        <f>E203</f>
        <v>21.623999999999999</v>
      </c>
      <c r="F212" s="10"/>
      <c r="G212" s="10">
        <f t="shared" si="44"/>
        <v>0</v>
      </c>
      <c r="H212" s="10"/>
      <c r="I212" s="10">
        <f t="shared" si="45"/>
        <v>0</v>
      </c>
      <c r="J212" s="10"/>
      <c r="K212" s="10">
        <f t="shared" si="46"/>
        <v>0</v>
      </c>
      <c r="L212" s="10">
        <f t="shared" si="47"/>
        <v>0</v>
      </c>
    </row>
    <row r="213" spans="1:12" x14ac:dyDescent="0.3">
      <c r="A213" s="2">
        <f>A201+1</f>
        <v>34</v>
      </c>
      <c r="B213" s="14" t="s">
        <v>67</v>
      </c>
      <c r="C213" s="2" t="s">
        <v>16</v>
      </c>
      <c r="D213" s="15"/>
      <c r="E213" s="15">
        <f>220-13.5-4</f>
        <v>202.5</v>
      </c>
      <c r="F213" s="10"/>
      <c r="G213" s="10">
        <f t="shared" si="44"/>
        <v>0</v>
      </c>
      <c r="H213" s="10"/>
      <c r="I213" s="10">
        <f t="shared" si="45"/>
        <v>0</v>
      </c>
      <c r="J213" s="10"/>
      <c r="K213" s="10">
        <f t="shared" si="46"/>
        <v>0</v>
      </c>
      <c r="L213" s="10">
        <f t="shared" si="47"/>
        <v>0</v>
      </c>
    </row>
    <row r="214" spans="1:12" x14ac:dyDescent="0.3">
      <c r="A214" s="2"/>
      <c r="B214" s="5" t="s">
        <v>13</v>
      </c>
      <c r="C214" s="1" t="s">
        <v>16</v>
      </c>
      <c r="D214" s="8">
        <v>1</v>
      </c>
      <c r="E214" s="8">
        <f>D214*E213</f>
        <v>202.5</v>
      </c>
      <c r="F214" s="10"/>
      <c r="G214" s="10">
        <f t="shared" si="44"/>
        <v>0</v>
      </c>
      <c r="H214" s="10"/>
      <c r="I214" s="10">
        <f t="shared" si="45"/>
        <v>0</v>
      </c>
      <c r="J214" s="10"/>
      <c r="K214" s="10">
        <f t="shared" si="46"/>
        <v>0</v>
      </c>
      <c r="L214" s="10">
        <f t="shared" si="47"/>
        <v>0</v>
      </c>
    </row>
    <row r="215" spans="1:12" x14ac:dyDescent="0.3">
      <c r="A215" s="2"/>
      <c r="B215" s="5" t="s">
        <v>37</v>
      </c>
      <c r="C215" s="1" t="s">
        <v>18</v>
      </c>
      <c r="D215" s="8">
        <f>0.18*1.02</f>
        <v>0.18359999999999999</v>
      </c>
      <c r="E215" s="8">
        <f>28.7*1.02</f>
        <v>29.274000000000001</v>
      </c>
      <c r="F215" s="10"/>
      <c r="G215" s="10">
        <f t="shared" si="44"/>
        <v>0</v>
      </c>
      <c r="H215" s="10"/>
      <c r="I215" s="10">
        <f t="shared" si="45"/>
        <v>0</v>
      </c>
      <c r="J215" s="10"/>
      <c r="K215" s="10">
        <f t="shared" si="46"/>
        <v>0</v>
      </c>
      <c r="L215" s="10">
        <f t="shared" si="47"/>
        <v>0</v>
      </c>
    </row>
    <row r="216" spans="1:12" x14ac:dyDescent="0.3">
      <c r="A216" s="2"/>
      <c r="B216" s="5" t="s">
        <v>39</v>
      </c>
      <c r="C216" s="1" t="s">
        <v>38</v>
      </c>
      <c r="D216" s="8">
        <v>1.05</v>
      </c>
      <c r="E216" s="8">
        <f>2680.9/1000*1.05</f>
        <v>2.8149450000000003</v>
      </c>
      <c r="F216" s="10"/>
      <c r="G216" s="10">
        <f t="shared" si="44"/>
        <v>0</v>
      </c>
      <c r="H216" s="10"/>
      <c r="I216" s="10">
        <f t="shared" si="45"/>
        <v>0</v>
      </c>
      <c r="J216" s="10"/>
      <c r="K216" s="10">
        <f t="shared" si="46"/>
        <v>0</v>
      </c>
      <c r="L216" s="10">
        <f t="shared" si="47"/>
        <v>0</v>
      </c>
    </row>
    <row r="217" spans="1:12" x14ac:dyDescent="0.3">
      <c r="A217" s="2"/>
      <c r="B217" s="5" t="s">
        <v>40</v>
      </c>
      <c r="C217" s="1" t="s">
        <v>38</v>
      </c>
      <c r="D217" s="8">
        <v>1.05</v>
      </c>
      <c r="E217" s="8">
        <f>30.4/1000*1.05</f>
        <v>3.1920000000000004E-2</v>
      </c>
      <c r="F217" s="10"/>
      <c r="G217" s="10">
        <f t="shared" si="44"/>
        <v>0</v>
      </c>
      <c r="H217" s="10"/>
      <c r="I217" s="10">
        <f t="shared" si="45"/>
        <v>0</v>
      </c>
      <c r="J217" s="10"/>
      <c r="K217" s="10">
        <f t="shared" si="46"/>
        <v>0</v>
      </c>
      <c r="L217" s="10">
        <f t="shared" si="47"/>
        <v>0</v>
      </c>
    </row>
    <row r="218" spans="1:12" x14ac:dyDescent="0.3">
      <c r="A218" s="2"/>
      <c r="B218" s="5" t="s">
        <v>41</v>
      </c>
      <c r="C218" s="1" t="s">
        <v>16</v>
      </c>
      <c r="D218" s="8">
        <f>137/100</f>
        <v>1.37</v>
      </c>
      <c r="E218" s="8">
        <f t="shared" ref="E218:E223" si="63">D218*E$215</f>
        <v>40.105380000000004</v>
      </c>
      <c r="F218" s="10"/>
      <c r="G218" s="10">
        <f t="shared" si="44"/>
        <v>0</v>
      </c>
      <c r="H218" s="10"/>
      <c r="I218" s="10">
        <f t="shared" si="45"/>
        <v>0</v>
      </c>
      <c r="J218" s="10"/>
      <c r="K218" s="10">
        <f t="shared" si="46"/>
        <v>0</v>
      </c>
      <c r="L218" s="10">
        <f t="shared" si="47"/>
        <v>0</v>
      </c>
    </row>
    <row r="219" spans="1:12" x14ac:dyDescent="0.3">
      <c r="A219" s="2"/>
      <c r="B219" s="5" t="s">
        <v>42</v>
      </c>
      <c r="C219" s="1" t="s">
        <v>18</v>
      </c>
      <c r="D219" s="8">
        <f>(0.84+2.56+0.26)/100</f>
        <v>3.6600000000000001E-2</v>
      </c>
      <c r="E219" s="8">
        <f t="shared" si="63"/>
        <v>1.0714284000000001</v>
      </c>
      <c r="F219" s="10"/>
      <c r="G219" s="10">
        <f t="shared" si="44"/>
        <v>0</v>
      </c>
      <c r="H219" s="10"/>
      <c r="I219" s="10">
        <f t="shared" si="45"/>
        <v>0</v>
      </c>
      <c r="J219" s="10"/>
      <c r="K219" s="10">
        <f t="shared" si="46"/>
        <v>0</v>
      </c>
      <c r="L219" s="10">
        <f t="shared" si="47"/>
        <v>0</v>
      </c>
    </row>
    <row r="220" spans="1:12" x14ac:dyDescent="0.3">
      <c r="A220" s="2"/>
      <c r="B220" s="5" t="s">
        <v>43</v>
      </c>
      <c r="C220" s="1" t="s">
        <v>47</v>
      </c>
      <c r="D220" s="8">
        <v>0.75</v>
      </c>
      <c r="E220" s="8">
        <f t="shared" si="63"/>
        <v>21.955500000000001</v>
      </c>
      <c r="F220" s="10"/>
      <c r="G220" s="10">
        <f t="shared" si="44"/>
        <v>0</v>
      </c>
      <c r="H220" s="10"/>
      <c r="I220" s="10">
        <f t="shared" si="45"/>
        <v>0</v>
      </c>
      <c r="J220" s="10"/>
      <c r="K220" s="10">
        <f t="shared" si="46"/>
        <v>0</v>
      </c>
      <c r="L220" s="10">
        <f t="shared" si="47"/>
        <v>0</v>
      </c>
    </row>
    <row r="221" spans="1:12" x14ac:dyDescent="0.3">
      <c r="A221" s="2"/>
      <c r="B221" s="5" t="s">
        <v>44</v>
      </c>
      <c r="C221" s="1" t="s">
        <v>47</v>
      </c>
      <c r="D221" s="8">
        <v>0.21</v>
      </c>
      <c r="E221" s="8">
        <f t="shared" si="63"/>
        <v>6.1475400000000002</v>
      </c>
      <c r="F221" s="10"/>
      <c r="G221" s="10">
        <f t="shared" si="44"/>
        <v>0</v>
      </c>
      <c r="H221" s="10"/>
      <c r="I221" s="10">
        <f t="shared" si="45"/>
        <v>0</v>
      </c>
      <c r="J221" s="10"/>
      <c r="K221" s="10">
        <f t="shared" si="46"/>
        <v>0</v>
      </c>
      <c r="L221" s="10">
        <f t="shared" si="47"/>
        <v>0</v>
      </c>
    </row>
    <row r="222" spans="1:12" x14ac:dyDescent="0.3">
      <c r="A222" s="2"/>
      <c r="B222" s="5" t="s">
        <v>19</v>
      </c>
      <c r="C222" s="1" t="s">
        <v>18</v>
      </c>
      <c r="D222" s="8">
        <f>81/100</f>
        <v>0.81</v>
      </c>
      <c r="E222" s="8">
        <f t="shared" si="63"/>
        <v>23.711940000000002</v>
      </c>
      <c r="F222" s="10"/>
      <c r="G222" s="10">
        <f t="shared" si="44"/>
        <v>0</v>
      </c>
      <c r="H222" s="10"/>
      <c r="I222" s="10">
        <f t="shared" si="45"/>
        <v>0</v>
      </c>
      <c r="J222" s="10"/>
      <c r="K222" s="10">
        <f t="shared" si="46"/>
        <v>0</v>
      </c>
      <c r="L222" s="10">
        <f t="shared" si="47"/>
        <v>0</v>
      </c>
    </row>
    <row r="223" spans="1:12" x14ac:dyDescent="0.3">
      <c r="A223" s="2"/>
      <c r="B223" s="5" t="s">
        <v>45</v>
      </c>
      <c r="C223" s="1" t="s">
        <v>18</v>
      </c>
      <c r="D223" s="8">
        <f>39/100</f>
        <v>0.39</v>
      </c>
      <c r="E223" s="8">
        <f t="shared" si="63"/>
        <v>11.416860000000002</v>
      </c>
      <c r="F223" s="10"/>
      <c r="G223" s="10">
        <f t="shared" si="44"/>
        <v>0</v>
      </c>
      <c r="H223" s="10"/>
      <c r="I223" s="10">
        <f t="shared" si="45"/>
        <v>0</v>
      </c>
      <c r="J223" s="10"/>
      <c r="K223" s="10">
        <f t="shared" si="46"/>
        <v>0</v>
      </c>
      <c r="L223" s="10">
        <f t="shared" si="47"/>
        <v>0</v>
      </c>
    </row>
    <row r="224" spans="1:12" x14ac:dyDescent="0.3">
      <c r="A224" s="2"/>
      <c r="B224" s="5" t="s">
        <v>46</v>
      </c>
      <c r="C224" s="1" t="s">
        <v>18</v>
      </c>
      <c r="D224" s="8">
        <f>0.18*1.02</f>
        <v>0.18359999999999999</v>
      </c>
      <c r="E224" s="8">
        <f>E215</f>
        <v>29.274000000000001</v>
      </c>
      <c r="F224" s="10"/>
      <c r="G224" s="10">
        <f t="shared" si="44"/>
        <v>0</v>
      </c>
      <c r="H224" s="10"/>
      <c r="I224" s="10">
        <f t="shared" si="45"/>
        <v>0</v>
      </c>
      <c r="J224" s="10"/>
      <c r="K224" s="10">
        <f t="shared" si="46"/>
        <v>0</v>
      </c>
      <c r="L224" s="10">
        <f t="shared" si="47"/>
        <v>0</v>
      </c>
    </row>
    <row r="225" spans="1:12" x14ac:dyDescent="0.3">
      <c r="A225" s="2">
        <f>A213+1</f>
        <v>35</v>
      </c>
      <c r="B225" s="14" t="s">
        <v>68</v>
      </c>
      <c r="C225" s="2" t="s">
        <v>16</v>
      </c>
      <c r="D225" s="15"/>
      <c r="E225" s="15">
        <f>215-4</f>
        <v>211</v>
      </c>
      <c r="F225" s="10"/>
      <c r="G225" s="10">
        <f t="shared" si="44"/>
        <v>0</v>
      </c>
      <c r="H225" s="10"/>
      <c r="I225" s="10">
        <f t="shared" si="45"/>
        <v>0</v>
      </c>
      <c r="J225" s="10"/>
      <c r="K225" s="10">
        <f t="shared" si="46"/>
        <v>0</v>
      </c>
      <c r="L225" s="10">
        <f t="shared" si="47"/>
        <v>0</v>
      </c>
    </row>
    <row r="226" spans="1:12" x14ac:dyDescent="0.3">
      <c r="A226" s="2"/>
      <c r="B226" s="5" t="s">
        <v>13</v>
      </c>
      <c r="C226" s="1" t="s">
        <v>16</v>
      </c>
      <c r="D226" s="8">
        <v>1</v>
      </c>
      <c r="E226" s="8">
        <f>D226*E225</f>
        <v>211</v>
      </c>
      <c r="F226" s="10"/>
      <c r="G226" s="10">
        <f t="shared" si="44"/>
        <v>0</v>
      </c>
      <c r="H226" s="10"/>
      <c r="I226" s="10">
        <f t="shared" si="45"/>
        <v>0</v>
      </c>
      <c r="J226" s="10"/>
      <c r="K226" s="10">
        <f t="shared" si="46"/>
        <v>0</v>
      </c>
      <c r="L226" s="10">
        <f t="shared" si="47"/>
        <v>0</v>
      </c>
    </row>
    <row r="227" spans="1:12" x14ac:dyDescent="0.3">
      <c r="A227" s="2"/>
      <c r="B227" s="5" t="s">
        <v>37</v>
      </c>
      <c r="C227" s="1" t="s">
        <v>18</v>
      </c>
      <c r="D227" s="8">
        <f>0.18*1.02</f>
        <v>0.18359999999999999</v>
      </c>
      <c r="E227" s="8">
        <f>29.54*1.02</f>
        <v>30.130800000000001</v>
      </c>
      <c r="F227" s="10"/>
      <c r="G227" s="10">
        <f t="shared" si="44"/>
        <v>0</v>
      </c>
      <c r="H227" s="10"/>
      <c r="I227" s="10">
        <f t="shared" si="45"/>
        <v>0</v>
      </c>
      <c r="J227" s="10"/>
      <c r="K227" s="10">
        <f t="shared" si="46"/>
        <v>0</v>
      </c>
      <c r="L227" s="10">
        <f t="shared" si="47"/>
        <v>0</v>
      </c>
    </row>
    <row r="228" spans="1:12" x14ac:dyDescent="0.3">
      <c r="A228" s="2"/>
      <c r="B228" s="5" t="s">
        <v>39</v>
      </c>
      <c r="C228" s="1" t="s">
        <v>38</v>
      </c>
      <c r="D228" s="8">
        <v>1.05</v>
      </c>
      <c r="E228" s="8">
        <f>2817.1/1000*1.05</f>
        <v>2.9579550000000001</v>
      </c>
      <c r="F228" s="10"/>
      <c r="G228" s="10">
        <f t="shared" si="44"/>
        <v>0</v>
      </c>
      <c r="H228" s="10"/>
      <c r="I228" s="10">
        <f t="shared" si="45"/>
        <v>0</v>
      </c>
      <c r="J228" s="10"/>
      <c r="K228" s="10">
        <f t="shared" si="46"/>
        <v>0</v>
      </c>
      <c r="L228" s="10">
        <f t="shared" si="47"/>
        <v>0</v>
      </c>
    </row>
    <row r="229" spans="1:12" x14ac:dyDescent="0.3">
      <c r="A229" s="2"/>
      <c r="B229" s="5" t="s">
        <v>40</v>
      </c>
      <c r="C229" s="1" t="s">
        <v>38</v>
      </c>
      <c r="D229" s="8">
        <v>1.05</v>
      </c>
      <c r="E229" s="8">
        <f>31.3/1000*1.05</f>
        <v>3.2865000000000005E-2</v>
      </c>
      <c r="F229" s="10"/>
      <c r="G229" s="10">
        <f t="shared" si="44"/>
        <v>0</v>
      </c>
      <c r="H229" s="10"/>
      <c r="I229" s="10">
        <f t="shared" si="45"/>
        <v>0</v>
      </c>
      <c r="J229" s="10"/>
      <c r="K229" s="10">
        <f t="shared" si="46"/>
        <v>0</v>
      </c>
      <c r="L229" s="10">
        <f t="shared" si="47"/>
        <v>0</v>
      </c>
    </row>
    <row r="230" spans="1:12" x14ac:dyDescent="0.3">
      <c r="A230" s="2"/>
      <c r="B230" s="5" t="s">
        <v>41</v>
      </c>
      <c r="C230" s="1" t="s">
        <v>16</v>
      </c>
      <c r="D230" s="8">
        <f>137/100</f>
        <v>1.37</v>
      </c>
      <c r="E230" s="8">
        <f t="shared" ref="E230:E235" si="64">D230*E$227</f>
        <v>41.279196000000006</v>
      </c>
      <c r="F230" s="10"/>
      <c r="G230" s="10">
        <f t="shared" si="44"/>
        <v>0</v>
      </c>
      <c r="H230" s="10"/>
      <c r="I230" s="10">
        <f t="shared" si="45"/>
        <v>0</v>
      </c>
      <c r="J230" s="10"/>
      <c r="K230" s="10">
        <f t="shared" si="46"/>
        <v>0</v>
      </c>
      <c r="L230" s="10">
        <f t="shared" si="47"/>
        <v>0</v>
      </c>
    </row>
    <row r="231" spans="1:12" x14ac:dyDescent="0.3">
      <c r="A231" s="2"/>
      <c r="B231" s="5" t="s">
        <v>42</v>
      </c>
      <c r="C231" s="1" t="s">
        <v>18</v>
      </c>
      <c r="D231" s="8">
        <f>(0.84+2.56+0.26)/100</f>
        <v>3.6600000000000001E-2</v>
      </c>
      <c r="E231" s="8">
        <f t="shared" si="64"/>
        <v>1.10278728</v>
      </c>
      <c r="F231" s="10"/>
      <c r="G231" s="10">
        <f t="shared" si="44"/>
        <v>0</v>
      </c>
      <c r="H231" s="10"/>
      <c r="I231" s="10">
        <f t="shared" si="45"/>
        <v>0</v>
      </c>
      <c r="J231" s="10"/>
      <c r="K231" s="10">
        <f t="shared" si="46"/>
        <v>0</v>
      </c>
      <c r="L231" s="10">
        <f t="shared" si="47"/>
        <v>0</v>
      </c>
    </row>
    <row r="232" spans="1:12" x14ac:dyDescent="0.3">
      <c r="A232" s="2"/>
      <c r="B232" s="5" t="s">
        <v>43</v>
      </c>
      <c r="C232" s="1" t="s">
        <v>47</v>
      </c>
      <c r="D232" s="8">
        <v>0.75</v>
      </c>
      <c r="E232" s="8">
        <f t="shared" si="64"/>
        <v>22.598100000000002</v>
      </c>
      <c r="F232" s="10"/>
      <c r="G232" s="10">
        <f t="shared" si="44"/>
        <v>0</v>
      </c>
      <c r="H232" s="10"/>
      <c r="I232" s="10">
        <f t="shared" si="45"/>
        <v>0</v>
      </c>
      <c r="J232" s="10"/>
      <c r="K232" s="10">
        <f t="shared" si="46"/>
        <v>0</v>
      </c>
      <c r="L232" s="10">
        <f t="shared" si="47"/>
        <v>0</v>
      </c>
    </row>
    <row r="233" spans="1:12" x14ac:dyDescent="0.3">
      <c r="A233" s="2"/>
      <c r="B233" s="5" t="s">
        <v>44</v>
      </c>
      <c r="C233" s="1" t="s">
        <v>47</v>
      </c>
      <c r="D233" s="8">
        <v>0.21</v>
      </c>
      <c r="E233" s="8">
        <f t="shared" si="64"/>
        <v>6.3274679999999996</v>
      </c>
      <c r="F233" s="10"/>
      <c r="G233" s="10">
        <f t="shared" si="44"/>
        <v>0</v>
      </c>
      <c r="H233" s="10"/>
      <c r="I233" s="10">
        <f t="shared" si="45"/>
        <v>0</v>
      </c>
      <c r="J233" s="10"/>
      <c r="K233" s="10">
        <f t="shared" si="46"/>
        <v>0</v>
      </c>
      <c r="L233" s="10">
        <f t="shared" si="47"/>
        <v>0</v>
      </c>
    </row>
    <row r="234" spans="1:12" x14ac:dyDescent="0.3">
      <c r="A234" s="2"/>
      <c r="B234" s="5" t="s">
        <v>19</v>
      </c>
      <c r="C234" s="1" t="s">
        <v>18</v>
      </c>
      <c r="D234" s="8">
        <f>81/100</f>
        <v>0.81</v>
      </c>
      <c r="E234" s="8">
        <f t="shared" si="64"/>
        <v>24.405948000000002</v>
      </c>
      <c r="F234" s="10"/>
      <c r="G234" s="10">
        <f t="shared" si="44"/>
        <v>0</v>
      </c>
      <c r="H234" s="10"/>
      <c r="I234" s="10">
        <f t="shared" si="45"/>
        <v>0</v>
      </c>
      <c r="J234" s="10"/>
      <c r="K234" s="10">
        <f t="shared" si="46"/>
        <v>0</v>
      </c>
      <c r="L234" s="10">
        <f t="shared" si="47"/>
        <v>0</v>
      </c>
    </row>
    <row r="235" spans="1:12" x14ac:dyDescent="0.3">
      <c r="A235" s="2"/>
      <c r="B235" s="5" t="s">
        <v>45</v>
      </c>
      <c r="C235" s="1" t="s">
        <v>18</v>
      </c>
      <c r="D235" s="8">
        <f>39/100</f>
        <v>0.39</v>
      </c>
      <c r="E235" s="8">
        <f t="shared" si="64"/>
        <v>11.751012000000001</v>
      </c>
      <c r="F235" s="10"/>
      <c r="G235" s="10">
        <f t="shared" si="44"/>
        <v>0</v>
      </c>
      <c r="H235" s="10"/>
      <c r="I235" s="10">
        <f t="shared" si="45"/>
        <v>0</v>
      </c>
      <c r="J235" s="10"/>
      <c r="K235" s="10">
        <f t="shared" si="46"/>
        <v>0</v>
      </c>
      <c r="L235" s="10">
        <f t="shared" si="47"/>
        <v>0</v>
      </c>
    </row>
    <row r="236" spans="1:12" x14ac:dyDescent="0.3">
      <c r="A236" s="2"/>
      <c r="B236" s="5" t="s">
        <v>46</v>
      </c>
      <c r="C236" s="1" t="s">
        <v>18</v>
      </c>
      <c r="D236" s="8">
        <f>0.18*1.02</f>
        <v>0.18359999999999999</v>
      </c>
      <c r="E236" s="8">
        <f>E227</f>
        <v>30.130800000000001</v>
      </c>
      <c r="F236" s="10"/>
      <c r="G236" s="10">
        <f t="shared" si="44"/>
        <v>0</v>
      </c>
      <c r="H236" s="10"/>
      <c r="I236" s="10">
        <f t="shared" si="45"/>
        <v>0</v>
      </c>
      <c r="J236" s="10"/>
      <c r="K236" s="10">
        <f t="shared" si="46"/>
        <v>0</v>
      </c>
      <c r="L236" s="10">
        <f t="shared" si="47"/>
        <v>0</v>
      </c>
    </row>
    <row r="237" spans="1:12" ht="28.8" x14ac:dyDescent="0.3">
      <c r="A237" s="2">
        <f>A225+1</f>
        <v>36</v>
      </c>
      <c r="B237" s="14" t="s">
        <v>69</v>
      </c>
      <c r="C237" s="2" t="s">
        <v>16</v>
      </c>
      <c r="D237" s="15"/>
      <c r="E237" s="15">
        <v>300</v>
      </c>
      <c r="F237" s="10"/>
      <c r="G237" s="10">
        <f t="shared" si="44"/>
        <v>0</v>
      </c>
      <c r="H237" s="10"/>
      <c r="I237" s="10">
        <f t="shared" si="45"/>
        <v>0</v>
      </c>
      <c r="J237" s="10"/>
      <c r="K237" s="10">
        <f t="shared" si="46"/>
        <v>0</v>
      </c>
      <c r="L237" s="10">
        <f t="shared" si="47"/>
        <v>0</v>
      </c>
    </row>
    <row r="238" spans="1:12" x14ac:dyDescent="0.3">
      <c r="A238" s="2"/>
      <c r="B238" s="5" t="s">
        <v>13</v>
      </c>
      <c r="C238" s="1" t="s">
        <v>16</v>
      </c>
      <c r="D238" s="8">
        <v>1</v>
      </c>
      <c r="E238" s="8">
        <f>D238*E237</f>
        <v>300</v>
      </c>
      <c r="F238" s="10"/>
      <c r="G238" s="10">
        <f t="shared" si="44"/>
        <v>0</v>
      </c>
      <c r="H238" s="10"/>
      <c r="I238" s="10">
        <f t="shared" si="45"/>
        <v>0</v>
      </c>
      <c r="J238" s="10"/>
      <c r="K238" s="10">
        <f t="shared" si="46"/>
        <v>0</v>
      </c>
      <c r="L238" s="10">
        <f t="shared" si="47"/>
        <v>0</v>
      </c>
    </row>
    <row r="239" spans="1:12" x14ac:dyDescent="0.3">
      <c r="A239" s="2"/>
      <c r="B239" s="5" t="s">
        <v>37</v>
      </c>
      <c r="C239" s="1" t="s">
        <v>18</v>
      </c>
      <c r="D239" s="8">
        <f>0.14*1.02</f>
        <v>0.14280000000000001</v>
      </c>
      <c r="E239" s="8">
        <f>D239*E237</f>
        <v>42.84</v>
      </c>
      <c r="F239" s="10"/>
      <c r="G239" s="10">
        <f t="shared" si="44"/>
        <v>0</v>
      </c>
      <c r="H239" s="10"/>
      <c r="I239" s="10">
        <f t="shared" si="45"/>
        <v>0</v>
      </c>
      <c r="J239" s="10"/>
      <c r="K239" s="10">
        <f t="shared" si="46"/>
        <v>0</v>
      </c>
      <c r="L239" s="10">
        <f t="shared" si="47"/>
        <v>0</v>
      </c>
    </row>
    <row r="240" spans="1:12" x14ac:dyDescent="0.3">
      <c r="A240" s="2"/>
      <c r="B240" s="5" t="s">
        <v>39</v>
      </c>
      <c r="C240" s="1" t="s">
        <v>38</v>
      </c>
      <c r="D240" s="8">
        <v>1.05</v>
      </c>
      <c r="E240" s="8">
        <f>4448/1000*1.05</f>
        <v>4.6704000000000008</v>
      </c>
      <c r="F240" s="10"/>
      <c r="G240" s="10">
        <f t="shared" si="44"/>
        <v>0</v>
      </c>
      <c r="H240" s="10"/>
      <c r="I240" s="10">
        <f t="shared" si="45"/>
        <v>0</v>
      </c>
      <c r="J240" s="10"/>
      <c r="K240" s="10">
        <f t="shared" si="46"/>
        <v>0</v>
      </c>
      <c r="L240" s="10">
        <f t="shared" si="47"/>
        <v>0</v>
      </c>
    </row>
    <row r="241" spans="1:12" x14ac:dyDescent="0.3">
      <c r="A241" s="2"/>
      <c r="B241" s="5" t="s">
        <v>40</v>
      </c>
      <c r="C241" s="1" t="s">
        <v>38</v>
      </c>
      <c r="D241" s="8">
        <v>1.05</v>
      </c>
      <c r="E241" s="8">
        <f>47.1/1000*1.05</f>
        <v>4.9455000000000006E-2</v>
      </c>
      <c r="F241" s="10"/>
      <c r="G241" s="10">
        <f t="shared" si="44"/>
        <v>0</v>
      </c>
      <c r="H241" s="10"/>
      <c r="I241" s="10">
        <f t="shared" si="45"/>
        <v>0</v>
      </c>
      <c r="J241" s="10"/>
      <c r="K241" s="10">
        <f t="shared" si="46"/>
        <v>0</v>
      </c>
      <c r="L241" s="10">
        <f t="shared" si="47"/>
        <v>0</v>
      </c>
    </row>
    <row r="242" spans="1:12" x14ac:dyDescent="0.3">
      <c r="A242" s="2"/>
      <c r="B242" s="5" t="s">
        <v>70</v>
      </c>
      <c r="C242" s="1" t="s">
        <v>12</v>
      </c>
      <c r="D242" s="8">
        <v>1.05</v>
      </c>
      <c r="E242" s="8">
        <f>296.4*1.05</f>
        <v>311.21999999999997</v>
      </c>
      <c r="F242" s="10"/>
      <c r="G242" s="10">
        <f t="shared" ref="G242" si="65">F242*E242</f>
        <v>0</v>
      </c>
      <c r="H242" s="10"/>
      <c r="I242" s="10">
        <f t="shared" ref="I242" si="66">H242*E242</f>
        <v>0</v>
      </c>
      <c r="J242" s="10"/>
      <c r="K242" s="10">
        <f t="shared" ref="K242" si="67">J242*E242</f>
        <v>0</v>
      </c>
      <c r="L242" s="10">
        <f t="shared" ref="L242" si="68">K242+I242+G242</f>
        <v>0</v>
      </c>
    </row>
    <row r="243" spans="1:12" x14ac:dyDescent="0.3">
      <c r="A243" s="2"/>
      <c r="B243" s="5" t="s">
        <v>41</v>
      </c>
      <c r="C243" s="1" t="s">
        <v>16</v>
      </c>
      <c r="D243" s="8">
        <f>137/100</f>
        <v>1.37</v>
      </c>
      <c r="E243" s="8">
        <f t="shared" ref="E243:E248" si="69">D243*E$239</f>
        <v>58.69080000000001</v>
      </c>
      <c r="F243" s="10"/>
      <c r="G243" s="10">
        <f t="shared" si="44"/>
        <v>0</v>
      </c>
      <c r="H243" s="10"/>
      <c r="I243" s="10">
        <f t="shared" si="45"/>
        <v>0</v>
      </c>
      <c r="J243" s="10"/>
      <c r="K243" s="10">
        <f t="shared" si="46"/>
        <v>0</v>
      </c>
      <c r="L243" s="10">
        <f t="shared" si="47"/>
        <v>0</v>
      </c>
    </row>
    <row r="244" spans="1:12" x14ac:dyDescent="0.3">
      <c r="A244" s="2"/>
      <c r="B244" s="5" t="s">
        <v>42</v>
      </c>
      <c r="C244" s="1" t="s">
        <v>18</v>
      </c>
      <c r="D244" s="8">
        <f>(0.84+2.56+0.26)/100</f>
        <v>3.6600000000000001E-2</v>
      </c>
      <c r="E244" s="8">
        <f t="shared" si="69"/>
        <v>1.5679440000000002</v>
      </c>
      <c r="F244" s="10"/>
      <c r="G244" s="10">
        <f t="shared" si="44"/>
        <v>0</v>
      </c>
      <c r="H244" s="10"/>
      <c r="I244" s="10">
        <f t="shared" si="45"/>
        <v>0</v>
      </c>
      <c r="J244" s="10"/>
      <c r="K244" s="10">
        <f t="shared" si="46"/>
        <v>0</v>
      </c>
      <c r="L244" s="10">
        <f t="shared" si="47"/>
        <v>0</v>
      </c>
    </row>
    <row r="245" spans="1:12" x14ac:dyDescent="0.3">
      <c r="A245" s="2"/>
      <c r="B245" s="5" t="s">
        <v>43</v>
      </c>
      <c r="C245" s="1" t="s">
        <v>47</v>
      </c>
      <c r="D245" s="8">
        <v>0.75</v>
      </c>
      <c r="E245" s="8">
        <f t="shared" si="69"/>
        <v>32.130000000000003</v>
      </c>
      <c r="F245" s="10"/>
      <c r="G245" s="10">
        <f t="shared" si="44"/>
        <v>0</v>
      </c>
      <c r="H245" s="10"/>
      <c r="I245" s="10">
        <f t="shared" si="45"/>
        <v>0</v>
      </c>
      <c r="J245" s="10"/>
      <c r="K245" s="10">
        <f t="shared" si="46"/>
        <v>0</v>
      </c>
      <c r="L245" s="10">
        <f t="shared" si="47"/>
        <v>0</v>
      </c>
    </row>
    <row r="246" spans="1:12" x14ac:dyDescent="0.3">
      <c r="A246" s="2"/>
      <c r="B246" s="5" t="s">
        <v>44</v>
      </c>
      <c r="C246" s="1" t="s">
        <v>47</v>
      </c>
      <c r="D246" s="8">
        <v>0.21</v>
      </c>
      <c r="E246" s="8">
        <f t="shared" si="69"/>
        <v>8.9963999999999995</v>
      </c>
      <c r="F246" s="10"/>
      <c r="G246" s="10">
        <f t="shared" si="44"/>
        <v>0</v>
      </c>
      <c r="H246" s="10"/>
      <c r="I246" s="10">
        <f t="shared" si="45"/>
        <v>0</v>
      </c>
      <c r="J246" s="10"/>
      <c r="K246" s="10">
        <f t="shared" si="46"/>
        <v>0</v>
      </c>
      <c r="L246" s="10">
        <f t="shared" si="47"/>
        <v>0</v>
      </c>
    </row>
    <row r="247" spans="1:12" x14ac:dyDescent="0.3">
      <c r="A247" s="2"/>
      <c r="B247" s="5" t="s">
        <v>19</v>
      </c>
      <c r="C247" s="1" t="s">
        <v>18</v>
      </c>
      <c r="D247" s="8">
        <f>81/100</f>
        <v>0.81</v>
      </c>
      <c r="E247" s="8">
        <f t="shared" si="69"/>
        <v>34.700400000000002</v>
      </c>
      <c r="F247" s="10"/>
      <c r="G247" s="10">
        <f t="shared" si="44"/>
        <v>0</v>
      </c>
      <c r="H247" s="10"/>
      <c r="I247" s="10">
        <f t="shared" si="45"/>
        <v>0</v>
      </c>
      <c r="J247" s="10"/>
      <c r="K247" s="10">
        <f t="shared" si="46"/>
        <v>0</v>
      </c>
      <c r="L247" s="10">
        <f t="shared" si="47"/>
        <v>0</v>
      </c>
    </row>
    <row r="248" spans="1:12" x14ac:dyDescent="0.3">
      <c r="A248" s="2"/>
      <c r="B248" s="5" t="s">
        <v>45</v>
      </c>
      <c r="C248" s="1" t="s">
        <v>18</v>
      </c>
      <c r="D248" s="8">
        <f>39/100</f>
        <v>0.39</v>
      </c>
      <c r="E248" s="8">
        <f t="shared" si="69"/>
        <v>16.707600000000003</v>
      </c>
      <c r="F248" s="10"/>
      <c r="G248" s="10">
        <f t="shared" si="44"/>
        <v>0</v>
      </c>
      <c r="H248" s="10"/>
      <c r="I248" s="10">
        <f t="shared" si="45"/>
        <v>0</v>
      </c>
      <c r="J248" s="10"/>
      <c r="K248" s="10">
        <f t="shared" si="46"/>
        <v>0</v>
      </c>
      <c r="L248" s="10">
        <f t="shared" si="47"/>
        <v>0</v>
      </c>
    </row>
    <row r="249" spans="1:12" x14ac:dyDescent="0.3">
      <c r="A249" s="2"/>
      <c r="B249" s="5" t="s">
        <v>46</v>
      </c>
      <c r="C249" s="1" t="s">
        <v>18</v>
      </c>
      <c r="D249" s="8">
        <f>0.14*1.02</f>
        <v>0.14280000000000001</v>
      </c>
      <c r="E249" s="8">
        <f>D249*E237</f>
        <v>42.84</v>
      </c>
      <c r="F249" s="10"/>
      <c r="G249" s="10">
        <f t="shared" si="44"/>
        <v>0</v>
      </c>
      <c r="H249" s="10"/>
      <c r="I249" s="10">
        <f t="shared" si="45"/>
        <v>0</v>
      </c>
      <c r="J249" s="10"/>
      <c r="K249" s="10">
        <f t="shared" si="46"/>
        <v>0</v>
      </c>
      <c r="L249" s="10">
        <f t="shared" si="47"/>
        <v>0</v>
      </c>
    </row>
    <row r="250" spans="1:12" x14ac:dyDescent="0.3">
      <c r="A250" s="2">
        <f>A237+1</f>
        <v>37</v>
      </c>
      <c r="B250" s="14" t="s">
        <v>71</v>
      </c>
      <c r="C250" s="2" t="s">
        <v>18</v>
      </c>
      <c r="D250" s="15"/>
      <c r="E250" s="15">
        <v>62</v>
      </c>
      <c r="F250" s="10"/>
      <c r="G250" s="10">
        <f t="shared" ref="G250:G254" si="70">F250*E250</f>
        <v>0</v>
      </c>
      <c r="H250" s="10"/>
      <c r="I250" s="10">
        <f t="shared" ref="I250:I254" si="71">H250*E250</f>
        <v>0</v>
      </c>
      <c r="J250" s="10"/>
      <c r="K250" s="10">
        <f t="shared" ref="K250:K254" si="72">J250*E250</f>
        <v>0</v>
      </c>
      <c r="L250" s="10">
        <f t="shared" ref="L250:L254" si="73">K250+I250+G250</f>
        <v>0</v>
      </c>
    </row>
    <row r="251" spans="1:12" x14ac:dyDescent="0.3">
      <c r="A251" s="2"/>
      <c r="B251" s="5" t="s">
        <v>13</v>
      </c>
      <c r="C251" s="1" t="s">
        <v>18</v>
      </c>
      <c r="D251" s="8">
        <v>1</v>
      </c>
      <c r="E251" s="8">
        <f>D251*E250</f>
        <v>62</v>
      </c>
      <c r="F251" s="10"/>
      <c r="G251" s="10">
        <f t="shared" si="70"/>
        <v>0</v>
      </c>
      <c r="H251" s="10"/>
      <c r="I251" s="10">
        <f t="shared" si="71"/>
        <v>0</v>
      </c>
      <c r="J251" s="10"/>
      <c r="K251" s="10">
        <f t="shared" si="72"/>
        <v>0</v>
      </c>
      <c r="L251" s="10">
        <f t="shared" si="73"/>
        <v>0</v>
      </c>
    </row>
    <row r="252" spans="1:12" x14ac:dyDescent="0.3">
      <c r="A252" s="2"/>
      <c r="B252" s="5" t="s">
        <v>37</v>
      </c>
      <c r="C252" s="1" t="s">
        <v>18</v>
      </c>
      <c r="D252" s="8">
        <v>1.02</v>
      </c>
      <c r="E252" s="8">
        <f>D252*E250</f>
        <v>63.24</v>
      </c>
      <c r="F252" s="10"/>
      <c r="G252" s="10">
        <f t="shared" si="70"/>
        <v>0</v>
      </c>
      <c r="H252" s="10"/>
      <c r="I252" s="10">
        <f t="shared" si="71"/>
        <v>0</v>
      </c>
      <c r="J252" s="10"/>
      <c r="K252" s="10">
        <f t="shared" si="72"/>
        <v>0</v>
      </c>
      <c r="L252" s="10">
        <f t="shared" si="73"/>
        <v>0</v>
      </c>
    </row>
    <row r="253" spans="1:12" x14ac:dyDescent="0.3">
      <c r="A253" s="2"/>
      <c r="B253" s="5" t="s">
        <v>39</v>
      </c>
      <c r="C253" s="1" t="s">
        <v>38</v>
      </c>
      <c r="D253" s="8">
        <v>1.05</v>
      </c>
      <c r="E253" s="8">
        <f>5.37+2.4</f>
        <v>7.77</v>
      </c>
      <c r="F253" s="10"/>
      <c r="G253" s="10">
        <f t="shared" si="70"/>
        <v>0</v>
      </c>
      <c r="H253" s="10"/>
      <c r="I253" s="10">
        <f t="shared" si="71"/>
        <v>0</v>
      </c>
      <c r="J253" s="10"/>
      <c r="K253" s="10">
        <f t="shared" si="72"/>
        <v>0</v>
      </c>
      <c r="L253" s="10">
        <f t="shared" si="73"/>
        <v>0</v>
      </c>
    </row>
    <row r="254" spans="1:12" x14ac:dyDescent="0.3">
      <c r="A254" s="2"/>
      <c r="B254" s="5" t="s">
        <v>40</v>
      </c>
      <c r="C254" s="1" t="s">
        <v>38</v>
      </c>
      <c r="D254" s="8">
        <v>1.05</v>
      </c>
      <c r="E254" s="8">
        <v>3.01</v>
      </c>
      <c r="F254" s="10"/>
      <c r="G254" s="10">
        <f t="shared" si="70"/>
        <v>0</v>
      </c>
      <c r="H254" s="10"/>
      <c r="I254" s="10">
        <f t="shared" si="71"/>
        <v>0</v>
      </c>
      <c r="J254" s="10"/>
      <c r="K254" s="10">
        <f t="shared" si="72"/>
        <v>0</v>
      </c>
      <c r="L254" s="10">
        <f t="shared" si="73"/>
        <v>0</v>
      </c>
    </row>
    <row r="255" spans="1:12" x14ac:dyDescent="0.3">
      <c r="A255" s="2"/>
      <c r="B255" s="5" t="s">
        <v>41</v>
      </c>
      <c r="C255" s="1" t="s">
        <v>16</v>
      </c>
      <c r="D255" s="8">
        <f>242/100</f>
        <v>2.42</v>
      </c>
      <c r="E255" s="8">
        <f t="shared" ref="E255:E260" si="74">D255*E$252</f>
        <v>153.04079999999999</v>
      </c>
      <c r="F255" s="10"/>
      <c r="G255" s="10">
        <f t="shared" ref="G255:G318" si="75">F255*E255</f>
        <v>0</v>
      </c>
      <c r="H255" s="10"/>
      <c r="I255" s="10">
        <f t="shared" ref="I255:I318" si="76">H255*E255</f>
        <v>0</v>
      </c>
      <c r="J255" s="10"/>
      <c r="K255" s="10">
        <f t="shared" ref="K255:K318" si="77">J255*E255</f>
        <v>0</v>
      </c>
      <c r="L255" s="10">
        <f t="shared" ref="L255:L318" si="78">K255+I255+G255</f>
        <v>0</v>
      </c>
    </row>
    <row r="256" spans="1:12" x14ac:dyDescent="0.3">
      <c r="A256" s="2"/>
      <c r="B256" s="5" t="s">
        <v>42</v>
      </c>
      <c r="C256" s="1" t="s">
        <v>18</v>
      </c>
      <c r="D256" s="8">
        <f>(5.76+1.6)/100</f>
        <v>7.3599999999999999E-2</v>
      </c>
      <c r="E256" s="8">
        <f t="shared" si="74"/>
        <v>4.6544639999999999</v>
      </c>
      <c r="F256" s="10"/>
      <c r="G256" s="10">
        <f t="shared" si="75"/>
        <v>0</v>
      </c>
      <c r="H256" s="10"/>
      <c r="I256" s="10">
        <f t="shared" si="76"/>
        <v>0</v>
      </c>
      <c r="J256" s="10"/>
      <c r="K256" s="10">
        <f t="shared" si="77"/>
        <v>0</v>
      </c>
      <c r="L256" s="10">
        <f t="shared" si="78"/>
        <v>0</v>
      </c>
    </row>
    <row r="257" spans="1:12" x14ac:dyDescent="0.3">
      <c r="A257" s="2"/>
      <c r="B257" s="5" t="s">
        <v>43</v>
      </c>
      <c r="C257" s="1" t="s">
        <v>47</v>
      </c>
      <c r="D257" s="8">
        <v>3.54</v>
      </c>
      <c r="E257" s="8">
        <f t="shared" si="74"/>
        <v>223.86960000000002</v>
      </c>
      <c r="F257" s="10"/>
      <c r="G257" s="10">
        <f t="shared" si="75"/>
        <v>0</v>
      </c>
      <c r="H257" s="10"/>
      <c r="I257" s="10">
        <f t="shared" si="76"/>
        <v>0</v>
      </c>
      <c r="J257" s="10"/>
      <c r="K257" s="10">
        <f t="shared" si="77"/>
        <v>0</v>
      </c>
      <c r="L257" s="10">
        <f t="shared" si="78"/>
        <v>0</v>
      </c>
    </row>
    <row r="258" spans="1:12" x14ac:dyDescent="0.3">
      <c r="A258" s="2"/>
      <c r="B258" s="5" t="s">
        <v>44</v>
      </c>
      <c r="C258" s="1" t="s">
        <v>47</v>
      </c>
      <c r="D258" s="8">
        <v>0.61</v>
      </c>
      <c r="E258" s="8">
        <f t="shared" si="74"/>
        <v>38.5764</v>
      </c>
      <c r="F258" s="10"/>
      <c r="G258" s="10">
        <f t="shared" si="75"/>
        <v>0</v>
      </c>
      <c r="H258" s="10"/>
      <c r="I258" s="10">
        <f t="shared" si="76"/>
        <v>0</v>
      </c>
      <c r="J258" s="10"/>
      <c r="K258" s="10">
        <f t="shared" si="77"/>
        <v>0</v>
      </c>
      <c r="L258" s="10">
        <f t="shared" si="78"/>
        <v>0</v>
      </c>
    </row>
    <row r="259" spans="1:12" x14ac:dyDescent="0.3">
      <c r="A259" s="2"/>
      <c r="B259" s="5" t="s">
        <v>19</v>
      </c>
      <c r="C259" s="1" t="s">
        <v>18</v>
      </c>
      <c r="D259" s="8">
        <f>60/100</f>
        <v>0.6</v>
      </c>
      <c r="E259" s="8">
        <f t="shared" si="74"/>
        <v>37.944000000000003</v>
      </c>
      <c r="F259" s="10"/>
      <c r="G259" s="10">
        <f t="shared" si="75"/>
        <v>0</v>
      </c>
      <c r="H259" s="10"/>
      <c r="I259" s="10">
        <f t="shared" si="76"/>
        <v>0</v>
      </c>
      <c r="J259" s="10"/>
      <c r="K259" s="10">
        <f t="shared" si="77"/>
        <v>0</v>
      </c>
      <c r="L259" s="10">
        <f t="shared" si="78"/>
        <v>0</v>
      </c>
    </row>
    <row r="260" spans="1:12" x14ac:dyDescent="0.3">
      <c r="A260" s="2"/>
      <c r="B260" s="5" t="s">
        <v>45</v>
      </c>
      <c r="C260" s="1" t="s">
        <v>18</v>
      </c>
      <c r="D260" s="8">
        <f>321/100</f>
        <v>3.21</v>
      </c>
      <c r="E260" s="8">
        <f t="shared" si="74"/>
        <v>203.00040000000001</v>
      </c>
      <c r="F260" s="10"/>
      <c r="G260" s="10">
        <f t="shared" si="75"/>
        <v>0</v>
      </c>
      <c r="H260" s="10"/>
      <c r="I260" s="10">
        <f t="shared" si="76"/>
        <v>0</v>
      </c>
      <c r="J260" s="10"/>
      <c r="K260" s="10">
        <f t="shared" si="77"/>
        <v>0</v>
      </c>
      <c r="L260" s="10">
        <f t="shared" si="78"/>
        <v>0</v>
      </c>
    </row>
    <row r="261" spans="1:12" x14ac:dyDescent="0.3">
      <c r="A261" s="2"/>
      <c r="B261" s="5" t="s">
        <v>46</v>
      </c>
      <c r="C261" s="1" t="s">
        <v>18</v>
      </c>
      <c r="D261" s="8">
        <v>1.02</v>
      </c>
      <c r="E261" s="8">
        <f>D261*E250</f>
        <v>63.24</v>
      </c>
      <c r="F261" s="10"/>
      <c r="G261" s="10">
        <f t="shared" si="75"/>
        <v>0</v>
      </c>
      <c r="H261" s="10"/>
      <c r="I261" s="10">
        <f t="shared" si="76"/>
        <v>0</v>
      </c>
      <c r="J261" s="10"/>
      <c r="K261" s="10">
        <f t="shared" si="77"/>
        <v>0</v>
      </c>
      <c r="L261" s="10">
        <f t="shared" si="78"/>
        <v>0</v>
      </c>
    </row>
    <row r="262" spans="1:12" x14ac:dyDescent="0.3">
      <c r="A262" s="2">
        <f>A250+1</f>
        <v>38</v>
      </c>
      <c r="B262" s="14" t="s">
        <v>73</v>
      </c>
      <c r="C262" s="2" t="s">
        <v>18</v>
      </c>
      <c r="D262" s="15"/>
      <c r="E262" s="15">
        <v>72.61</v>
      </c>
      <c r="F262" s="10"/>
      <c r="G262" s="10">
        <f t="shared" si="75"/>
        <v>0</v>
      </c>
      <c r="H262" s="10"/>
      <c r="I262" s="10">
        <f t="shared" si="76"/>
        <v>0</v>
      </c>
      <c r="J262" s="10"/>
      <c r="K262" s="10">
        <f t="shared" si="77"/>
        <v>0</v>
      </c>
      <c r="L262" s="10">
        <f t="shared" si="78"/>
        <v>0</v>
      </c>
    </row>
    <row r="263" spans="1:12" x14ac:dyDescent="0.3">
      <c r="A263" s="2"/>
      <c r="B263" s="5" t="s">
        <v>13</v>
      </c>
      <c r="C263" s="1" t="s">
        <v>18</v>
      </c>
      <c r="D263" s="8">
        <v>1</v>
      </c>
      <c r="E263" s="8">
        <f>D263*E$262</f>
        <v>72.61</v>
      </c>
      <c r="F263" s="10"/>
      <c r="G263" s="10">
        <f t="shared" si="75"/>
        <v>0</v>
      </c>
      <c r="H263" s="10"/>
      <c r="I263" s="10">
        <f t="shared" si="76"/>
        <v>0</v>
      </c>
      <c r="J263" s="10"/>
      <c r="K263" s="10">
        <f t="shared" si="77"/>
        <v>0</v>
      </c>
      <c r="L263" s="10">
        <f t="shared" si="78"/>
        <v>0</v>
      </c>
    </row>
    <row r="264" spans="1:12" x14ac:dyDescent="0.3">
      <c r="A264" s="2"/>
      <c r="B264" s="5" t="s">
        <v>37</v>
      </c>
      <c r="C264" s="1" t="s">
        <v>18</v>
      </c>
      <c r="D264" s="8">
        <v>1.02</v>
      </c>
      <c r="E264" s="8">
        <f>D264*E$262</f>
        <v>74.062200000000004</v>
      </c>
      <c r="F264" s="10"/>
      <c r="G264" s="10">
        <f t="shared" si="75"/>
        <v>0</v>
      </c>
      <c r="H264" s="10"/>
      <c r="I264" s="10">
        <f t="shared" si="76"/>
        <v>0</v>
      </c>
      <c r="J264" s="10"/>
      <c r="K264" s="10">
        <f t="shared" si="77"/>
        <v>0</v>
      </c>
      <c r="L264" s="10">
        <f t="shared" si="78"/>
        <v>0</v>
      </c>
    </row>
    <row r="265" spans="1:12" x14ac:dyDescent="0.3">
      <c r="A265" s="2"/>
      <c r="B265" s="5" t="s">
        <v>39</v>
      </c>
      <c r="C265" s="1" t="s">
        <v>38</v>
      </c>
      <c r="D265" s="8">
        <v>1.05</v>
      </c>
      <c r="E265" s="8">
        <v>9.75</v>
      </c>
      <c r="F265" s="10"/>
      <c r="G265" s="10">
        <f t="shared" si="75"/>
        <v>0</v>
      </c>
      <c r="H265" s="10"/>
      <c r="I265" s="10">
        <f t="shared" si="76"/>
        <v>0</v>
      </c>
      <c r="J265" s="10"/>
      <c r="K265" s="10">
        <f t="shared" si="77"/>
        <v>0</v>
      </c>
      <c r="L265" s="10">
        <f t="shared" si="78"/>
        <v>0</v>
      </c>
    </row>
    <row r="266" spans="1:12" x14ac:dyDescent="0.3">
      <c r="A266" s="2"/>
      <c r="B266" s="5" t="s">
        <v>40</v>
      </c>
      <c r="C266" s="1" t="s">
        <v>38</v>
      </c>
      <c r="D266" s="8">
        <v>1.05</v>
      </c>
      <c r="E266" s="8">
        <v>3.52</v>
      </c>
      <c r="F266" s="10"/>
      <c r="G266" s="10">
        <f t="shared" si="75"/>
        <v>0</v>
      </c>
      <c r="H266" s="10"/>
      <c r="I266" s="10">
        <f t="shared" si="76"/>
        <v>0</v>
      </c>
      <c r="J266" s="10"/>
      <c r="K266" s="10">
        <f t="shared" si="77"/>
        <v>0</v>
      </c>
      <c r="L266" s="10">
        <f t="shared" si="78"/>
        <v>0</v>
      </c>
    </row>
    <row r="267" spans="1:12" x14ac:dyDescent="0.3">
      <c r="A267" s="2"/>
      <c r="B267" s="5" t="s">
        <v>41</v>
      </c>
      <c r="C267" s="1" t="s">
        <v>16</v>
      </c>
      <c r="D267" s="8">
        <f>246/100</f>
        <v>2.46</v>
      </c>
      <c r="E267" s="8">
        <f t="shared" ref="E267:E272" si="79">D267*E$264</f>
        <v>182.19301200000001</v>
      </c>
      <c r="F267" s="10"/>
      <c r="G267" s="10">
        <f t="shared" si="75"/>
        <v>0</v>
      </c>
      <c r="H267" s="10"/>
      <c r="I267" s="10">
        <f t="shared" si="76"/>
        <v>0</v>
      </c>
      <c r="J267" s="10"/>
      <c r="K267" s="10">
        <f t="shared" si="77"/>
        <v>0</v>
      </c>
      <c r="L267" s="10">
        <f t="shared" si="78"/>
        <v>0</v>
      </c>
    </row>
    <row r="268" spans="1:12" x14ac:dyDescent="0.3">
      <c r="A268" s="2"/>
      <c r="B268" s="5" t="s">
        <v>42</v>
      </c>
      <c r="C268" s="1" t="s">
        <v>18</v>
      </c>
      <c r="D268" s="8">
        <f>(1.6+0.7)/100</f>
        <v>2.3E-2</v>
      </c>
      <c r="E268" s="8">
        <f t="shared" si="79"/>
        <v>1.7034306000000001</v>
      </c>
      <c r="F268" s="10"/>
      <c r="G268" s="10">
        <f t="shared" si="75"/>
        <v>0</v>
      </c>
      <c r="H268" s="10"/>
      <c r="I268" s="10">
        <f t="shared" si="76"/>
        <v>0</v>
      </c>
      <c r="J268" s="10"/>
      <c r="K268" s="10">
        <f t="shared" si="77"/>
        <v>0</v>
      </c>
      <c r="L268" s="10">
        <f t="shared" si="78"/>
        <v>0</v>
      </c>
    </row>
    <row r="269" spans="1:12" x14ac:dyDescent="0.3">
      <c r="A269" s="2"/>
      <c r="B269" s="5" t="s">
        <v>43</v>
      </c>
      <c r="C269" s="1" t="s">
        <v>47</v>
      </c>
      <c r="D269" s="8">
        <v>3.66</v>
      </c>
      <c r="E269" s="8">
        <f t="shared" si="79"/>
        <v>271.06765200000001</v>
      </c>
      <c r="F269" s="10"/>
      <c r="G269" s="10">
        <f t="shared" si="75"/>
        <v>0</v>
      </c>
      <c r="H269" s="10"/>
      <c r="I269" s="10">
        <f t="shared" si="76"/>
        <v>0</v>
      </c>
      <c r="J269" s="10"/>
      <c r="K269" s="10">
        <f t="shared" si="77"/>
        <v>0</v>
      </c>
      <c r="L269" s="10">
        <f t="shared" si="78"/>
        <v>0</v>
      </c>
    </row>
    <row r="270" spans="1:12" x14ac:dyDescent="0.3">
      <c r="A270" s="2"/>
      <c r="B270" s="5" t="s">
        <v>44</v>
      </c>
      <c r="C270" s="1" t="s">
        <v>47</v>
      </c>
      <c r="D270" s="8">
        <v>0.56000000000000005</v>
      </c>
      <c r="E270" s="8">
        <f t="shared" si="79"/>
        <v>41.474832000000006</v>
      </c>
      <c r="F270" s="10"/>
      <c r="G270" s="10">
        <f t="shared" si="75"/>
        <v>0</v>
      </c>
      <c r="H270" s="10"/>
      <c r="I270" s="10">
        <f t="shared" si="76"/>
        <v>0</v>
      </c>
      <c r="J270" s="10"/>
      <c r="K270" s="10">
        <f t="shared" si="77"/>
        <v>0</v>
      </c>
      <c r="L270" s="10">
        <f t="shared" si="78"/>
        <v>0</v>
      </c>
    </row>
    <row r="271" spans="1:12" x14ac:dyDescent="0.3">
      <c r="A271" s="2"/>
      <c r="B271" s="5" t="s">
        <v>19</v>
      </c>
      <c r="C271" s="1" t="s">
        <v>18</v>
      </c>
      <c r="D271" s="8">
        <f>90/100</f>
        <v>0.9</v>
      </c>
      <c r="E271" s="8">
        <f t="shared" si="79"/>
        <v>66.65598</v>
      </c>
      <c r="F271" s="10"/>
      <c r="G271" s="10">
        <f t="shared" si="75"/>
        <v>0</v>
      </c>
      <c r="H271" s="10"/>
      <c r="I271" s="10">
        <f t="shared" si="76"/>
        <v>0</v>
      </c>
      <c r="J271" s="10"/>
      <c r="K271" s="10">
        <f t="shared" si="77"/>
        <v>0</v>
      </c>
      <c r="L271" s="10">
        <f t="shared" si="78"/>
        <v>0</v>
      </c>
    </row>
    <row r="272" spans="1:12" x14ac:dyDescent="0.3">
      <c r="A272" s="2"/>
      <c r="B272" s="5" t="s">
        <v>45</v>
      </c>
      <c r="C272" s="1" t="s">
        <v>18</v>
      </c>
      <c r="D272" s="8">
        <f>121/100</f>
        <v>1.21</v>
      </c>
      <c r="E272" s="8">
        <f t="shared" si="79"/>
        <v>89.615262000000001</v>
      </c>
      <c r="F272" s="10"/>
      <c r="G272" s="10">
        <f t="shared" si="75"/>
        <v>0</v>
      </c>
      <c r="H272" s="10"/>
      <c r="I272" s="10">
        <f t="shared" si="76"/>
        <v>0</v>
      </c>
      <c r="J272" s="10"/>
      <c r="K272" s="10">
        <f t="shared" si="77"/>
        <v>0</v>
      </c>
      <c r="L272" s="10">
        <f t="shared" si="78"/>
        <v>0</v>
      </c>
    </row>
    <row r="273" spans="1:12" x14ac:dyDescent="0.3">
      <c r="A273" s="2"/>
      <c r="B273" s="5" t="s">
        <v>46</v>
      </c>
      <c r="C273" s="1" t="s">
        <v>18</v>
      </c>
      <c r="D273" s="8">
        <f>1.02</f>
        <v>1.02</v>
      </c>
      <c r="E273" s="8">
        <f>D273*E262</f>
        <v>74.062200000000004</v>
      </c>
      <c r="F273" s="10"/>
      <c r="G273" s="10">
        <f t="shared" si="75"/>
        <v>0</v>
      </c>
      <c r="H273" s="10"/>
      <c r="I273" s="10">
        <f t="shared" si="76"/>
        <v>0</v>
      </c>
      <c r="J273" s="10"/>
      <c r="K273" s="10">
        <f t="shared" si="77"/>
        <v>0</v>
      </c>
      <c r="L273" s="10">
        <f t="shared" si="78"/>
        <v>0</v>
      </c>
    </row>
    <row r="274" spans="1:12" x14ac:dyDescent="0.3">
      <c r="A274" s="2">
        <f>A262+1</f>
        <v>39</v>
      </c>
      <c r="B274" s="14" t="s">
        <v>89</v>
      </c>
      <c r="C274" s="2" t="s">
        <v>18</v>
      </c>
      <c r="D274" s="15"/>
      <c r="E274" s="15">
        <v>3.81</v>
      </c>
      <c r="F274" s="10"/>
      <c r="G274" s="10">
        <f t="shared" si="75"/>
        <v>0</v>
      </c>
      <c r="H274" s="10"/>
      <c r="I274" s="10">
        <f t="shared" si="76"/>
        <v>0</v>
      </c>
      <c r="J274" s="10"/>
      <c r="K274" s="10">
        <f t="shared" si="77"/>
        <v>0</v>
      </c>
      <c r="L274" s="10">
        <f t="shared" si="78"/>
        <v>0</v>
      </c>
    </row>
    <row r="275" spans="1:12" x14ac:dyDescent="0.3">
      <c r="A275" s="2"/>
      <c r="B275" s="5" t="s">
        <v>13</v>
      </c>
      <c r="C275" s="1" t="s">
        <v>18</v>
      </c>
      <c r="D275" s="8">
        <v>1</v>
      </c>
      <c r="E275" s="8">
        <f>D275*E$274</f>
        <v>3.81</v>
      </c>
      <c r="F275" s="10"/>
      <c r="G275" s="10">
        <f t="shared" si="75"/>
        <v>0</v>
      </c>
      <c r="H275" s="10"/>
      <c r="I275" s="10">
        <f t="shared" si="76"/>
        <v>0</v>
      </c>
      <c r="J275" s="10"/>
      <c r="K275" s="10">
        <f t="shared" si="77"/>
        <v>0</v>
      </c>
      <c r="L275" s="10">
        <f t="shared" si="78"/>
        <v>0</v>
      </c>
    </row>
    <row r="276" spans="1:12" x14ac:dyDescent="0.3">
      <c r="A276" s="2"/>
      <c r="B276" s="5" t="s">
        <v>37</v>
      </c>
      <c r="C276" s="1" t="s">
        <v>18</v>
      </c>
      <c r="D276" s="8">
        <v>1.02</v>
      </c>
      <c r="E276" s="8">
        <f>D276*E$274</f>
        <v>3.8862000000000001</v>
      </c>
      <c r="F276" s="10"/>
      <c r="G276" s="10">
        <f t="shared" si="75"/>
        <v>0</v>
      </c>
      <c r="H276" s="10"/>
      <c r="I276" s="10">
        <f t="shared" si="76"/>
        <v>0</v>
      </c>
      <c r="J276" s="10"/>
      <c r="K276" s="10">
        <f t="shared" si="77"/>
        <v>0</v>
      </c>
      <c r="L276" s="10">
        <f t="shared" si="78"/>
        <v>0</v>
      </c>
    </row>
    <row r="277" spans="1:12" x14ac:dyDescent="0.3">
      <c r="A277" s="2"/>
      <c r="B277" s="5" t="s">
        <v>39</v>
      </c>
      <c r="C277" s="1" t="s">
        <v>38</v>
      </c>
      <c r="D277" s="8">
        <v>1.05</v>
      </c>
      <c r="E277" s="8">
        <v>0.34</v>
      </c>
      <c r="F277" s="10"/>
      <c r="G277" s="10">
        <f t="shared" si="75"/>
        <v>0</v>
      </c>
      <c r="H277" s="10"/>
      <c r="I277" s="10">
        <f t="shared" si="76"/>
        <v>0</v>
      </c>
      <c r="J277" s="10"/>
      <c r="K277" s="10">
        <f t="shared" si="77"/>
        <v>0</v>
      </c>
      <c r="L277" s="10">
        <f t="shared" si="78"/>
        <v>0</v>
      </c>
    </row>
    <row r="278" spans="1:12" x14ac:dyDescent="0.3">
      <c r="A278" s="2"/>
      <c r="B278" s="5" t="s">
        <v>40</v>
      </c>
      <c r="C278" s="1" t="s">
        <v>38</v>
      </c>
      <c r="D278" s="8">
        <v>1.05</v>
      </c>
      <c r="E278" s="8">
        <v>0.02</v>
      </c>
      <c r="F278" s="10"/>
      <c r="G278" s="10">
        <f t="shared" si="75"/>
        <v>0</v>
      </c>
      <c r="H278" s="10"/>
      <c r="I278" s="10">
        <f t="shared" si="76"/>
        <v>0</v>
      </c>
      <c r="J278" s="10"/>
      <c r="K278" s="10">
        <f t="shared" si="77"/>
        <v>0</v>
      </c>
      <c r="L278" s="10">
        <f t="shared" si="78"/>
        <v>0</v>
      </c>
    </row>
    <row r="279" spans="1:12" x14ac:dyDescent="0.3">
      <c r="A279" s="2"/>
      <c r="B279" s="5" t="s">
        <v>41</v>
      </c>
      <c r="C279" s="1" t="s">
        <v>16</v>
      </c>
      <c r="D279" s="8">
        <f>229/100</f>
        <v>2.29</v>
      </c>
      <c r="E279" s="8">
        <f t="shared" ref="E279:E284" si="80">D279*E$276</f>
        <v>8.8993979999999997</v>
      </c>
      <c r="F279" s="10"/>
      <c r="G279" s="10">
        <f t="shared" si="75"/>
        <v>0</v>
      </c>
      <c r="H279" s="10"/>
      <c r="I279" s="10">
        <f t="shared" si="76"/>
        <v>0</v>
      </c>
      <c r="J279" s="10"/>
      <c r="K279" s="10">
        <f t="shared" si="77"/>
        <v>0</v>
      </c>
      <c r="L279" s="10">
        <f t="shared" si="78"/>
        <v>0</v>
      </c>
    </row>
    <row r="280" spans="1:12" x14ac:dyDescent="0.3">
      <c r="A280" s="2"/>
      <c r="B280" s="5" t="s">
        <v>42</v>
      </c>
      <c r="C280" s="1" t="s">
        <v>18</v>
      </c>
      <c r="D280" s="8">
        <f>(1.4+4.29+0.2)/100</f>
        <v>5.8899999999999994E-2</v>
      </c>
      <c r="E280" s="8">
        <f t="shared" si="80"/>
        <v>0.22889717999999998</v>
      </c>
      <c r="F280" s="10"/>
      <c r="G280" s="10">
        <f t="shared" si="75"/>
        <v>0</v>
      </c>
      <c r="H280" s="10"/>
      <c r="I280" s="10">
        <f t="shared" si="76"/>
        <v>0</v>
      </c>
      <c r="J280" s="10"/>
      <c r="K280" s="10">
        <f t="shared" si="77"/>
        <v>0</v>
      </c>
      <c r="L280" s="10">
        <f t="shared" si="78"/>
        <v>0</v>
      </c>
    </row>
    <row r="281" spans="1:12" x14ac:dyDescent="0.3">
      <c r="A281" s="2"/>
      <c r="B281" s="5" t="s">
        <v>43</v>
      </c>
      <c r="C281" s="1" t="s">
        <v>47</v>
      </c>
      <c r="D281" s="8">
        <v>1.31</v>
      </c>
      <c r="E281" s="8">
        <f t="shared" si="80"/>
        <v>5.0909219999999999</v>
      </c>
      <c r="F281" s="10"/>
      <c r="G281" s="10">
        <f t="shared" si="75"/>
        <v>0</v>
      </c>
      <c r="H281" s="10"/>
      <c r="I281" s="10">
        <f t="shared" si="76"/>
        <v>0</v>
      </c>
      <c r="J281" s="10"/>
      <c r="K281" s="10">
        <f t="shared" si="77"/>
        <v>0</v>
      </c>
      <c r="L281" s="10">
        <f t="shared" si="78"/>
        <v>0</v>
      </c>
    </row>
    <row r="282" spans="1:12" x14ac:dyDescent="0.3">
      <c r="A282" s="2"/>
      <c r="B282" s="5" t="s">
        <v>44</v>
      </c>
      <c r="C282" s="1" t="s">
        <v>47</v>
      </c>
      <c r="D282" s="8">
        <v>0.54</v>
      </c>
      <c r="E282" s="8">
        <f t="shared" si="80"/>
        <v>2.0985480000000001</v>
      </c>
      <c r="F282" s="10"/>
      <c r="G282" s="10">
        <f t="shared" si="75"/>
        <v>0</v>
      </c>
      <c r="H282" s="10"/>
      <c r="I282" s="10">
        <f t="shared" si="76"/>
        <v>0</v>
      </c>
      <c r="J282" s="10"/>
      <c r="K282" s="10">
        <f t="shared" si="77"/>
        <v>0</v>
      </c>
      <c r="L282" s="10">
        <f t="shared" si="78"/>
        <v>0</v>
      </c>
    </row>
    <row r="283" spans="1:12" x14ac:dyDescent="0.3">
      <c r="A283" s="2"/>
      <c r="B283" s="5" t="s">
        <v>19</v>
      </c>
      <c r="C283" s="1" t="s">
        <v>18</v>
      </c>
      <c r="D283" s="8">
        <f>93/100</f>
        <v>0.93</v>
      </c>
      <c r="E283" s="8">
        <f t="shared" si="80"/>
        <v>3.6141660000000004</v>
      </c>
      <c r="F283" s="10"/>
      <c r="G283" s="10">
        <f t="shared" si="75"/>
        <v>0</v>
      </c>
      <c r="H283" s="10"/>
      <c r="I283" s="10">
        <f t="shared" si="76"/>
        <v>0</v>
      </c>
      <c r="J283" s="10"/>
      <c r="K283" s="10">
        <f t="shared" si="77"/>
        <v>0</v>
      </c>
      <c r="L283" s="10">
        <f t="shared" si="78"/>
        <v>0</v>
      </c>
    </row>
    <row r="284" spans="1:12" x14ac:dyDescent="0.3">
      <c r="A284" s="2"/>
      <c r="B284" s="5" t="s">
        <v>45</v>
      </c>
      <c r="C284" s="1" t="s">
        <v>18</v>
      </c>
      <c r="D284" s="8">
        <f>128/100</f>
        <v>1.28</v>
      </c>
      <c r="E284" s="8">
        <f t="shared" si="80"/>
        <v>4.9743360000000001</v>
      </c>
      <c r="F284" s="10"/>
      <c r="G284" s="10">
        <f t="shared" si="75"/>
        <v>0</v>
      </c>
      <c r="H284" s="10"/>
      <c r="I284" s="10">
        <f t="shared" si="76"/>
        <v>0</v>
      </c>
      <c r="J284" s="10"/>
      <c r="K284" s="10">
        <f t="shared" si="77"/>
        <v>0</v>
      </c>
      <c r="L284" s="10">
        <f t="shared" si="78"/>
        <v>0</v>
      </c>
    </row>
    <row r="285" spans="1:12" x14ac:dyDescent="0.3">
      <c r="A285" s="2"/>
      <c r="B285" s="5" t="s">
        <v>46</v>
      </c>
      <c r="C285" s="1" t="s">
        <v>18</v>
      </c>
      <c r="D285" s="8">
        <v>1.02</v>
      </c>
      <c r="E285" s="8">
        <f>D285*E274</f>
        <v>3.8862000000000001</v>
      </c>
      <c r="F285" s="10"/>
      <c r="G285" s="10">
        <f t="shared" si="75"/>
        <v>0</v>
      </c>
      <c r="H285" s="10"/>
      <c r="I285" s="10">
        <f t="shared" si="76"/>
        <v>0</v>
      </c>
      <c r="J285" s="10"/>
      <c r="K285" s="10">
        <f t="shared" si="77"/>
        <v>0</v>
      </c>
      <c r="L285" s="10">
        <f t="shared" si="78"/>
        <v>0</v>
      </c>
    </row>
    <row r="286" spans="1:12" x14ac:dyDescent="0.3">
      <c r="A286" s="2">
        <f>A274+1</f>
        <v>40</v>
      </c>
      <c r="B286" s="14" t="s">
        <v>90</v>
      </c>
      <c r="C286" s="2" t="s">
        <v>16</v>
      </c>
      <c r="D286" s="15"/>
      <c r="E286" s="15">
        <f>4.2*2.92*6</f>
        <v>73.584000000000003</v>
      </c>
      <c r="F286" s="10"/>
      <c r="G286" s="10">
        <f t="shared" si="75"/>
        <v>0</v>
      </c>
      <c r="H286" s="10"/>
      <c r="I286" s="10">
        <f t="shared" si="76"/>
        <v>0</v>
      </c>
      <c r="J286" s="10"/>
      <c r="K286" s="10">
        <f t="shared" si="77"/>
        <v>0</v>
      </c>
      <c r="L286" s="10">
        <f t="shared" si="78"/>
        <v>0</v>
      </c>
    </row>
    <row r="287" spans="1:12" x14ac:dyDescent="0.3">
      <c r="A287" s="2"/>
      <c r="B287" s="5" t="s">
        <v>13</v>
      </c>
      <c r="C287" s="1" t="s">
        <v>16</v>
      </c>
      <c r="D287" s="8">
        <v>1</v>
      </c>
      <c r="E287" s="8">
        <f>D287*E286</f>
        <v>73.584000000000003</v>
      </c>
      <c r="F287" s="10"/>
      <c r="G287" s="10">
        <f t="shared" si="75"/>
        <v>0</v>
      </c>
      <c r="H287" s="10"/>
      <c r="I287" s="10">
        <f t="shared" si="76"/>
        <v>0</v>
      </c>
      <c r="J287" s="10"/>
      <c r="K287" s="10">
        <f t="shared" si="77"/>
        <v>0</v>
      </c>
      <c r="L287" s="10">
        <f t="shared" si="78"/>
        <v>0</v>
      </c>
    </row>
    <row r="288" spans="1:12" x14ac:dyDescent="0.3">
      <c r="A288" s="2"/>
      <c r="B288" s="5" t="s">
        <v>37</v>
      </c>
      <c r="C288" s="1" t="s">
        <v>18</v>
      </c>
      <c r="D288" s="8">
        <f>0.2*1.02</f>
        <v>0.20400000000000001</v>
      </c>
      <c r="E288" s="8">
        <f>D288*E286</f>
        <v>15.011136000000002</v>
      </c>
      <c r="F288" s="10"/>
      <c r="G288" s="10">
        <f t="shared" si="75"/>
        <v>0</v>
      </c>
      <c r="H288" s="10"/>
      <c r="I288" s="10">
        <f t="shared" si="76"/>
        <v>0</v>
      </c>
      <c r="J288" s="10"/>
      <c r="K288" s="10">
        <f t="shared" si="77"/>
        <v>0</v>
      </c>
      <c r="L288" s="10">
        <f t="shared" si="78"/>
        <v>0</v>
      </c>
    </row>
    <row r="289" spans="1:12" x14ac:dyDescent="0.3">
      <c r="A289" s="2"/>
      <c r="B289" s="5" t="s">
        <v>39</v>
      </c>
      <c r="C289" s="1" t="s">
        <v>38</v>
      </c>
      <c r="D289" s="8">
        <v>1.05</v>
      </c>
      <c r="E289" s="8">
        <f>E286*8.88*1.1/1000*1.07*2</f>
        <v>1.5381646156800006</v>
      </c>
      <c r="F289" s="10"/>
      <c r="G289" s="10">
        <f t="shared" si="75"/>
        <v>0</v>
      </c>
      <c r="H289" s="10"/>
      <c r="I289" s="10">
        <f t="shared" si="76"/>
        <v>0</v>
      </c>
      <c r="J289" s="10"/>
      <c r="K289" s="10">
        <f t="shared" si="77"/>
        <v>0</v>
      </c>
      <c r="L289" s="10">
        <f t="shared" si="78"/>
        <v>0</v>
      </c>
    </row>
    <row r="290" spans="1:12" x14ac:dyDescent="0.3">
      <c r="A290" s="2"/>
      <c r="B290" s="5" t="s">
        <v>40</v>
      </c>
      <c r="C290" s="1" t="s">
        <v>38</v>
      </c>
      <c r="D290" s="8">
        <v>1.05</v>
      </c>
      <c r="E290" s="8">
        <f>E289*0.1</f>
        <v>0.15381646156800008</v>
      </c>
      <c r="F290" s="10"/>
      <c r="G290" s="10">
        <f t="shared" si="75"/>
        <v>0</v>
      </c>
      <c r="H290" s="10"/>
      <c r="I290" s="10">
        <f t="shared" si="76"/>
        <v>0</v>
      </c>
      <c r="J290" s="10"/>
      <c r="K290" s="10">
        <f t="shared" si="77"/>
        <v>0</v>
      </c>
      <c r="L290" s="10">
        <f t="shared" si="78"/>
        <v>0</v>
      </c>
    </row>
    <row r="291" spans="1:12" x14ac:dyDescent="0.3">
      <c r="A291" s="2"/>
      <c r="B291" s="5" t="s">
        <v>41</v>
      </c>
      <c r="C291" s="1" t="s">
        <v>16</v>
      </c>
      <c r="D291" s="8">
        <f>7.54/100</f>
        <v>7.5399999999999995E-2</v>
      </c>
      <c r="E291" s="8">
        <f t="shared" ref="E291:E296" si="81">D291*E$288</f>
        <v>1.1318396544</v>
      </c>
      <c r="F291" s="10"/>
      <c r="G291" s="10">
        <f t="shared" si="75"/>
        <v>0</v>
      </c>
      <c r="H291" s="10"/>
      <c r="I291" s="10">
        <f t="shared" si="76"/>
        <v>0</v>
      </c>
      <c r="J291" s="10"/>
      <c r="K291" s="10">
        <f t="shared" si="77"/>
        <v>0</v>
      </c>
      <c r="L291" s="10">
        <f t="shared" si="78"/>
        <v>0</v>
      </c>
    </row>
    <row r="292" spans="1:12" x14ac:dyDescent="0.3">
      <c r="A292" s="2"/>
      <c r="B292" s="5" t="s">
        <v>42</v>
      </c>
      <c r="C292" s="1" t="s">
        <v>18</v>
      </c>
      <c r="D292" s="16">
        <f>0.08/100</f>
        <v>8.0000000000000004E-4</v>
      </c>
      <c r="E292" s="16">
        <f t="shared" si="81"/>
        <v>1.2008908800000002E-2</v>
      </c>
      <c r="F292" s="10"/>
      <c r="G292" s="10">
        <f t="shared" si="75"/>
        <v>0</v>
      </c>
      <c r="H292" s="10"/>
      <c r="I292" s="10">
        <f t="shared" si="76"/>
        <v>0</v>
      </c>
      <c r="J292" s="10"/>
      <c r="K292" s="10">
        <f t="shared" si="77"/>
        <v>0</v>
      </c>
      <c r="L292" s="10">
        <f t="shared" si="78"/>
        <v>0</v>
      </c>
    </row>
    <row r="293" spans="1:12" x14ac:dyDescent="0.3">
      <c r="A293" s="2"/>
      <c r="B293" s="5" t="s">
        <v>43</v>
      </c>
      <c r="C293" s="1" t="s">
        <v>47</v>
      </c>
      <c r="D293" s="8">
        <v>3.2000000000000001E-2</v>
      </c>
      <c r="E293" s="8">
        <f t="shared" si="81"/>
        <v>0.4803563520000001</v>
      </c>
      <c r="F293" s="10"/>
      <c r="G293" s="10">
        <f t="shared" si="75"/>
        <v>0</v>
      </c>
      <c r="H293" s="10"/>
      <c r="I293" s="10">
        <f t="shared" si="76"/>
        <v>0</v>
      </c>
      <c r="J293" s="10"/>
      <c r="K293" s="10">
        <f t="shared" si="77"/>
        <v>0</v>
      </c>
      <c r="L293" s="10">
        <f t="shared" si="78"/>
        <v>0</v>
      </c>
    </row>
    <row r="294" spans="1:12" x14ac:dyDescent="0.3">
      <c r="A294" s="2"/>
      <c r="B294" s="5" t="s">
        <v>44</v>
      </c>
      <c r="C294" s="1" t="s">
        <v>47</v>
      </c>
      <c r="D294" s="8">
        <v>0.21</v>
      </c>
      <c r="E294" s="8">
        <f t="shared" si="81"/>
        <v>3.1523385600000005</v>
      </c>
      <c r="F294" s="10"/>
      <c r="G294" s="10">
        <f t="shared" si="75"/>
        <v>0</v>
      </c>
      <c r="H294" s="10"/>
      <c r="I294" s="10">
        <f t="shared" si="76"/>
        <v>0</v>
      </c>
      <c r="J294" s="10"/>
      <c r="K294" s="10">
        <f t="shared" si="77"/>
        <v>0</v>
      </c>
      <c r="L294" s="10">
        <f t="shared" si="78"/>
        <v>0</v>
      </c>
    </row>
    <row r="295" spans="1:12" x14ac:dyDescent="0.3">
      <c r="A295" s="2"/>
      <c r="B295" s="5" t="s">
        <v>19</v>
      </c>
      <c r="C295" s="1" t="s">
        <v>18</v>
      </c>
      <c r="D295" s="8">
        <f>7/100</f>
        <v>7.0000000000000007E-2</v>
      </c>
      <c r="E295" s="8">
        <f t="shared" si="81"/>
        <v>1.0507795200000003</v>
      </c>
      <c r="F295" s="10"/>
      <c r="G295" s="10">
        <f t="shared" si="75"/>
        <v>0</v>
      </c>
      <c r="H295" s="10"/>
      <c r="I295" s="10">
        <f t="shared" si="76"/>
        <v>0</v>
      </c>
      <c r="J295" s="10"/>
      <c r="K295" s="10">
        <f t="shared" si="77"/>
        <v>0</v>
      </c>
      <c r="L295" s="10">
        <f t="shared" si="78"/>
        <v>0</v>
      </c>
    </row>
    <row r="296" spans="1:12" x14ac:dyDescent="0.3">
      <c r="A296" s="2"/>
      <c r="B296" s="5" t="s">
        <v>45</v>
      </c>
      <c r="C296" s="1" t="s">
        <v>18</v>
      </c>
      <c r="D296" s="8">
        <f>77/100</f>
        <v>0.77</v>
      </c>
      <c r="E296" s="8">
        <f t="shared" si="81"/>
        <v>11.558574720000003</v>
      </c>
      <c r="F296" s="10"/>
      <c r="G296" s="10">
        <f t="shared" si="75"/>
        <v>0</v>
      </c>
      <c r="H296" s="10"/>
      <c r="I296" s="10">
        <f t="shared" si="76"/>
        <v>0</v>
      </c>
      <c r="J296" s="10"/>
      <c r="K296" s="10">
        <f t="shared" si="77"/>
        <v>0</v>
      </c>
      <c r="L296" s="10">
        <f t="shared" si="78"/>
        <v>0</v>
      </c>
    </row>
    <row r="297" spans="1:12" x14ac:dyDescent="0.3">
      <c r="A297" s="2">
        <f>A286+1</f>
        <v>41</v>
      </c>
      <c r="B297" s="14" t="s">
        <v>91</v>
      </c>
      <c r="C297" s="2" t="s">
        <v>16</v>
      </c>
      <c r="D297" s="15"/>
      <c r="E297" s="15">
        <f>(2.72+2.72+4.2)*0.96*6</f>
        <v>55.526400000000002</v>
      </c>
      <c r="F297" s="10"/>
      <c r="G297" s="10">
        <f t="shared" si="75"/>
        <v>0</v>
      </c>
      <c r="H297" s="10"/>
      <c r="I297" s="10">
        <f t="shared" si="76"/>
        <v>0</v>
      </c>
      <c r="J297" s="10"/>
      <c r="K297" s="10">
        <f t="shared" si="77"/>
        <v>0</v>
      </c>
      <c r="L297" s="10">
        <f t="shared" si="78"/>
        <v>0</v>
      </c>
    </row>
    <row r="298" spans="1:12" x14ac:dyDescent="0.3">
      <c r="A298" s="2"/>
      <c r="B298" s="5" t="s">
        <v>13</v>
      </c>
      <c r="C298" s="1" t="s">
        <v>16</v>
      </c>
      <c r="D298" s="8">
        <v>1</v>
      </c>
      <c r="E298" s="8">
        <f>D298*E297</f>
        <v>55.526400000000002</v>
      </c>
      <c r="F298" s="10"/>
      <c r="G298" s="10">
        <f t="shared" si="75"/>
        <v>0</v>
      </c>
      <c r="H298" s="10"/>
      <c r="I298" s="10">
        <f t="shared" si="76"/>
        <v>0</v>
      </c>
      <c r="J298" s="10"/>
      <c r="K298" s="10">
        <f t="shared" si="77"/>
        <v>0</v>
      </c>
      <c r="L298" s="10">
        <f t="shared" si="78"/>
        <v>0</v>
      </c>
    </row>
    <row r="299" spans="1:12" x14ac:dyDescent="0.3">
      <c r="A299" s="2"/>
      <c r="B299" s="5" t="s">
        <v>37</v>
      </c>
      <c r="C299" s="1" t="s">
        <v>18</v>
      </c>
      <c r="D299" s="8">
        <f>0.2*1.02</f>
        <v>0.20400000000000001</v>
      </c>
      <c r="E299" s="8">
        <f>D299*E297</f>
        <v>11.327385600000001</v>
      </c>
      <c r="F299" s="10"/>
      <c r="G299" s="10">
        <f t="shared" si="75"/>
        <v>0</v>
      </c>
      <c r="H299" s="10"/>
      <c r="I299" s="10">
        <f t="shared" si="76"/>
        <v>0</v>
      </c>
      <c r="J299" s="10"/>
      <c r="K299" s="10">
        <f t="shared" si="77"/>
        <v>0</v>
      </c>
      <c r="L299" s="10">
        <f t="shared" si="78"/>
        <v>0</v>
      </c>
    </row>
    <row r="300" spans="1:12" x14ac:dyDescent="0.3">
      <c r="A300" s="2"/>
      <c r="B300" s="5" t="s">
        <v>39</v>
      </c>
      <c r="C300" s="1" t="s">
        <v>38</v>
      </c>
      <c r="D300" s="8">
        <v>1.05</v>
      </c>
      <c r="E300" s="8">
        <f>E297*8.88*1.15/1000*1.07*2</f>
        <v>1.213456177152</v>
      </c>
      <c r="F300" s="10"/>
      <c r="G300" s="10">
        <f t="shared" si="75"/>
        <v>0</v>
      </c>
      <c r="H300" s="10"/>
      <c r="I300" s="10">
        <f t="shared" si="76"/>
        <v>0</v>
      </c>
      <c r="J300" s="10"/>
      <c r="K300" s="10">
        <f t="shared" si="77"/>
        <v>0</v>
      </c>
      <c r="L300" s="10">
        <f t="shared" si="78"/>
        <v>0</v>
      </c>
    </row>
    <row r="301" spans="1:12" x14ac:dyDescent="0.3">
      <c r="A301" s="2"/>
      <c r="B301" s="5" t="s">
        <v>40</v>
      </c>
      <c r="C301" s="1" t="s">
        <v>38</v>
      </c>
      <c r="D301" s="8">
        <v>1.05</v>
      </c>
      <c r="E301" s="8">
        <f>E300*0.15</f>
        <v>0.18201842657280001</v>
      </c>
      <c r="F301" s="10"/>
      <c r="G301" s="10">
        <f t="shared" si="75"/>
        <v>0</v>
      </c>
      <c r="H301" s="10"/>
      <c r="I301" s="10">
        <f t="shared" si="76"/>
        <v>0</v>
      </c>
      <c r="J301" s="10"/>
      <c r="K301" s="10">
        <f t="shared" si="77"/>
        <v>0</v>
      </c>
      <c r="L301" s="10">
        <f t="shared" si="78"/>
        <v>0</v>
      </c>
    </row>
    <row r="302" spans="1:12" x14ac:dyDescent="0.3">
      <c r="A302" s="2"/>
      <c r="B302" s="5" t="s">
        <v>41</v>
      </c>
      <c r="C302" s="1" t="s">
        <v>16</v>
      </c>
      <c r="D302" s="8">
        <f>264/100</f>
        <v>2.64</v>
      </c>
      <c r="E302" s="8">
        <f t="shared" ref="E302:E307" si="82">D302*E$299</f>
        <v>29.904297984000006</v>
      </c>
      <c r="F302" s="10"/>
      <c r="G302" s="10">
        <f t="shared" si="75"/>
        <v>0</v>
      </c>
      <c r="H302" s="10"/>
      <c r="I302" s="10">
        <f t="shared" si="76"/>
        <v>0</v>
      </c>
      <c r="J302" s="10"/>
      <c r="K302" s="10">
        <f t="shared" si="77"/>
        <v>0</v>
      </c>
      <c r="L302" s="10">
        <f t="shared" si="78"/>
        <v>0</v>
      </c>
    </row>
    <row r="303" spans="1:12" x14ac:dyDescent="0.3">
      <c r="A303" s="2"/>
      <c r="B303" s="5" t="s">
        <v>42</v>
      </c>
      <c r="C303" s="1" t="s">
        <v>18</v>
      </c>
      <c r="D303" s="16">
        <f>(0.49+5.49)/100</f>
        <v>5.9800000000000006E-2</v>
      </c>
      <c r="E303" s="8">
        <f t="shared" si="82"/>
        <v>0.67737765888000012</v>
      </c>
      <c r="F303" s="10"/>
      <c r="G303" s="10">
        <f t="shared" si="75"/>
        <v>0</v>
      </c>
      <c r="H303" s="10"/>
      <c r="I303" s="10">
        <f t="shared" si="76"/>
        <v>0</v>
      </c>
      <c r="J303" s="10"/>
      <c r="K303" s="10">
        <f t="shared" si="77"/>
        <v>0</v>
      </c>
      <c r="L303" s="10">
        <f t="shared" si="78"/>
        <v>0</v>
      </c>
    </row>
    <row r="304" spans="1:12" x14ac:dyDescent="0.3">
      <c r="A304" s="2"/>
      <c r="B304" s="5" t="s">
        <v>43</v>
      </c>
      <c r="C304" s="1" t="s">
        <v>47</v>
      </c>
      <c r="D304" s="8">
        <v>1.68</v>
      </c>
      <c r="E304" s="8">
        <f t="shared" si="82"/>
        <v>19.030007808000001</v>
      </c>
      <c r="F304" s="10"/>
      <c r="G304" s="10">
        <f t="shared" si="75"/>
        <v>0</v>
      </c>
      <c r="H304" s="10"/>
      <c r="I304" s="10">
        <f t="shared" si="76"/>
        <v>0</v>
      </c>
      <c r="J304" s="10"/>
      <c r="K304" s="10">
        <f t="shared" si="77"/>
        <v>0</v>
      </c>
      <c r="L304" s="10">
        <f t="shared" si="78"/>
        <v>0</v>
      </c>
    </row>
    <row r="305" spans="1:12" x14ac:dyDescent="0.3">
      <c r="A305" s="2"/>
      <c r="B305" s="5" t="s">
        <v>44</v>
      </c>
      <c r="C305" s="1" t="s">
        <v>47</v>
      </c>
      <c r="D305" s="8">
        <v>1.05</v>
      </c>
      <c r="E305" s="8">
        <f t="shared" si="82"/>
        <v>11.893754880000001</v>
      </c>
      <c r="F305" s="10"/>
      <c r="G305" s="10">
        <f t="shared" si="75"/>
        <v>0</v>
      </c>
      <c r="H305" s="10"/>
      <c r="I305" s="10">
        <f t="shared" si="76"/>
        <v>0</v>
      </c>
      <c r="J305" s="10"/>
      <c r="K305" s="10">
        <f t="shared" si="77"/>
        <v>0</v>
      </c>
      <c r="L305" s="10">
        <f t="shared" si="78"/>
        <v>0</v>
      </c>
    </row>
    <row r="306" spans="1:12" x14ac:dyDescent="0.3">
      <c r="A306" s="2"/>
      <c r="B306" s="5" t="s">
        <v>19</v>
      </c>
      <c r="C306" s="1" t="s">
        <v>18</v>
      </c>
      <c r="D306" s="8">
        <f>49/100</f>
        <v>0.49</v>
      </c>
      <c r="E306" s="8">
        <f t="shared" si="82"/>
        <v>5.5504189440000005</v>
      </c>
      <c r="F306" s="10"/>
      <c r="G306" s="10">
        <f t="shared" si="75"/>
        <v>0</v>
      </c>
      <c r="H306" s="10"/>
      <c r="I306" s="10">
        <f t="shared" si="76"/>
        <v>0</v>
      </c>
      <c r="J306" s="10"/>
      <c r="K306" s="10">
        <f t="shared" si="77"/>
        <v>0</v>
      </c>
      <c r="L306" s="10">
        <f t="shared" si="78"/>
        <v>0</v>
      </c>
    </row>
    <row r="307" spans="1:12" x14ac:dyDescent="0.3">
      <c r="A307" s="2"/>
      <c r="B307" s="5" t="s">
        <v>45</v>
      </c>
      <c r="C307" s="1" t="s">
        <v>18</v>
      </c>
      <c r="D307" s="8">
        <f>143/100</f>
        <v>1.43</v>
      </c>
      <c r="E307" s="8">
        <f t="shared" si="82"/>
        <v>16.198161408000001</v>
      </c>
      <c r="F307" s="10"/>
      <c r="G307" s="10">
        <f t="shared" si="75"/>
        <v>0</v>
      </c>
      <c r="H307" s="10"/>
      <c r="I307" s="10">
        <f t="shared" si="76"/>
        <v>0</v>
      </c>
      <c r="J307" s="10"/>
      <c r="K307" s="10">
        <f t="shared" si="77"/>
        <v>0</v>
      </c>
      <c r="L307" s="10">
        <f t="shared" si="78"/>
        <v>0</v>
      </c>
    </row>
    <row r="308" spans="1:12" x14ac:dyDescent="0.3">
      <c r="A308" s="2"/>
      <c r="B308" s="5" t="s">
        <v>46</v>
      </c>
      <c r="C308" s="1" t="s">
        <v>18</v>
      </c>
      <c r="D308" s="8">
        <f>0.2*1.02</f>
        <v>0.20400000000000001</v>
      </c>
      <c r="E308" s="8">
        <f>D308*E297</f>
        <v>11.327385600000001</v>
      </c>
      <c r="F308" s="10"/>
      <c r="G308" s="10">
        <f t="shared" si="75"/>
        <v>0</v>
      </c>
      <c r="H308" s="10"/>
      <c r="I308" s="10">
        <f t="shared" si="76"/>
        <v>0</v>
      </c>
      <c r="J308" s="10"/>
      <c r="K308" s="10">
        <f t="shared" si="77"/>
        <v>0</v>
      </c>
      <c r="L308" s="10">
        <f t="shared" si="78"/>
        <v>0</v>
      </c>
    </row>
    <row r="309" spans="1:12" x14ac:dyDescent="0.3">
      <c r="A309" s="2">
        <f>A297+1</f>
        <v>42</v>
      </c>
      <c r="B309" s="14" t="s">
        <v>92</v>
      </c>
      <c r="C309" s="2" t="s">
        <v>12</v>
      </c>
      <c r="D309" s="15"/>
      <c r="E309" s="15">
        <f>(2.52+2.52+3.8)*6</f>
        <v>53.04</v>
      </c>
      <c r="F309" s="10"/>
      <c r="G309" s="10">
        <f t="shared" si="75"/>
        <v>0</v>
      </c>
      <c r="H309" s="10"/>
      <c r="I309" s="10">
        <f t="shared" si="76"/>
        <v>0</v>
      </c>
      <c r="J309" s="10"/>
      <c r="K309" s="10">
        <f t="shared" si="77"/>
        <v>0</v>
      </c>
      <c r="L309" s="10">
        <f t="shared" si="78"/>
        <v>0</v>
      </c>
    </row>
    <row r="310" spans="1:12" x14ac:dyDescent="0.3">
      <c r="A310" s="2"/>
      <c r="B310" s="5" t="s">
        <v>13</v>
      </c>
      <c r="C310" s="1" t="s">
        <v>12</v>
      </c>
      <c r="D310" s="8">
        <v>1</v>
      </c>
      <c r="E310" s="8">
        <f>D310*E$309</f>
        <v>53.04</v>
      </c>
      <c r="F310" s="10"/>
      <c r="G310" s="10">
        <f t="shared" si="75"/>
        <v>0</v>
      </c>
      <c r="H310" s="10"/>
      <c r="I310" s="10">
        <f t="shared" si="76"/>
        <v>0</v>
      </c>
      <c r="J310" s="10"/>
      <c r="K310" s="10">
        <f t="shared" si="77"/>
        <v>0</v>
      </c>
      <c r="L310" s="10">
        <f t="shared" si="78"/>
        <v>0</v>
      </c>
    </row>
    <row r="311" spans="1:12" x14ac:dyDescent="0.3">
      <c r="A311" s="2"/>
      <c r="B311" s="5" t="s">
        <v>93</v>
      </c>
      <c r="C311" s="1" t="s">
        <v>12</v>
      </c>
      <c r="D311" s="8">
        <v>1.05</v>
      </c>
      <c r="E311" s="8">
        <f>D311*E$309</f>
        <v>55.692</v>
      </c>
      <c r="F311" s="10"/>
      <c r="G311" s="10">
        <f t="shared" si="75"/>
        <v>0</v>
      </c>
      <c r="H311" s="10"/>
      <c r="I311" s="10">
        <f t="shared" si="76"/>
        <v>0</v>
      </c>
      <c r="J311" s="10"/>
      <c r="K311" s="10">
        <f t="shared" si="77"/>
        <v>0</v>
      </c>
      <c r="L311" s="10">
        <f t="shared" si="78"/>
        <v>0</v>
      </c>
    </row>
    <row r="312" spans="1:12" x14ac:dyDescent="0.3">
      <c r="A312" s="2"/>
      <c r="B312" s="5" t="s">
        <v>87</v>
      </c>
      <c r="C312" s="1" t="s">
        <v>16</v>
      </c>
      <c r="D312" s="8">
        <v>0.05</v>
      </c>
      <c r="E312" s="8">
        <f>D312*E$309</f>
        <v>2.6520000000000001</v>
      </c>
      <c r="F312" s="10"/>
      <c r="G312" s="10">
        <f t="shared" si="75"/>
        <v>0</v>
      </c>
      <c r="H312" s="10"/>
      <c r="I312" s="10">
        <f t="shared" si="76"/>
        <v>0</v>
      </c>
      <c r="J312" s="10"/>
      <c r="K312" s="10">
        <f t="shared" si="77"/>
        <v>0</v>
      </c>
      <c r="L312" s="10">
        <f t="shared" si="78"/>
        <v>0</v>
      </c>
    </row>
    <row r="313" spans="1:12" x14ac:dyDescent="0.3">
      <c r="A313" s="2"/>
      <c r="B313" s="5" t="s">
        <v>19</v>
      </c>
      <c r="C313" s="1" t="s">
        <v>12</v>
      </c>
      <c r="D313" s="8">
        <v>1</v>
      </c>
      <c r="E313" s="8">
        <f>D313*E$309</f>
        <v>53.04</v>
      </c>
      <c r="F313" s="10"/>
      <c r="G313" s="10">
        <f t="shared" si="75"/>
        <v>0</v>
      </c>
      <c r="H313" s="10"/>
      <c r="I313" s="10">
        <f t="shared" si="76"/>
        <v>0</v>
      </c>
      <c r="J313" s="10"/>
      <c r="K313" s="10">
        <f t="shared" si="77"/>
        <v>0</v>
      </c>
      <c r="L313" s="10">
        <f t="shared" si="78"/>
        <v>0</v>
      </c>
    </row>
    <row r="314" spans="1:12" x14ac:dyDescent="0.3">
      <c r="A314" s="2">
        <f>A309+1</f>
        <v>43</v>
      </c>
      <c r="B314" s="14" t="s">
        <v>94</v>
      </c>
      <c r="C314" s="2" t="s">
        <v>16</v>
      </c>
      <c r="D314" s="15"/>
      <c r="E314" s="15">
        <f>30*2</f>
        <v>60</v>
      </c>
      <c r="F314" s="10"/>
      <c r="G314" s="10">
        <f t="shared" si="75"/>
        <v>0</v>
      </c>
      <c r="H314" s="10"/>
      <c r="I314" s="10">
        <f t="shared" si="76"/>
        <v>0</v>
      </c>
      <c r="J314" s="10"/>
      <c r="K314" s="10">
        <f t="shared" si="77"/>
        <v>0</v>
      </c>
      <c r="L314" s="10">
        <f t="shared" si="78"/>
        <v>0</v>
      </c>
    </row>
    <row r="315" spans="1:12" x14ac:dyDescent="0.3">
      <c r="A315" s="2"/>
      <c r="B315" s="5" t="s">
        <v>13</v>
      </c>
      <c r="C315" s="1" t="s">
        <v>16</v>
      </c>
      <c r="D315" s="8">
        <v>1</v>
      </c>
      <c r="E315" s="8">
        <f>D315*E314</f>
        <v>60</v>
      </c>
      <c r="F315" s="10"/>
      <c r="G315" s="10">
        <f t="shared" si="75"/>
        <v>0</v>
      </c>
      <c r="H315" s="10"/>
      <c r="I315" s="10">
        <f t="shared" si="76"/>
        <v>0</v>
      </c>
      <c r="J315" s="10"/>
      <c r="K315" s="10">
        <f t="shared" si="77"/>
        <v>0</v>
      </c>
      <c r="L315" s="10">
        <f t="shared" si="78"/>
        <v>0</v>
      </c>
    </row>
    <row r="316" spans="1:12" x14ac:dyDescent="0.3">
      <c r="A316" s="2"/>
      <c r="B316" s="5" t="s">
        <v>37</v>
      </c>
      <c r="C316" s="1" t="s">
        <v>18</v>
      </c>
      <c r="D316" s="8">
        <f>0.3*1.02</f>
        <v>0.30599999999999999</v>
      </c>
      <c r="E316" s="8">
        <f>D316*E314</f>
        <v>18.36</v>
      </c>
      <c r="F316" s="10"/>
      <c r="G316" s="10">
        <f t="shared" si="75"/>
        <v>0</v>
      </c>
      <c r="H316" s="10"/>
      <c r="I316" s="10">
        <f t="shared" si="76"/>
        <v>0</v>
      </c>
      <c r="J316" s="10"/>
      <c r="K316" s="10">
        <f t="shared" si="77"/>
        <v>0</v>
      </c>
      <c r="L316" s="10">
        <f t="shared" si="78"/>
        <v>0</v>
      </c>
    </row>
    <row r="317" spans="1:12" x14ac:dyDescent="0.3">
      <c r="A317" s="2"/>
      <c r="B317" s="5" t="s">
        <v>39</v>
      </c>
      <c r="C317" s="1" t="s">
        <v>38</v>
      </c>
      <c r="D317" s="8">
        <v>1.05</v>
      </c>
      <c r="E317" s="8">
        <f>E314*8.88*1.1/1000*1.07*2</f>
        <v>1.2542112000000003</v>
      </c>
      <c r="F317" s="10"/>
      <c r="G317" s="10">
        <f t="shared" si="75"/>
        <v>0</v>
      </c>
      <c r="H317" s="10"/>
      <c r="I317" s="10">
        <f t="shared" si="76"/>
        <v>0</v>
      </c>
      <c r="J317" s="10"/>
      <c r="K317" s="10">
        <f t="shared" si="77"/>
        <v>0</v>
      </c>
      <c r="L317" s="10">
        <f t="shared" si="78"/>
        <v>0</v>
      </c>
    </row>
    <row r="318" spans="1:12" x14ac:dyDescent="0.3">
      <c r="A318" s="2"/>
      <c r="B318" s="5" t="s">
        <v>40</v>
      </c>
      <c r="C318" s="1" t="s">
        <v>38</v>
      </c>
      <c r="D318" s="8">
        <v>1.05</v>
      </c>
      <c r="E318" s="8">
        <f>E317*0.1</f>
        <v>0.12542112000000002</v>
      </c>
      <c r="F318" s="10"/>
      <c r="G318" s="10">
        <f t="shared" si="75"/>
        <v>0</v>
      </c>
      <c r="H318" s="10"/>
      <c r="I318" s="10">
        <f t="shared" si="76"/>
        <v>0</v>
      </c>
      <c r="J318" s="10"/>
      <c r="K318" s="10">
        <f t="shared" si="77"/>
        <v>0</v>
      </c>
      <c r="L318" s="10">
        <f t="shared" si="78"/>
        <v>0</v>
      </c>
    </row>
    <row r="319" spans="1:12" x14ac:dyDescent="0.3">
      <c r="A319" s="2"/>
      <c r="B319" s="5" t="s">
        <v>41</v>
      </c>
      <c r="C319" s="1" t="s">
        <v>16</v>
      </c>
      <c r="D319" s="8">
        <f>7.54/100</f>
        <v>7.5399999999999995E-2</v>
      </c>
      <c r="E319" s="8">
        <f t="shared" ref="E319:E325" si="83">D319*E$316</f>
        <v>1.3843439999999998</v>
      </c>
      <c r="F319" s="10"/>
      <c r="G319" s="10">
        <f t="shared" ref="G319:G349" si="84">F319*E319</f>
        <v>0</v>
      </c>
      <c r="H319" s="10"/>
      <c r="I319" s="10">
        <f t="shared" ref="I319:I349" si="85">H319*E319</f>
        <v>0</v>
      </c>
      <c r="J319" s="10"/>
      <c r="K319" s="10">
        <f t="shared" ref="K319:K349" si="86">J319*E319</f>
        <v>0</v>
      </c>
      <c r="L319" s="10">
        <f t="shared" ref="L319:L349" si="87">K319+I319+G319</f>
        <v>0</v>
      </c>
    </row>
    <row r="320" spans="1:12" x14ac:dyDescent="0.3">
      <c r="A320" s="2"/>
      <c r="B320" s="5" t="s">
        <v>42</v>
      </c>
      <c r="C320" s="1" t="s">
        <v>18</v>
      </c>
      <c r="D320" s="16">
        <f>0.08/100</f>
        <v>8.0000000000000004E-4</v>
      </c>
      <c r="E320" s="8">
        <f t="shared" si="83"/>
        <v>1.4688E-2</v>
      </c>
      <c r="F320" s="10"/>
      <c r="G320" s="10">
        <f t="shared" si="84"/>
        <v>0</v>
      </c>
      <c r="H320" s="10"/>
      <c r="I320" s="10">
        <f t="shared" si="85"/>
        <v>0</v>
      </c>
      <c r="J320" s="10"/>
      <c r="K320" s="10">
        <f t="shared" si="86"/>
        <v>0</v>
      </c>
      <c r="L320" s="10">
        <f t="shared" si="87"/>
        <v>0</v>
      </c>
    </row>
    <row r="321" spans="1:12" x14ac:dyDescent="0.3">
      <c r="A321" s="2"/>
      <c r="B321" s="5" t="s">
        <v>43</v>
      </c>
      <c r="C321" s="1" t="s">
        <v>47</v>
      </c>
      <c r="D321" s="8">
        <v>3.2000000000000001E-2</v>
      </c>
      <c r="E321" s="8">
        <f t="shared" si="83"/>
        <v>0.58752000000000004</v>
      </c>
      <c r="F321" s="10"/>
      <c r="G321" s="10">
        <f t="shared" si="84"/>
        <v>0</v>
      </c>
      <c r="H321" s="10"/>
      <c r="I321" s="10">
        <f t="shared" si="85"/>
        <v>0</v>
      </c>
      <c r="J321" s="10"/>
      <c r="K321" s="10">
        <f t="shared" si="86"/>
        <v>0</v>
      </c>
      <c r="L321" s="10">
        <f t="shared" si="87"/>
        <v>0</v>
      </c>
    </row>
    <row r="322" spans="1:12" x14ac:dyDescent="0.3">
      <c r="A322" s="2"/>
      <c r="B322" s="5" t="s">
        <v>44</v>
      </c>
      <c r="C322" s="1" t="s">
        <v>47</v>
      </c>
      <c r="D322" s="8">
        <v>0.21</v>
      </c>
      <c r="E322" s="8">
        <f t="shared" si="83"/>
        <v>3.8555999999999999</v>
      </c>
      <c r="F322" s="10"/>
      <c r="G322" s="10">
        <f t="shared" si="84"/>
        <v>0</v>
      </c>
      <c r="H322" s="10"/>
      <c r="I322" s="10">
        <f t="shared" si="85"/>
        <v>0</v>
      </c>
      <c r="J322" s="10"/>
      <c r="K322" s="10">
        <f t="shared" si="86"/>
        <v>0</v>
      </c>
      <c r="L322" s="10">
        <f t="shared" si="87"/>
        <v>0</v>
      </c>
    </row>
    <row r="323" spans="1:12" x14ac:dyDescent="0.3">
      <c r="A323" s="2"/>
      <c r="B323" s="5" t="s">
        <v>19</v>
      </c>
      <c r="C323" s="1" t="s">
        <v>18</v>
      </c>
      <c r="D323" s="8">
        <f>7/100</f>
        <v>7.0000000000000007E-2</v>
      </c>
      <c r="E323" s="8">
        <f t="shared" si="83"/>
        <v>1.2852000000000001</v>
      </c>
      <c r="F323" s="10"/>
      <c r="G323" s="10">
        <f t="shared" si="84"/>
        <v>0</v>
      </c>
      <c r="H323" s="10"/>
      <c r="I323" s="10">
        <f t="shared" si="85"/>
        <v>0</v>
      </c>
      <c r="J323" s="10"/>
      <c r="K323" s="10">
        <f t="shared" si="86"/>
        <v>0</v>
      </c>
      <c r="L323" s="10">
        <f t="shared" si="87"/>
        <v>0</v>
      </c>
    </row>
    <row r="324" spans="1:12" x14ac:dyDescent="0.3">
      <c r="A324" s="2"/>
      <c r="B324" s="5" t="s">
        <v>45</v>
      </c>
      <c r="C324" s="1" t="s">
        <v>18</v>
      </c>
      <c r="D324" s="8">
        <f>77/100</f>
        <v>0.77</v>
      </c>
      <c r="E324" s="8">
        <f t="shared" si="83"/>
        <v>14.1372</v>
      </c>
      <c r="F324" s="10"/>
      <c r="G324" s="10">
        <f t="shared" si="84"/>
        <v>0</v>
      </c>
      <c r="H324" s="10"/>
      <c r="I324" s="10">
        <f t="shared" si="85"/>
        <v>0</v>
      </c>
      <c r="J324" s="10"/>
      <c r="K324" s="10">
        <f t="shared" si="86"/>
        <v>0</v>
      </c>
      <c r="L324" s="10">
        <f t="shared" si="87"/>
        <v>0</v>
      </c>
    </row>
    <row r="325" spans="1:12" x14ac:dyDescent="0.3">
      <c r="A325" s="2"/>
      <c r="B325" s="5" t="s">
        <v>46</v>
      </c>
      <c r="C325" s="1" t="s">
        <v>18</v>
      </c>
      <c r="D325" s="8">
        <f>0.3*1.02</f>
        <v>0.30599999999999999</v>
      </c>
      <c r="E325" s="8">
        <f t="shared" si="83"/>
        <v>5.6181599999999996</v>
      </c>
      <c r="F325" s="10"/>
      <c r="G325" s="10">
        <f t="shared" si="84"/>
        <v>0</v>
      </c>
      <c r="H325" s="10"/>
      <c r="I325" s="10">
        <f t="shared" si="85"/>
        <v>0</v>
      </c>
      <c r="J325" s="10"/>
      <c r="K325" s="10">
        <f t="shared" si="86"/>
        <v>0</v>
      </c>
      <c r="L325" s="10">
        <f t="shared" si="87"/>
        <v>0</v>
      </c>
    </row>
    <row r="326" spans="1:12" x14ac:dyDescent="0.3">
      <c r="A326" s="2">
        <f>A314+1</f>
        <v>44</v>
      </c>
      <c r="B326" s="14" t="s">
        <v>95</v>
      </c>
      <c r="C326" s="2" t="s">
        <v>16</v>
      </c>
      <c r="D326" s="15"/>
      <c r="E326" s="15">
        <f>30*3.8</f>
        <v>114</v>
      </c>
      <c r="F326" s="10"/>
      <c r="G326" s="10">
        <f t="shared" si="84"/>
        <v>0</v>
      </c>
      <c r="H326" s="10"/>
      <c r="I326" s="10">
        <f t="shared" si="85"/>
        <v>0</v>
      </c>
      <c r="J326" s="10"/>
      <c r="K326" s="10">
        <f t="shared" si="86"/>
        <v>0</v>
      </c>
      <c r="L326" s="10">
        <f t="shared" si="87"/>
        <v>0</v>
      </c>
    </row>
    <row r="327" spans="1:12" x14ac:dyDescent="0.3">
      <c r="A327" s="2"/>
      <c r="B327" s="5" t="s">
        <v>13</v>
      </c>
      <c r="C327" s="1" t="s">
        <v>16</v>
      </c>
      <c r="D327" s="8">
        <v>1</v>
      </c>
      <c r="E327" s="8">
        <f>D327*E326</f>
        <v>114</v>
      </c>
      <c r="F327" s="10"/>
      <c r="G327" s="10">
        <f t="shared" si="84"/>
        <v>0</v>
      </c>
      <c r="H327" s="10"/>
      <c r="I327" s="10">
        <f t="shared" si="85"/>
        <v>0</v>
      </c>
      <c r="J327" s="10"/>
      <c r="K327" s="10">
        <f t="shared" si="86"/>
        <v>0</v>
      </c>
      <c r="L327" s="10">
        <f t="shared" si="87"/>
        <v>0</v>
      </c>
    </row>
    <row r="328" spans="1:12" x14ac:dyDescent="0.3">
      <c r="A328" s="2"/>
      <c r="B328" s="5" t="s">
        <v>37</v>
      </c>
      <c r="C328" s="1" t="s">
        <v>18</v>
      </c>
      <c r="D328" s="8">
        <f>0.2*1.02</f>
        <v>0.20400000000000001</v>
      </c>
      <c r="E328" s="8">
        <f>D328*E326</f>
        <v>23.256</v>
      </c>
      <c r="F328" s="10"/>
      <c r="G328" s="10">
        <f t="shared" si="84"/>
        <v>0</v>
      </c>
      <c r="H328" s="10"/>
      <c r="I328" s="10">
        <f t="shared" si="85"/>
        <v>0</v>
      </c>
      <c r="J328" s="10"/>
      <c r="K328" s="10">
        <f t="shared" si="86"/>
        <v>0</v>
      </c>
      <c r="L328" s="10">
        <f t="shared" si="87"/>
        <v>0</v>
      </c>
    </row>
    <row r="329" spans="1:12" x14ac:dyDescent="0.3">
      <c r="A329" s="2"/>
      <c r="B329" s="5" t="s">
        <v>39</v>
      </c>
      <c r="C329" s="1" t="s">
        <v>38</v>
      </c>
      <c r="D329" s="8">
        <v>1.05</v>
      </c>
      <c r="E329" s="8">
        <f>E326*8.88*1.15/1000*1.07*2</f>
        <v>2.4913195199999998</v>
      </c>
      <c r="F329" s="10"/>
      <c r="G329" s="10">
        <f t="shared" si="84"/>
        <v>0</v>
      </c>
      <c r="H329" s="10"/>
      <c r="I329" s="10">
        <f t="shared" si="85"/>
        <v>0</v>
      </c>
      <c r="J329" s="10"/>
      <c r="K329" s="10">
        <f t="shared" si="86"/>
        <v>0</v>
      </c>
      <c r="L329" s="10">
        <f t="shared" si="87"/>
        <v>0</v>
      </c>
    </row>
    <row r="330" spans="1:12" x14ac:dyDescent="0.3">
      <c r="A330" s="2"/>
      <c r="B330" s="5" t="s">
        <v>40</v>
      </c>
      <c r="C330" s="1" t="s">
        <v>38</v>
      </c>
      <c r="D330" s="8">
        <v>1.05</v>
      </c>
      <c r="E330" s="8">
        <f>E329*0.15</f>
        <v>0.37369792799999996</v>
      </c>
      <c r="F330" s="10"/>
      <c r="G330" s="10">
        <f t="shared" si="84"/>
        <v>0</v>
      </c>
      <c r="H330" s="10"/>
      <c r="I330" s="10">
        <f t="shared" si="85"/>
        <v>0</v>
      </c>
      <c r="J330" s="10"/>
      <c r="K330" s="10">
        <f t="shared" si="86"/>
        <v>0</v>
      </c>
      <c r="L330" s="10">
        <f t="shared" si="87"/>
        <v>0</v>
      </c>
    </row>
    <row r="331" spans="1:12" x14ac:dyDescent="0.3">
      <c r="A331" s="2"/>
      <c r="B331" s="5" t="s">
        <v>41</v>
      </c>
      <c r="C331" s="1" t="s">
        <v>16</v>
      </c>
      <c r="D331" s="8">
        <f>264/100</f>
        <v>2.64</v>
      </c>
      <c r="E331" s="8">
        <f t="shared" ref="E331:E336" si="88">D331*E$328</f>
        <v>61.395840000000007</v>
      </c>
      <c r="F331" s="10"/>
      <c r="G331" s="10">
        <f t="shared" si="84"/>
        <v>0</v>
      </c>
      <c r="H331" s="10"/>
      <c r="I331" s="10">
        <f t="shared" si="85"/>
        <v>0</v>
      </c>
      <c r="J331" s="10"/>
      <c r="K331" s="10">
        <f t="shared" si="86"/>
        <v>0</v>
      </c>
      <c r="L331" s="10">
        <f t="shared" si="87"/>
        <v>0</v>
      </c>
    </row>
    <row r="332" spans="1:12" x14ac:dyDescent="0.3">
      <c r="A332" s="2"/>
      <c r="B332" s="5" t="s">
        <v>42</v>
      </c>
      <c r="C332" s="1" t="s">
        <v>18</v>
      </c>
      <c r="D332" s="16">
        <f>(0.49+5.49)/100</f>
        <v>5.9800000000000006E-2</v>
      </c>
      <c r="E332" s="8">
        <f t="shared" si="88"/>
        <v>1.3907088000000001</v>
      </c>
      <c r="F332" s="10"/>
      <c r="G332" s="10">
        <f t="shared" si="84"/>
        <v>0</v>
      </c>
      <c r="H332" s="10"/>
      <c r="I332" s="10">
        <f t="shared" si="85"/>
        <v>0</v>
      </c>
      <c r="J332" s="10"/>
      <c r="K332" s="10">
        <f t="shared" si="86"/>
        <v>0</v>
      </c>
      <c r="L332" s="10">
        <f t="shared" si="87"/>
        <v>0</v>
      </c>
    </row>
    <row r="333" spans="1:12" x14ac:dyDescent="0.3">
      <c r="A333" s="2"/>
      <c r="B333" s="5" t="s">
        <v>43</v>
      </c>
      <c r="C333" s="1" t="s">
        <v>47</v>
      </c>
      <c r="D333" s="8">
        <v>1.68</v>
      </c>
      <c r="E333" s="8">
        <f t="shared" si="88"/>
        <v>39.070079999999997</v>
      </c>
      <c r="F333" s="10"/>
      <c r="G333" s="10">
        <f t="shared" si="84"/>
        <v>0</v>
      </c>
      <c r="H333" s="10"/>
      <c r="I333" s="10">
        <f t="shared" si="85"/>
        <v>0</v>
      </c>
      <c r="J333" s="10"/>
      <c r="K333" s="10">
        <f t="shared" si="86"/>
        <v>0</v>
      </c>
      <c r="L333" s="10">
        <f t="shared" si="87"/>
        <v>0</v>
      </c>
    </row>
    <row r="334" spans="1:12" x14ac:dyDescent="0.3">
      <c r="A334" s="2"/>
      <c r="B334" s="5" t="s">
        <v>44</v>
      </c>
      <c r="C334" s="1" t="s">
        <v>47</v>
      </c>
      <c r="D334" s="8">
        <v>1.05</v>
      </c>
      <c r="E334" s="8">
        <f t="shared" si="88"/>
        <v>24.418800000000001</v>
      </c>
      <c r="F334" s="10"/>
      <c r="G334" s="10">
        <f t="shared" si="84"/>
        <v>0</v>
      </c>
      <c r="H334" s="10"/>
      <c r="I334" s="10">
        <f t="shared" si="85"/>
        <v>0</v>
      </c>
      <c r="J334" s="10"/>
      <c r="K334" s="10">
        <f t="shared" si="86"/>
        <v>0</v>
      </c>
      <c r="L334" s="10">
        <f t="shared" si="87"/>
        <v>0</v>
      </c>
    </row>
    <row r="335" spans="1:12" x14ac:dyDescent="0.3">
      <c r="A335" s="2"/>
      <c r="B335" s="5" t="s">
        <v>19</v>
      </c>
      <c r="C335" s="1" t="s">
        <v>18</v>
      </c>
      <c r="D335" s="8">
        <f>49/100</f>
        <v>0.49</v>
      </c>
      <c r="E335" s="8">
        <f t="shared" si="88"/>
        <v>11.395440000000001</v>
      </c>
      <c r="F335" s="10"/>
      <c r="G335" s="10">
        <f t="shared" si="84"/>
        <v>0</v>
      </c>
      <c r="H335" s="10"/>
      <c r="I335" s="10">
        <f t="shared" si="85"/>
        <v>0</v>
      </c>
      <c r="J335" s="10"/>
      <c r="K335" s="10">
        <f t="shared" si="86"/>
        <v>0</v>
      </c>
      <c r="L335" s="10">
        <f t="shared" si="87"/>
        <v>0</v>
      </c>
    </row>
    <row r="336" spans="1:12" x14ac:dyDescent="0.3">
      <c r="A336" s="2"/>
      <c r="B336" s="5" t="s">
        <v>45</v>
      </c>
      <c r="C336" s="1" t="s">
        <v>18</v>
      </c>
      <c r="D336" s="8">
        <f>143/100</f>
        <v>1.43</v>
      </c>
      <c r="E336" s="8">
        <f t="shared" si="88"/>
        <v>33.256079999999997</v>
      </c>
      <c r="F336" s="10"/>
      <c r="G336" s="10">
        <f t="shared" si="84"/>
        <v>0</v>
      </c>
      <c r="H336" s="10"/>
      <c r="I336" s="10">
        <f t="shared" si="85"/>
        <v>0</v>
      </c>
      <c r="J336" s="10"/>
      <c r="K336" s="10">
        <f t="shared" si="86"/>
        <v>0</v>
      </c>
      <c r="L336" s="10">
        <f t="shared" si="87"/>
        <v>0</v>
      </c>
    </row>
    <row r="337" spans="1:18" x14ac:dyDescent="0.3">
      <c r="A337" s="2"/>
      <c r="B337" s="5" t="s">
        <v>46</v>
      </c>
      <c r="C337" s="1" t="s">
        <v>18</v>
      </c>
      <c r="D337" s="8">
        <f>0.2*1.02</f>
        <v>0.20400000000000001</v>
      </c>
      <c r="E337" s="8">
        <f>D337*E326</f>
        <v>23.256</v>
      </c>
      <c r="F337" s="10"/>
      <c r="G337" s="10">
        <f t="shared" si="84"/>
        <v>0</v>
      </c>
      <c r="H337" s="10"/>
      <c r="I337" s="10">
        <f t="shared" si="85"/>
        <v>0</v>
      </c>
      <c r="J337" s="10"/>
      <c r="K337" s="10">
        <f t="shared" si="86"/>
        <v>0</v>
      </c>
      <c r="L337" s="10">
        <f t="shared" si="87"/>
        <v>0</v>
      </c>
    </row>
    <row r="338" spans="1:18" x14ac:dyDescent="0.3">
      <c r="A338" s="2">
        <f>A326+1</f>
        <v>45</v>
      </c>
      <c r="B338" s="14" t="s">
        <v>96</v>
      </c>
      <c r="C338" s="2" t="s">
        <v>16</v>
      </c>
      <c r="D338" s="15"/>
      <c r="E338" s="15">
        <f>95*1.5</f>
        <v>142.5</v>
      </c>
      <c r="F338" s="10"/>
      <c r="G338" s="10">
        <f t="shared" si="84"/>
        <v>0</v>
      </c>
      <c r="H338" s="10"/>
      <c r="I338" s="10">
        <f t="shared" si="85"/>
        <v>0</v>
      </c>
      <c r="J338" s="10"/>
      <c r="K338" s="10">
        <f t="shared" si="86"/>
        <v>0</v>
      </c>
      <c r="L338" s="10">
        <f t="shared" si="87"/>
        <v>0</v>
      </c>
    </row>
    <row r="339" spans="1:18" x14ac:dyDescent="0.3">
      <c r="A339" s="2"/>
      <c r="B339" s="5" t="s">
        <v>13</v>
      </c>
      <c r="C339" s="1" t="s">
        <v>16</v>
      </c>
      <c r="D339" s="8">
        <v>1</v>
      </c>
      <c r="E339" s="8">
        <f>D339*E338</f>
        <v>142.5</v>
      </c>
      <c r="F339" s="10"/>
      <c r="G339" s="10">
        <f t="shared" si="84"/>
        <v>0</v>
      </c>
      <c r="H339" s="10"/>
      <c r="I339" s="10">
        <f t="shared" si="85"/>
        <v>0</v>
      </c>
      <c r="J339" s="10"/>
      <c r="K339" s="10">
        <f t="shared" si="86"/>
        <v>0</v>
      </c>
      <c r="L339" s="10">
        <f t="shared" si="87"/>
        <v>0</v>
      </c>
    </row>
    <row r="340" spans="1:18" x14ac:dyDescent="0.3">
      <c r="A340" s="2"/>
      <c r="B340" s="5" t="s">
        <v>37</v>
      </c>
      <c r="C340" s="1" t="s">
        <v>18</v>
      </c>
      <c r="D340" s="8">
        <f>0.3*1.02</f>
        <v>0.30599999999999999</v>
      </c>
      <c r="E340" s="8">
        <f>D340*E338</f>
        <v>43.604999999999997</v>
      </c>
      <c r="F340" s="10"/>
      <c r="G340" s="10">
        <f t="shared" si="84"/>
        <v>0</v>
      </c>
      <c r="H340" s="10"/>
      <c r="I340" s="10">
        <f t="shared" si="85"/>
        <v>0</v>
      </c>
      <c r="J340" s="10"/>
      <c r="K340" s="10">
        <f t="shared" si="86"/>
        <v>0</v>
      </c>
      <c r="L340" s="10">
        <f t="shared" si="87"/>
        <v>0</v>
      </c>
    </row>
    <row r="341" spans="1:18" x14ac:dyDescent="0.3">
      <c r="A341" s="2"/>
      <c r="B341" s="5" t="s">
        <v>39</v>
      </c>
      <c r="C341" s="1" t="s">
        <v>38</v>
      </c>
      <c r="D341" s="8">
        <v>1.05</v>
      </c>
      <c r="E341" s="8">
        <f>E338*8.88*1.15/1000*1.07*2</f>
        <v>3.1141494000000005</v>
      </c>
      <c r="F341" s="10"/>
      <c r="G341" s="10">
        <f t="shared" si="84"/>
        <v>0</v>
      </c>
      <c r="H341" s="10"/>
      <c r="I341" s="10">
        <f t="shared" si="85"/>
        <v>0</v>
      </c>
      <c r="J341" s="10"/>
      <c r="K341" s="10">
        <f t="shared" si="86"/>
        <v>0</v>
      </c>
      <c r="L341" s="10">
        <f t="shared" si="87"/>
        <v>0</v>
      </c>
    </row>
    <row r="342" spans="1:18" x14ac:dyDescent="0.3">
      <c r="A342" s="2"/>
      <c r="B342" s="5" t="s">
        <v>40</v>
      </c>
      <c r="C342" s="1" t="s">
        <v>38</v>
      </c>
      <c r="D342" s="8">
        <v>1.05</v>
      </c>
      <c r="E342" s="8">
        <f>E341*0.15</f>
        <v>0.46712241000000004</v>
      </c>
      <c r="F342" s="10"/>
      <c r="G342" s="10">
        <f t="shared" si="84"/>
        <v>0</v>
      </c>
      <c r="H342" s="10"/>
      <c r="I342" s="10">
        <f t="shared" si="85"/>
        <v>0</v>
      </c>
      <c r="J342" s="10"/>
      <c r="K342" s="10">
        <f t="shared" si="86"/>
        <v>0</v>
      </c>
      <c r="L342" s="10">
        <f t="shared" si="87"/>
        <v>0</v>
      </c>
    </row>
    <row r="343" spans="1:18" x14ac:dyDescent="0.3">
      <c r="A343" s="2"/>
      <c r="B343" s="5" t="s">
        <v>41</v>
      </c>
      <c r="C343" s="1" t="s">
        <v>16</v>
      </c>
      <c r="D343" s="8">
        <f>264/100</f>
        <v>2.64</v>
      </c>
      <c r="E343" s="8">
        <f t="shared" ref="E343:E348" si="89">D343*E$340</f>
        <v>115.1172</v>
      </c>
      <c r="F343" s="10"/>
      <c r="G343" s="10">
        <f t="shared" si="84"/>
        <v>0</v>
      </c>
      <c r="H343" s="10"/>
      <c r="I343" s="10">
        <f t="shared" si="85"/>
        <v>0</v>
      </c>
      <c r="J343" s="10"/>
      <c r="K343" s="10">
        <f t="shared" si="86"/>
        <v>0</v>
      </c>
      <c r="L343" s="10">
        <f t="shared" si="87"/>
        <v>0</v>
      </c>
    </row>
    <row r="344" spans="1:18" x14ac:dyDescent="0.3">
      <c r="A344" s="2"/>
      <c r="B344" s="5" t="s">
        <v>42</v>
      </c>
      <c r="C344" s="1" t="s">
        <v>18</v>
      </c>
      <c r="D344" s="16">
        <f>(0.49+5.49)/100</f>
        <v>5.9800000000000006E-2</v>
      </c>
      <c r="E344" s="8">
        <f t="shared" si="89"/>
        <v>2.6075789999999999</v>
      </c>
      <c r="F344" s="10"/>
      <c r="G344" s="10">
        <f t="shared" si="84"/>
        <v>0</v>
      </c>
      <c r="H344" s="10"/>
      <c r="I344" s="10">
        <f t="shared" si="85"/>
        <v>0</v>
      </c>
      <c r="J344" s="10"/>
      <c r="K344" s="10">
        <f t="shared" si="86"/>
        <v>0</v>
      </c>
      <c r="L344" s="10">
        <f t="shared" si="87"/>
        <v>0</v>
      </c>
    </row>
    <row r="345" spans="1:18" x14ac:dyDescent="0.3">
      <c r="A345" s="2"/>
      <c r="B345" s="5" t="s">
        <v>43</v>
      </c>
      <c r="C345" s="1" t="s">
        <v>47</v>
      </c>
      <c r="D345" s="8">
        <v>1.68</v>
      </c>
      <c r="E345" s="8">
        <f t="shared" si="89"/>
        <v>73.256399999999985</v>
      </c>
      <c r="F345" s="10"/>
      <c r="G345" s="10">
        <f t="shared" si="84"/>
        <v>0</v>
      </c>
      <c r="H345" s="10"/>
      <c r="I345" s="10">
        <f t="shared" si="85"/>
        <v>0</v>
      </c>
      <c r="J345" s="10"/>
      <c r="K345" s="10">
        <f t="shared" si="86"/>
        <v>0</v>
      </c>
      <c r="L345" s="10">
        <f t="shared" si="87"/>
        <v>0</v>
      </c>
    </row>
    <row r="346" spans="1:18" x14ac:dyDescent="0.3">
      <c r="A346" s="2"/>
      <c r="B346" s="5" t="s">
        <v>44</v>
      </c>
      <c r="C346" s="1" t="s">
        <v>47</v>
      </c>
      <c r="D346" s="8">
        <v>1.05</v>
      </c>
      <c r="E346" s="8">
        <f t="shared" si="89"/>
        <v>45.785249999999998</v>
      </c>
      <c r="F346" s="10"/>
      <c r="G346" s="10">
        <f t="shared" si="84"/>
        <v>0</v>
      </c>
      <c r="H346" s="10"/>
      <c r="I346" s="10">
        <f t="shared" si="85"/>
        <v>0</v>
      </c>
      <c r="J346" s="10"/>
      <c r="K346" s="10">
        <f t="shared" si="86"/>
        <v>0</v>
      </c>
      <c r="L346" s="10">
        <f t="shared" si="87"/>
        <v>0</v>
      </c>
    </row>
    <row r="347" spans="1:18" x14ac:dyDescent="0.3">
      <c r="A347" s="2"/>
      <c r="B347" s="5" t="s">
        <v>19</v>
      </c>
      <c r="C347" s="1" t="s">
        <v>18</v>
      </c>
      <c r="D347" s="8">
        <f>49/100</f>
        <v>0.49</v>
      </c>
      <c r="E347" s="8">
        <f t="shared" si="89"/>
        <v>21.366449999999997</v>
      </c>
      <c r="F347" s="10"/>
      <c r="G347" s="10">
        <f t="shared" si="84"/>
        <v>0</v>
      </c>
      <c r="H347" s="10"/>
      <c r="I347" s="10">
        <f t="shared" si="85"/>
        <v>0</v>
      </c>
      <c r="J347" s="10"/>
      <c r="K347" s="10">
        <f t="shared" si="86"/>
        <v>0</v>
      </c>
      <c r="L347" s="10">
        <f t="shared" si="87"/>
        <v>0</v>
      </c>
    </row>
    <row r="348" spans="1:18" x14ac:dyDescent="0.3">
      <c r="A348" s="2"/>
      <c r="B348" s="5" t="s">
        <v>45</v>
      </c>
      <c r="C348" s="1" t="s">
        <v>18</v>
      </c>
      <c r="D348" s="8">
        <f>143/100</f>
        <v>1.43</v>
      </c>
      <c r="E348" s="8">
        <f t="shared" si="89"/>
        <v>62.355149999999995</v>
      </c>
      <c r="F348" s="10"/>
      <c r="G348" s="10">
        <f t="shared" si="84"/>
        <v>0</v>
      </c>
      <c r="H348" s="10"/>
      <c r="I348" s="10">
        <f t="shared" si="85"/>
        <v>0</v>
      </c>
      <c r="J348" s="10"/>
      <c r="K348" s="10">
        <f t="shared" si="86"/>
        <v>0</v>
      </c>
      <c r="L348" s="10">
        <f t="shared" si="87"/>
        <v>0</v>
      </c>
    </row>
    <row r="349" spans="1:18" x14ac:dyDescent="0.3">
      <c r="A349" s="2"/>
      <c r="B349" s="5" t="s">
        <v>46</v>
      </c>
      <c r="C349" s="1" t="s">
        <v>18</v>
      </c>
      <c r="D349" s="8">
        <f>0.2*1.02</f>
        <v>0.20400000000000001</v>
      </c>
      <c r="E349" s="8">
        <f>D349*E338</f>
        <v>29.070000000000004</v>
      </c>
      <c r="F349" s="10"/>
      <c r="G349" s="10">
        <f t="shared" si="84"/>
        <v>0</v>
      </c>
      <c r="H349" s="10"/>
      <c r="I349" s="10">
        <f t="shared" si="85"/>
        <v>0</v>
      </c>
      <c r="J349" s="10"/>
      <c r="K349" s="10">
        <f t="shared" si="86"/>
        <v>0</v>
      </c>
      <c r="L349" s="10">
        <f t="shared" si="87"/>
        <v>0</v>
      </c>
    </row>
    <row r="350" spans="1:18" x14ac:dyDescent="0.3">
      <c r="A350" s="2">
        <f>A338+1</f>
        <v>46</v>
      </c>
      <c r="B350" s="14" t="s">
        <v>97</v>
      </c>
      <c r="C350" s="2" t="s">
        <v>18</v>
      </c>
      <c r="D350" s="15"/>
      <c r="E350" s="15">
        <f>(95*2.2*0.96+30*1.7*2.2)</f>
        <v>312.84000000000003</v>
      </c>
      <c r="F350" s="10"/>
      <c r="G350" s="10">
        <f t="shared" ref="G350:G436" si="90">F350*E350</f>
        <v>0</v>
      </c>
      <c r="H350" s="10"/>
      <c r="I350" s="10">
        <f t="shared" ref="I350:I436" si="91">H350*E350</f>
        <v>0</v>
      </c>
      <c r="J350" s="10"/>
      <c r="K350" s="10">
        <f t="shared" ref="K350:K436" si="92">J350*E350</f>
        <v>0</v>
      </c>
      <c r="L350" s="10">
        <f t="shared" ref="L350:L436" si="93">K350+I350+G350</f>
        <v>0</v>
      </c>
    </row>
    <row r="351" spans="1:18" x14ac:dyDescent="0.3">
      <c r="A351" s="2"/>
      <c r="B351" s="5" t="s">
        <v>59</v>
      </c>
      <c r="C351" s="1" t="s">
        <v>18</v>
      </c>
      <c r="D351" s="8">
        <v>1.22</v>
      </c>
      <c r="E351" s="8">
        <f>D351*E$350</f>
        <v>381.66480000000001</v>
      </c>
      <c r="F351" s="10"/>
      <c r="G351" s="10">
        <f t="shared" si="90"/>
        <v>0</v>
      </c>
      <c r="H351" s="10"/>
      <c r="I351" s="10">
        <f t="shared" si="91"/>
        <v>0</v>
      </c>
      <c r="J351" s="10"/>
      <c r="K351" s="10">
        <f t="shared" si="92"/>
        <v>0</v>
      </c>
      <c r="L351" s="10">
        <f t="shared" si="93"/>
        <v>0</v>
      </c>
      <c r="R351" s="38"/>
    </row>
    <row r="352" spans="1:18" x14ac:dyDescent="0.3">
      <c r="A352" s="2"/>
      <c r="B352" s="5" t="s">
        <v>32</v>
      </c>
      <c r="C352" s="1" t="s">
        <v>30</v>
      </c>
      <c r="D352" s="8">
        <v>0.01</v>
      </c>
      <c r="E352" s="8">
        <f>D352*E$350</f>
        <v>3.1284000000000005</v>
      </c>
      <c r="F352" s="10"/>
      <c r="G352" s="10">
        <f t="shared" si="90"/>
        <v>0</v>
      </c>
      <c r="H352" s="10"/>
      <c r="I352" s="10">
        <f t="shared" si="91"/>
        <v>0</v>
      </c>
      <c r="J352" s="10"/>
      <c r="K352" s="10">
        <f t="shared" si="92"/>
        <v>0</v>
      </c>
      <c r="L352" s="10">
        <f t="shared" si="93"/>
        <v>0</v>
      </c>
      <c r="R352" s="38"/>
    </row>
    <row r="353" spans="1:18" x14ac:dyDescent="0.3">
      <c r="A353" s="2"/>
      <c r="B353" s="5" t="s">
        <v>33</v>
      </c>
      <c r="C353" s="1" t="s">
        <v>30</v>
      </c>
      <c r="D353" s="8">
        <v>0.01</v>
      </c>
      <c r="E353" s="8">
        <f>D353*E$350</f>
        <v>3.1284000000000005</v>
      </c>
      <c r="F353" s="10"/>
      <c r="G353" s="10">
        <f t="shared" si="90"/>
        <v>0</v>
      </c>
      <c r="H353" s="10"/>
      <c r="I353" s="10">
        <f t="shared" si="91"/>
        <v>0</v>
      </c>
      <c r="J353" s="10"/>
      <c r="K353" s="10">
        <f t="shared" si="92"/>
        <v>0</v>
      </c>
      <c r="L353" s="10">
        <f t="shared" si="93"/>
        <v>0</v>
      </c>
      <c r="R353" s="38"/>
    </row>
    <row r="354" spans="1:18" x14ac:dyDescent="0.3">
      <c r="A354" s="2">
        <f>A350+1</f>
        <v>47</v>
      </c>
      <c r="B354" s="14" t="s">
        <v>98</v>
      </c>
      <c r="C354" s="2" t="s">
        <v>16</v>
      </c>
      <c r="D354" s="15"/>
      <c r="E354" s="15">
        <f>135+15+17</f>
        <v>167</v>
      </c>
      <c r="F354" s="10"/>
      <c r="G354" s="10">
        <f t="shared" si="90"/>
        <v>0</v>
      </c>
      <c r="H354" s="10"/>
      <c r="I354" s="10">
        <f t="shared" si="91"/>
        <v>0</v>
      </c>
      <c r="J354" s="10"/>
      <c r="K354" s="10">
        <f t="shared" si="92"/>
        <v>0</v>
      </c>
      <c r="L354" s="10">
        <f t="shared" si="93"/>
        <v>0</v>
      </c>
    </row>
    <row r="355" spans="1:18" x14ac:dyDescent="0.3">
      <c r="A355" s="2"/>
      <c r="B355" s="5" t="s">
        <v>13</v>
      </c>
      <c r="C355" s="1" t="s">
        <v>16</v>
      </c>
      <c r="D355" s="8">
        <v>1</v>
      </c>
      <c r="E355" s="8">
        <f>D355*E354</f>
        <v>167</v>
      </c>
      <c r="F355" s="10"/>
      <c r="G355" s="10">
        <f t="shared" si="90"/>
        <v>0</v>
      </c>
      <c r="H355" s="10"/>
      <c r="I355" s="10">
        <f t="shared" si="91"/>
        <v>0</v>
      </c>
      <c r="J355" s="10"/>
      <c r="K355" s="10">
        <f t="shared" si="92"/>
        <v>0</v>
      </c>
      <c r="L355" s="10">
        <f t="shared" si="93"/>
        <v>0</v>
      </c>
    </row>
    <row r="356" spans="1:18" x14ac:dyDescent="0.3">
      <c r="A356" s="2"/>
      <c r="B356" s="5" t="s">
        <v>37</v>
      </c>
      <c r="C356" s="1" t="s">
        <v>18</v>
      </c>
      <c r="D356" s="8">
        <f>0.15*1.02</f>
        <v>0.153</v>
      </c>
      <c r="E356" s="8">
        <f>D356*E354</f>
        <v>25.550999999999998</v>
      </c>
      <c r="F356" s="10"/>
      <c r="G356" s="10">
        <f t="shared" si="90"/>
        <v>0</v>
      </c>
      <c r="H356" s="10"/>
      <c r="I356" s="10">
        <f t="shared" si="91"/>
        <v>0</v>
      </c>
      <c r="J356" s="10"/>
      <c r="K356" s="10">
        <f t="shared" si="92"/>
        <v>0</v>
      </c>
      <c r="L356" s="10">
        <f t="shared" si="93"/>
        <v>0</v>
      </c>
    </row>
    <row r="357" spans="1:18" x14ac:dyDescent="0.3">
      <c r="A357" s="2"/>
      <c r="B357" s="5" t="s">
        <v>39</v>
      </c>
      <c r="C357" s="1" t="s">
        <v>38</v>
      </c>
      <c r="D357" s="8">
        <v>1.05</v>
      </c>
      <c r="E357" s="8">
        <f>E354*8.88*1.1/1000*1.07*2</f>
        <v>3.4908878400000001</v>
      </c>
      <c r="F357" s="10"/>
      <c r="G357" s="10">
        <f t="shared" si="90"/>
        <v>0</v>
      </c>
      <c r="H357" s="10"/>
      <c r="I357" s="10">
        <f t="shared" si="91"/>
        <v>0</v>
      </c>
      <c r="J357" s="10"/>
      <c r="K357" s="10">
        <f t="shared" si="92"/>
        <v>0</v>
      </c>
      <c r="L357" s="10">
        <f t="shared" si="93"/>
        <v>0</v>
      </c>
    </row>
    <row r="358" spans="1:18" x14ac:dyDescent="0.3">
      <c r="A358" s="2"/>
      <c r="B358" s="5" t="s">
        <v>40</v>
      </c>
      <c r="C358" s="1" t="s">
        <v>38</v>
      </c>
      <c r="D358" s="8">
        <v>1.05</v>
      </c>
      <c r="E358" s="8">
        <f>E357*0.15</f>
        <v>0.52363317600000003</v>
      </c>
      <c r="F358" s="10"/>
      <c r="G358" s="10">
        <f t="shared" si="90"/>
        <v>0</v>
      </c>
      <c r="H358" s="10"/>
      <c r="I358" s="10">
        <f t="shared" si="91"/>
        <v>0</v>
      </c>
      <c r="J358" s="10"/>
      <c r="K358" s="10">
        <f t="shared" si="92"/>
        <v>0</v>
      </c>
      <c r="L358" s="10">
        <f t="shared" si="93"/>
        <v>0</v>
      </c>
    </row>
    <row r="359" spans="1:18" x14ac:dyDescent="0.3">
      <c r="A359" s="2"/>
      <c r="B359" s="5" t="s">
        <v>41</v>
      </c>
      <c r="C359" s="1" t="s">
        <v>16</v>
      </c>
      <c r="D359" s="8">
        <f>7.54/100</f>
        <v>7.5399999999999995E-2</v>
      </c>
      <c r="E359" s="8">
        <f t="shared" ref="E359:E364" si="94">D359*E$356</f>
        <v>1.9265453999999997</v>
      </c>
      <c r="F359" s="10"/>
      <c r="G359" s="10">
        <f t="shared" si="90"/>
        <v>0</v>
      </c>
      <c r="H359" s="10"/>
      <c r="I359" s="10">
        <f t="shared" si="91"/>
        <v>0</v>
      </c>
      <c r="J359" s="10"/>
      <c r="K359" s="10">
        <f t="shared" si="92"/>
        <v>0</v>
      </c>
      <c r="L359" s="10">
        <f t="shared" si="93"/>
        <v>0</v>
      </c>
    </row>
    <row r="360" spans="1:18" x14ac:dyDescent="0.3">
      <c r="A360" s="2"/>
      <c r="B360" s="5" t="s">
        <v>42</v>
      </c>
      <c r="C360" s="1" t="s">
        <v>18</v>
      </c>
      <c r="D360" s="16">
        <f>0.08/100</f>
        <v>8.0000000000000004E-4</v>
      </c>
      <c r="E360" s="8">
        <f t="shared" si="94"/>
        <v>2.0440799999999999E-2</v>
      </c>
      <c r="F360" s="10"/>
      <c r="G360" s="10">
        <f t="shared" si="90"/>
        <v>0</v>
      </c>
      <c r="H360" s="10"/>
      <c r="I360" s="10">
        <f t="shared" si="91"/>
        <v>0</v>
      </c>
      <c r="J360" s="10"/>
      <c r="K360" s="10">
        <f t="shared" si="92"/>
        <v>0</v>
      </c>
      <c r="L360" s="10">
        <f t="shared" si="93"/>
        <v>0</v>
      </c>
    </row>
    <row r="361" spans="1:18" x14ac:dyDescent="0.3">
      <c r="A361" s="2"/>
      <c r="B361" s="5" t="s">
        <v>43</v>
      </c>
      <c r="C361" s="1" t="s">
        <v>47</v>
      </c>
      <c r="D361" s="8">
        <v>3.2000000000000001E-2</v>
      </c>
      <c r="E361" s="8">
        <f t="shared" si="94"/>
        <v>0.81763199999999991</v>
      </c>
      <c r="F361" s="10"/>
      <c r="G361" s="10">
        <f t="shared" si="90"/>
        <v>0</v>
      </c>
      <c r="H361" s="10"/>
      <c r="I361" s="10">
        <f t="shared" si="91"/>
        <v>0</v>
      </c>
      <c r="J361" s="10"/>
      <c r="K361" s="10">
        <f t="shared" si="92"/>
        <v>0</v>
      </c>
      <c r="L361" s="10">
        <f t="shared" si="93"/>
        <v>0</v>
      </c>
    </row>
    <row r="362" spans="1:18" x14ac:dyDescent="0.3">
      <c r="A362" s="2"/>
      <c r="B362" s="5" t="s">
        <v>44</v>
      </c>
      <c r="C362" s="1" t="s">
        <v>47</v>
      </c>
      <c r="D362" s="8">
        <v>0.21</v>
      </c>
      <c r="E362" s="8">
        <f t="shared" si="94"/>
        <v>5.3657099999999991</v>
      </c>
      <c r="F362" s="10"/>
      <c r="G362" s="10">
        <f t="shared" si="90"/>
        <v>0</v>
      </c>
      <c r="H362" s="10"/>
      <c r="I362" s="10">
        <f t="shared" si="91"/>
        <v>0</v>
      </c>
      <c r="J362" s="10"/>
      <c r="K362" s="10">
        <f t="shared" si="92"/>
        <v>0</v>
      </c>
      <c r="L362" s="10">
        <f t="shared" si="93"/>
        <v>0</v>
      </c>
    </row>
    <row r="363" spans="1:18" x14ac:dyDescent="0.3">
      <c r="A363" s="2"/>
      <c r="B363" s="5" t="s">
        <v>19</v>
      </c>
      <c r="C363" s="1" t="s">
        <v>18</v>
      </c>
      <c r="D363" s="8">
        <f>7/100</f>
        <v>7.0000000000000007E-2</v>
      </c>
      <c r="E363" s="8">
        <f t="shared" si="94"/>
        <v>1.78857</v>
      </c>
      <c r="F363" s="10"/>
      <c r="G363" s="10">
        <f t="shared" si="90"/>
        <v>0</v>
      </c>
      <c r="H363" s="10"/>
      <c r="I363" s="10">
        <f t="shared" si="91"/>
        <v>0</v>
      </c>
      <c r="J363" s="10"/>
      <c r="K363" s="10">
        <f t="shared" si="92"/>
        <v>0</v>
      </c>
      <c r="L363" s="10">
        <f t="shared" si="93"/>
        <v>0</v>
      </c>
    </row>
    <row r="364" spans="1:18" x14ac:dyDescent="0.3">
      <c r="A364" s="2"/>
      <c r="B364" s="5" t="s">
        <v>45</v>
      </c>
      <c r="C364" s="1" t="s">
        <v>18</v>
      </c>
      <c r="D364" s="8">
        <f>77/100</f>
        <v>0.77</v>
      </c>
      <c r="E364" s="8">
        <f t="shared" si="94"/>
        <v>19.67427</v>
      </c>
      <c r="F364" s="10"/>
      <c r="G364" s="10">
        <f t="shared" si="90"/>
        <v>0</v>
      </c>
      <c r="H364" s="10"/>
      <c r="I364" s="10">
        <f t="shared" si="91"/>
        <v>0</v>
      </c>
      <c r="J364" s="10"/>
      <c r="K364" s="10">
        <f t="shared" si="92"/>
        <v>0</v>
      </c>
      <c r="L364" s="10">
        <f t="shared" si="93"/>
        <v>0</v>
      </c>
    </row>
    <row r="365" spans="1:18" x14ac:dyDescent="0.3">
      <c r="A365" s="2"/>
      <c r="B365" s="5" t="s">
        <v>46</v>
      </c>
      <c r="C365" s="1" t="s">
        <v>18</v>
      </c>
      <c r="D365" s="8">
        <f>0.2*1.02</f>
        <v>0.20400000000000001</v>
      </c>
      <c r="E365" s="8">
        <f>D365*E354</f>
        <v>34.068000000000005</v>
      </c>
      <c r="F365" s="10"/>
      <c r="G365" s="10">
        <f t="shared" si="90"/>
        <v>0</v>
      </c>
      <c r="H365" s="10"/>
      <c r="I365" s="10">
        <f t="shared" si="91"/>
        <v>0</v>
      </c>
      <c r="J365" s="10"/>
      <c r="K365" s="10">
        <f t="shared" si="92"/>
        <v>0</v>
      </c>
      <c r="L365" s="10">
        <f t="shared" si="93"/>
        <v>0</v>
      </c>
    </row>
    <row r="366" spans="1:18" x14ac:dyDescent="0.3">
      <c r="A366" s="11"/>
      <c r="B366" s="11" t="s">
        <v>99</v>
      </c>
      <c r="C366" s="4"/>
      <c r="D366" s="12"/>
      <c r="E366" s="12"/>
      <c r="F366" s="13"/>
      <c r="G366" s="13">
        <f t="shared" si="90"/>
        <v>0</v>
      </c>
      <c r="H366" s="13"/>
      <c r="I366" s="13">
        <f t="shared" si="91"/>
        <v>0</v>
      </c>
      <c r="J366" s="13"/>
      <c r="K366" s="13">
        <f t="shared" si="92"/>
        <v>0</v>
      </c>
      <c r="L366" s="13">
        <f t="shared" si="93"/>
        <v>0</v>
      </c>
    </row>
    <row r="367" spans="1:18" x14ac:dyDescent="0.3">
      <c r="A367" s="2">
        <f>A354+1</f>
        <v>48</v>
      </c>
      <c r="B367" s="14" t="s">
        <v>100</v>
      </c>
      <c r="C367" s="2" t="s">
        <v>38</v>
      </c>
      <c r="D367" s="15"/>
      <c r="E367" s="15">
        <v>157.22</v>
      </c>
      <c r="F367" s="10"/>
      <c r="G367" s="10">
        <f t="shared" si="90"/>
        <v>0</v>
      </c>
      <c r="H367" s="10"/>
      <c r="I367" s="10">
        <f t="shared" si="91"/>
        <v>0</v>
      </c>
      <c r="J367" s="10"/>
      <c r="K367" s="10">
        <f t="shared" si="92"/>
        <v>0</v>
      </c>
      <c r="L367" s="10">
        <f t="shared" si="93"/>
        <v>0</v>
      </c>
    </row>
    <row r="368" spans="1:18" x14ac:dyDescent="0.3">
      <c r="A368" s="2"/>
      <c r="B368" s="5" t="s">
        <v>13</v>
      </c>
      <c r="C368" s="1" t="s">
        <v>38</v>
      </c>
      <c r="D368" s="8">
        <v>1</v>
      </c>
      <c r="E368" s="8">
        <f t="shared" ref="E368:E373" si="95">D368*E$367</f>
        <v>157.22</v>
      </c>
      <c r="F368" s="10"/>
      <c r="G368" s="10">
        <f t="shared" si="90"/>
        <v>0</v>
      </c>
      <c r="H368" s="10"/>
      <c r="I368" s="10">
        <f t="shared" si="91"/>
        <v>0</v>
      </c>
      <c r="J368" s="10"/>
      <c r="K368" s="10">
        <f t="shared" si="92"/>
        <v>0</v>
      </c>
      <c r="L368" s="10">
        <f t="shared" si="93"/>
        <v>0</v>
      </c>
    </row>
    <row r="369" spans="1:18" x14ac:dyDescent="0.3">
      <c r="A369" s="2"/>
      <c r="B369" s="5" t="s">
        <v>101</v>
      </c>
      <c r="C369" s="1" t="s">
        <v>38</v>
      </c>
      <c r="D369" s="8">
        <v>1.05</v>
      </c>
      <c r="E369" s="8">
        <f t="shared" si="95"/>
        <v>165.08100000000002</v>
      </c>
      <c r="F369" s="10"/>
      <c r="G369" s="10">
        <f t="shared" si="90"/>
        <v>0</v>
      </c>
      <c r="H369" s="10"/>
      <c r="I369" s="10">
        <f t="shared" si="91"/>
        <v>0</v>
      </c>
      <c r="J369" s="10"/>
      <c r="K369" s="10">
        <f t="shared" si="92"/>
        <v>0</v>
      </c>
      <c r="L369" s="10">
        <f t="shared" si="93"/>
        <v>0</v>
      </c>
    </row>
    <row r="370" spans="1:18" x14ac:dyDescent="0.3">
      <c r="A370" s="2"/>
      <c r="B370" s="5" t="s">
        <v>102</v>
      </c>
      <c r="C370" s="1" t="s">
        <v>47</v>
      </c>
      <c r="D370" s="8">
        <v>7</v>
      </c>
      <c r="E370" s="8">
        <f t="shared" si="95"/>
        <v>1100.54</v>
      </c>
      <c r="F370" s="10"/>
      <c r="G370" s="10">
        <f t="shared" si="90"/>
        <v>0</v>
      </c>
      <c r="H370" s="10"/>
      <c r="I370" s="10">
        <f t="shared" si="91"/>
        <v>0</v>
      </c>
      <c r="J370" s="10"/>
      <c r="K370" s="10">
        <f t="shared" si="92"/>
        <v>0</v>
      </c>
      <c r="L370" s="10">
        <f t="shared" si="93"/>
        <v>0</v>
      </c>
    </row>
    <row r="371" spans="1:18" x14ac:dyDescent="0.3">
      <c r="A371" s="2"/>
      <c r="B371" s="5" t="s">
        <v>103</v>
      </c>
      <c r="C371" s="1" t="s">
        <v>72</v>
      </c>
      <c r="D371" s="8">
        <v>12</v>
      </c>
      <c r="E371" s="8">
        <f t="shared" si="95"/>
        <v>1886.6399999999999</v>
      </c>
      <c r="F371" s="10"/>
      <c r="G371" s="10">
        <f t="shared" si="90"/>
        <v>0</v>
      </c>
      <c r="H371" s="10"/>
      <c r="I371" s="10">
        <f t="shared" si="91"/>
        <v>0</v>
      </c>
      <c r="J371" s="10"/>
      <c r="K371" s="10">
        <f t="shared" si="92"/>
        <v>0</v>
      </c>
      <c r="L371" s="10">
        <f t="shared" si="93"/>
        <v>0</v>
      </c>
    </row>
    <row r="372" spans="1:18" x14ac:dyDescent="0.3">
      <c r="A372" s="2"/>
      <c r="B372" s="5" t="s">
        <v>104</v>
      </c>
      <c r="C372" s="1" t="s">
        <v>30</v>
      </c>
      <c r="D372" s="8">
        <v>0.3</v>
      </c>
      <c r="E372" s="8">
        <f t="shared" si="95"/>
        <v>47.165999999999997</v>
      </c>
      <c r="F372" s="10"/>
      <c r="G372" s="10">
        <f t="shared" si="90"/>
        <v>0</v>
      </c>
      <c r="H372" s="10"/>
      <c r="I372" s="10">
        <f t="shared" si="91"/>
        <v>0</v>
      </c>
      <c r="J372" s="10"/>
      <c r="K372" s="10">
        <f t="shared" si="92"/>
        <v>0</v>
      </c>
      <c r="L372" s="10">
        <f t="shared" si="93"/>
        <v>0</v>
      </c>
      <c r="R372" s="38"/>
    </row>
    <row r="373" spans="1:18" x14ac:dyDescent="0.3">
      <c r="A373" s="2"/>
      <c r="B373" s="5" t="s">
        <v>105</v>
      </c>
      <c r="C373" s="1" t="s">
        <v>30</v>
      </c>
      <c r="D373" s="8">
        <f>D372*2</f>
        <v>0.6</v>
      </c>
      <c r="E373" s="8">
        <f t="shared" si="95"/>
        <v>94.331999999999994</v>
      </c>
      <c r="F373" s="10"/>
      <c r="G373" s="10">
        <f t="shared" si="90"/>
        <v>0</v>
      </c>
      <c r="H373" s="10"/>
      <c r="I373" s="10">
        <f t="shared" si="91"/>
        <v>0</v>
      </c>
      <c r="J373" s="10"/>
      <c r="K373" s="10">
        <f t="shared" si="92"/>
        <v>0</v>
      </c>
      <c r="L373" s="10">
        <f t="shared" si="93"/>
        <v>0</v>
      </c>
      <c r="R373" s="38"/>
    </row>
    <row r="374" spans="1:18" ht="28.8" x14ac:dyDescent="0.3">
      <c r="A374" s="2">
        <f>A367+1</f>
        <v>49</v>
      </c>
      <c r="B374" s="14" t="s">
        <v>106</v>
      </c>
      <c r="C374" s="2" t="s">
        <v>16</v>
      </c>
      <c r="D374" s="15"/>
      <c r="E374" s="15">
        <v>4835.8999999999996</v>
      </c>
      <c r="F374" s="10"/>
      <c r="G374" s="10">
        <f t="shared" si="90"/>
        <v>0</v>
      </c>
      <c r="H374" s="10"/>
      <c r="I374" s="10">
        <f t="shared" si="91"/>
        <v>0</v>
      </c>
      <c r="J374" s="10"/>
      <c r="K374" s="10">
        <f t="shared" si="92"/>
        <v>0</v>
      </c>
      <c r="L374" s="10">
        <f t="shared" si="93"/>
        <v>0</v>
      </c>
    </row>
    <row r="375" spans="1:18" x14ac:dyDescent="0.3">
      <c r="A375" s="2"/>
      <c r="B375" s="5" t="s">
        <v>13</v>
      </c>
      <c r="C375" s="1" t="s">
        <v>38</v>
      </c>
      <c r="D375" s="8">
        <v>1</v>
      </c>
      <c r="E375" s="8">
        <f>D375*E$374</f>
        <v>4835.8999999999996</v>
      </c>
      <c r="F375" s="10"/>
      <c r="G375" s="10">
        <f t="shared" si="90"/>
        <v>0</v>
      </c>
      <c r="H375" s="10"/>
      <c r="I375" s="10">
        <f t="shared" si="91"/>
        <v>0</v>
      </c>
      <c r="J375" s="10"/>
      <c r="K375" s="10">
        <f t="shared" si="92"/>
        <v>0</v>
      </c>
      <c r="L375" s="10">
        <f t="shared" si="93"/>
        <v>0</v>
      </c>
    </row>
    <row r="376" spans="1:18" x14ac:dyDescent="0.3">
      <c r="A376" s="2"/>
      <c r="B376" s="5" t="s">
        <v>107</v>
      </c>
      <c r="C376" s="1" t="s">
        <v>47</v>
      </c>
      <c r="D376" s="8">
        <v>0.39</v>
      </c>
      <c r="E376" s="8">
        <f>D376*E$374</f>
        <v>1886.001</v>
      </c>
      <c r="F376" s="10"/>
      <c r="G376" s="10">
        <f t="shared" si="90"/>
        <v>0</v>
      </c>
      <c r="H376" s="10"/>
      <c r="I376" s="10">
        <f t="shared" si="91"/>
        <v>0</v>
      </c>
      <c r="J376" s="10"/>
      <c r="K376" s="10">
        <f t="shared" si="92"/>
        <v>0</v>
      </c>
      <c r="L376" s="10">
        <f t="shared" si="93"/>
        <v>0</v>
      </c>
    </row>
    <row r="377" spans="1:18" x14ac:dyDescent="0.3">
      <c r="A377" s="2"/>
      <c r="B377" s="5" t="s">
        <v>108</v>
      </c>
      <c r="C377" s="1" t="s">
        <v>47</v>
      </c>
      <c r="D377" s="8">
        <v>0.1</v>
      </c>
      <c r="E377" s="8">
        <f>D377*E$374</f>
        <v>483.59</v>
      </c>
      <c r="F377" s="10"/>
      <c r="G377" s="10">
        <f t="shared" si="90"/>
        <v>0</v>
      </c>
      <c r="H377" s="10"/>
      <c r="I377" s="10">
        <f t="shared" si="91"/>
        <v>0</v>
      </c>
      <c r="J377" s="10"/>
      <c r="K377" s="10">
        <f t="shared" si="92"/>
        <v>0</v>
      </c>
      <c r="L377" s="10">
        <f t="shared" si="93"/>
        <v>0</v>
      </c>
    </row>
    <row r="378" spans="1:18" x14ac:dyDescent="0.3">
      <c r="A378" s="2"/>
      <c r="B378" s="5" t="s">
        <v>19</v>
      </c>
      <c r="C378" s="1" t="s">
        <v>16</v>
      </c>
      <c r="D378" s="8">
        <v>1</v>
      </c>
      <c r="E378" s="8">
        <f>D378*E$374</f>
        <v>4835.8999999999996</v>
      </c>
      <c r="F378" s="10"/>
      <c r="G378" s="10">
        <f t="shared" si="90"/>
        <v>0</v>
      </c>
      <c r="H378" s="10"/>
      <c r="I378" s="10">
        <f t="shared" si="91"/>
        <v>0</v>
      </c>
      <c r="J378" s="10"/>
      <c r="K378" s="10">
        <f t="shared" si="92"/>
        <v>0</v>
      </c>
      <c r="L378" s="10">
        <f t="shared" si="93"/>
        <v>0</v>
      </c>
    </row>
    <row r="379" spans="1:18" x14ac:dyDescent="0.3">
      <c r="A379" s="2"/>
      <c r="B379" s="5" t="s">
        <v>104</v>
      </c>
      <c r="C379" s="1" t="s">
        <v>30</v>
      </c>
      <c r="D379" s="8">
        <v>0.1</v>
      </c>
      <c r="E379" s="8">
        <f>D379*E$367</f>
        <v>15.722000000000001</v>
      </c>
      <c r="F379" s="10"/>
      <c r="G379" s="10">
        <f t="shared" si="90"/>
        <v>0</v>
      </c>
      <c r="H379" s="10"/>
      <c r="I379" s="10">
        <f t="shared" si="91"/>
        <v>0</v>
      </c>
      <c r="J379" s="10"/>
      <c r="K379" s="10">
        <f t="shared" si="92"/>
        <v>0</v>
      </c>
      <c r="L379" s="10">
        <f t="shared" si="93"/>
        <v>0</v>
      </c>
      <c r="R379" s="38"/>
    </row>
    <row r="380" spans="1:18" x14ac:dyDescent="0.3">
      <c r="A380" s="2"/>
      <c r="B380" s="5" t="s">
        <v>105</v>
      </c>
      <c r="C380" s="1" t="s">
        <v>30</v>
      </c>
      <c r="D380" s="8">
        <v>0.2</v>
      </c>
      <c r="E380" s="8">
        <f>D380*E$367</f>
        <v>31.444000000000003</v>
      </c>
      <c r="F380" s="10"/>
      <c r="G380" s="10">
        <f t="shared" si="90"/>
        <v>0</v>
      </c>
      <c r="H380" s="10"/>
      <c r="I380" s="10">
        <f t="shared" si="91"/>
        <v>0</v>
      </c>
      <c r="J380" s="10"/>
      <c r="K380" s="10">
        <f t="shared" si="92"/>
        <v>0</v>
      </c>
      <c r="L380" s="10">
        <f t="shared" si="93"/>
        <v>0</v>
      </c>
    </row>
    <row r="381" spans="1:18" x14ac:dyDescent="0.3">
      <c r="A381" s="11"/>
      <c r="B381" s="11" t="s">
        <v>149</v>
      </c>
      <c r="C381" s="4"/>
      <c r="D381" s="12"/>
      <c r="E381" s="12"/>
      <c r="F381" s="13"/>
      <c r="G381" s="13">
        <f t="shared" si="90"/>
        <v>0</v>
      </c>
      <c r="H381" s="13"/>
      <c r="I381" s="13">
        <f t="shared" si="91"/>
        <v>0</v>
      </c>
      <c r="J381" s="13"/>
      <c r="K381" s="13">
        <f t="shared" si="92"/>
        <v>0</v>
      </c>
      <c r="L381" s="13">
        <f t="shared" si="93"/>
        <v>0</v>
      </c>
    </row>
    <row r="382" spans="1:18" x14ac:dyDescent="0.3">
      <c r="A382" s="20"/>
      <c r="B382" s="20" t="s">
        <v>116</v>
      </c>
      <c r="C382" s="21"/>
      <c r="D382" s="22"/>
      <c r="E382" s="22"/>
      <c r="F382" s="23"/>
      <c r="G382" s="23">
        <f t="shared" ref="G382" si="96">F382*E382</f>
        <v>0</v>
      </c>
      <c r="H382" s="23"/>
      <c r="I382" s="23">
        <f t="shared" ref="I382" si="97">H382*E382</f>
        <v>0</v>
      </c>
      <c r="J382" s="23"/>
      <c r="K382" s="23">
        <f t="shared" ref="K382" si="98">J382*E382</f>
        <v>0</v>
      </c>
      <c r="L382" s="23">
        <f t="shared" ref="L382" si="99">K382+I382+G382</f>
        <v>0</v>
      </c>
    </row>
    <row r="383" spans="1:18" x14ac:dyDescent="0.3">
      <c r="A383" s="2">
        <f>A374+1</f>
        <v>50</v>
      </c>
      <c r="B383" s="14" t="s">
        <v>111</v>
      </c>
      <c r="C383" s="2" t="s">
        <v>16</v>
      </c>
      <c r="D383" s="15"/>
      <c r="E383" s="15">
        <v>1400</v>
      </c>
      <c r="F383" s="10"/>
      <c r="G383" s="10">
        <f t="shared" si="90"/>
        <v>0</v>
      </c>
      <c r="H383" s="10"/>
      <c r="I383" s="10">
        <f t="shared" si="91"/>
        <v>0</v>
      </c>
      <c r="J383" s="10"/>
      <c r="K383" s="10">
        <f t="shared" si="92"/>
        <v>0</v>
      </c>
      <c r="L383" s="10">
        <f t="shared" si="93"/>
        <v>0</v>
      </c>
    </row>
    <row r="384" spans="1:18" x14ac:dyDescent="0.3">
      <c r="A384" s="2"/>
      <c r="B384" s="5" t="s">
        <v>13</v>
      </c>
      <c r="C384" s="1" t="s">
        <v>16</v>
      </c>
      <c r="D384" s="8">
        <v>1</v>
      </c>
      <c r="E384" s="8">
        <f>D384*E$383</f>
        <v>1400</v>
      </c>
      <c r="F384" s="10"/>
      <c r="G384" s="10">
        <f t="shared" si="90"/>
        <v>0</v>
      </c>
      <c r="H384" s="10"/>
      <c r="I384" s="10">
        <f t="shared" si="91"/>
        <v>0</v>
      </c>
      <c r="J384" s="10"/>
      <c r="K384" s="10">
        <f t="shared" si="92"/>
        <v>0</v>
      </c>
      <c r="L384" s="10">
        <f t="shared" si="93"/>
        <v>0</v>
      </c>
    </row>
    <row r="385" spans="1:18" x14ac:dyDescent="0.3">
      <c r="A385" s="2"/>
      <c r="B385" s="5" t="s">
        <v>113</v>
      </c>
      <c r="C385" s="1" t="s">
        <v>16</v>
      </c>
      <c r="D385" s="8">
        <v>1.03</v>
      </c>
      <c r="E385" s="8">
        <f>D385*E$383</f>
        <v>1442</v>
      </c>
      <c r="F385" s="10"/>
      <c r="G385" s="10">
        <f t="shared" si="90"/>
        <v>0</v>
      </c>
      <c r="H385" s="10"/>
      <c r="I385" s="10">
        <f t="shared" si="91"/>
        <v>0</v>
      </c>
      <c r="J385" s="10"/>
      <c r="K385" s="10">
        <f t="shared" si="92"/>
        <v>0</v>
      </c>
      <c r="L385" s="10">
        <f t="shared" si="93"/>
        <v>0</v>
      </c>
    </row>
    <row r="386" spans="1:18" x14ac:dyDescent="0.3">
      <c r="A386" s="2"/>
      <c r="B386" s="5" t="s">
        <v>19</v>
      </c>
      <c r="C386" s="1" t="s">
        <v>16</v>
      </c>
      <c r="D386" s="8">
        <v>1</v>
      </c>
      <c r="E386" s="8">
        <f>D386*E$383</f>
        <v>1400</v>
      </c>
      <c r="F386" s="10"/>
      <c r="G386" s="10">
        <f t="shared" si="90"/>
        <v>0</v>
      </c>
      <c r="H386" s="10"/>
      <c r="I386" s="10">
        <f t="shared" si="91"/>
        <v>0</v>
      </c>
      <c r="J386" s="10"/>
      <c r="K386" s="10">
        <f t="shared" si="92"/>
        <v>0</v>
      </c>
      <c r="L386" s="10">
        <f t="shared" si="93"/>
        <v>0</v>
      </c>
    </row>
    <row r="387" spans="1:18" x14ac:dyDescent="0.3">
      <c r="A387" s="2"/>
      <c r="B387" s="5" t="s">
        <v>104</v>
      </c>
      <c r="C387" s="1" t="s">
        <v>30</v>
      </c>
      <c r="D387" s="8">
        <v>1.2E-2</v>
      </c>
      <c r="E387" s="8">
        <f>D387*E$383</f>
        <v>16.8</v>
      </c>
      <c r="F387" s="10"/>
      <c r="G387" s="10">
        <f t="shared" si="90"/>
        <v>0</v>
      </c>
      <c r="H387" s="10"/>
      <c r="I387" s="10">
        <f t="shared" si="91"/>
        <v>0</v>
      </c>
      <c r="J387" s="10"/>
      <c r="K387" s="10">
        <f t="shared" si="92"/>
        <v>0</v>
      </c>
      <c r="L387" s="10">
        <f t="shared" si="93"/>
        <v>0</v>
      </c>
      <c r="R387" s="38"/>
    </row>
    <row r="388" spans="1:18" x14ac:dyDescent="0.3">
      <c r="A388" s="2"/>
      <c r="B388" s="5" t="s">
        <v>105</v>
      </c>
      <c r="C388" s="1" t="s">
        <v>30</v>
      </c>
      <c r="D388" s="8">
        <f>D387*2</f>
        <v>2.4E-2</v>
      </c>
      <c r="E388" s="8">
        <f>D388*E$383</f>
        <v>33.6</v>
      </c>
      <c r="F388" s="10"/>
      <c r="G388" s="10">
        <f t="shared" si="90"/>
        <v>0</v>
      </c>
      <c r="H388" s="10"/>
      <c r="I388" s="10">
        <f t="shared" si="91"/>
        <v>0</v>
      </c>
      <c r="J388" s="10"/>
      <c r="K388" s="10">
        <f t="shared" si="92"/>
        <v>0</v>
      </c>
      <c r="L388" s="10">
        <f t="shared" si="93"/>
        <v>0</v>
      </c>
      <c r="R388" s="38"/>
    </row>
    <row r="389" spans="1:18" x14ac:dyDescent="0.3">
      <c r="A389" s="2">
        <f>A383+1</f>
        <v>51</v>
      </c>
      <c r="B389" s="14" t="s">
        <v>112</v>
      </c>
      <c r="C389" s="2" t="s">
        <v>16</v>
      </c>
      <c r="D389" s="15"/>
      <c r="E389" s="15">
        <v>1750</v>
      </c>
      <c r="F389" s="10"/>
      <c r="G389" s="10">
        <f t="shared" si="90"/>
        <v>0</v>
      </c>
      <c r="H389" s="10"/>
      <c r="I389" s="10">
        <f t="shared" si="91"/>
        <v>0</v>
      </c>
      <c r="J389" s="10"/>
      <c r="K389" s="10">
        <f t="shared" si="92"/>
        <v>0</v>
      </c>
      <c r="L389" s="10">
        <f t="shared" si="93"/>
        <v>0</v>
      </c>
    </row>
    <row r="390" spans="1:18" x14ac:dyDescent="0.3">
      <c r="A390" s="2"/>
      <c r="B390" s="5" t="s">
        <v>13</v>
      </c>
      <c r="C390" s="1" t="s">
        <v>16</v>
      </c>
      <c r="D390" s="8">
        <v>1</v>
      </c>
      <c r="E390" s="8">
        <f>D390*E$389</f>
        <v>1750</v>
      </c>
      <c r="F390" s="10"/>
      <c r="G390" s="10">
        <f t="shared" si="90"/>
        <v>0</v>
      </c>
      <c r="H390" s="10"/>
      <c r="I390" s="10">
        <f t="shared" si="91"/>
        <v>0</v>
      </c>
      <c r="J390" s="10"/>
      <c r="K390" s="10">
        <f t="shared" si="92"/>
        <v>0</v>
      </c>
      <c r="L390" s="10">
        <f t="shared" si="93"/>
        <v>0</v>
      </c>
    </row>
    <row r="391" spans="1:18" x14ac:dyDescent="0.3">
      <c r="A391" s="2"/>
      <c r="B391" s="5" t="s">
        <v>114</v>
      </c>
      <c r="C391" s="1" t="s">
        <v>16</v>
      </c>
      <c r="D391" s="8">
        <v>1.03</v>
      </c>
      <c r="E391" s="8">
        <f>D391*E$389</f>
        <v>1802.5</v>
      </c>
      <c r="F391" s="10"/>
      <c r="G391" s="10">
        <f t="shared" si="90"/>
        <v>0</v>
      </c>
      <c r="H391" s="10"/>
      <c r="I391" s="10">
        <f t="shared" si="91"/>
        <v>0</v>
      </c>
      <c r="J391" s="10"/>
      <c r="K391" s="10">
        <f t="shared" si="92"/>
        <v>0</v>
      </c>
      <c r="L391" s="10">
        <f t="shared" si="93"/>
        <v>0</v>
      </c>
    </row>
    <row r="392" spans="1:18" x14ac:dyDescent="0.3">
      <c r="A392" s="2"/>
      <c r="B392" s="5" t="s">
        <v>19</v>
      </c>
      <c r="C392" s="1" t="s">
        <v>16</v>
      </c>
      <c r="D392" s="8">
        <v>1</v>
      </c>
      <c r="E392" s="8">
        <f>D392*E$389</f>
        <v>1750</v>
      </c>
      <c r="F392" s="10"/>
      <c r="G392" s="10">
        <f t="shared" si="90"/>
        <v>0</v>
      </c>
      <c r="H392" s="10"/>
      <c r="I392" s="10">
        <f t="shared" si="91"/>
        <v>0</v>
      </c>
      <c r="J392" s="10"/>
      <c r="K392" s="10">
        <f t="shared" si="92"/>
        <v>0</v>
      </c>
      <c r="L392" s="10">
        <f t="shared" si="93"/>
        <v>0</v>
      </c>
    </row>
    <row r="393" spans="1:18" x14ac:dyDescent="0.3">
      <c r="A393" s="2"/>
      <c r="B393" s="5" t="s">
        <v>104</v>
      </c>
      <c r="C393" s="1" t="s">
        <v>30</v>
      </c>
      <c r="D393" s="8">
        <v>1.2E-2</v>
      </c>
      <c r="E393" s="8">
        <f>D393*E$389</f>
        <v>21</v>
      </c>
      <c r="F393" s="10"/>
      <c r="G393" s="10">
        <f t="shared" si="90"/>
        <v>0</v>
      </c>
      <c r="H393" s="10"/>
      <c r="I393" s="10">
        <f t="shared" si="91"/>
        <v>0</v>
      </c>
      <c r="J393" s="10"/>
      <c r="K393" s="10">
        <f t="shared" si="92"/>
        <v>0</v>
      </c>
      <c r="L393" s="10">
        <f t="shared" si="93"/>
        <v>0</v>
      </c>
      <c r="R393" s="38"/>
    </row>
    <row r="394" spans="1:18" x14ac:dyDescent="0.3">
      <c r="A394" s="2"/>
      <c r="B394" s="5" t="s">
        <v>105</v>
      </c>
      <c r="C394" s="1" t="s">
        <v>30</v>
      </c>
      <c r="D394" s="8">
        <f>D393*2</f>
        <v>2.4E-2</v>
      </c>
      <c r="E394" s="8">
        <f>D394*E$389</f>
        <v>42</v>
      </c>
      <c r="F394" s="10"/>
      <c r="G394" s="10">
        <f t="shared" si="90"/>
        <v>0</v>
      </c>
      <c r="H394" s="10"/>
      <c r="I394" s="10">
        <f t="shared" si="91"/>
        <v>0</v>
      </c>
      <c r="J394" s="10"/>
      <c r="K394" s="10">
        <f t="shared" si="92"/>
        <v>0</v>
      </c>
      <c r="L394" s="10">
        <f t="shared" si="93"/>
        <v>0</v>
      </c>
      <c r="R394" s="38"/>
    </row>
    <row r="395" spans="1:18" x14ac:dyDescent="0.3">
      <c r="A395" s="2">
        <f>A389+1</f>
        <v>52</v>
      </c>
      <c r="B395" s="14" t="s">
        <v>234</v>
      </c>
      <c r="C395" s="2" t="s">
        <v>12</v>
      </c>
      <c r="D395" s="15"/>
      <c r="E395" s="15">
        <f>67.6*2</f>
        <v>135.19999999999999</v>
      </c>
      <c r="F395" s="10"/>
      <c r="G395" s="10">
        <f t="shared" si="90"/>
        <v>0</v>
      </c>
      <c r="H395" s="10"/>
      <c r="I395" s="10">
        <f t="shared" si="91"/>
        <v>0</v>
      </c>
      <c r="J395" s="10"/>
      <c r="K395" s="10">
        <f t="shared" si="92"/>
        <v>0</v>
      </c>
      <c r="L395" s="10">
        <f t="shared" si="93"/>
        <v>0</v>
      </c>
    </row>
    <row r="396" spans="1:18" x14ac:dyDescent="0.3">
      <c r="A396" s="2"/>
      <c r="B396" s="5" t="s">
        <v>13</v>
      </c>
      <c r="C396" s="1" t="s">
        <v>12</v>
      </c>
      <c r="D396" s="8">
        <v>1</v>
      </c>
      <c r="E396" s="8">
        <f>D396*E$395</f>
        <v>135.19999999999999</v>
      </c>
      <c r="F396" s="10"/>
      <c r="G396" s="10">
        <f t="shared" si="90"/>
        <v>0</v>
      </c>
      <c r="H396" s="10"/>
      <c r="I396" s="10">
        <f t="shared" si="91"/>
        <v>0</v>
      </c>
      <c r="J396" s="10"/>
      <c r="K396" s="10">
        <f t="shared" si="92"/>
        <v>0</v>
      </c>
      <c r="L396" s="10">
        <f t="shared" si="93"/>
        <v>0</v>
      </c>
    </row>
    <row r="397" spans="1:18" x14ac:dyDescent="0.3">
      <c r="A397" s="2"/>
      <c r="B397" s="5" t="s">
        <v>113</v>
      </c>
      <c r="C397" s="1" t="s">
        <v>16</v>
      </c>
      <c r="D397" s="8">
        <f>0.5*1.05</f>
        <v>0.52500000000000002</v>
      </c>
      <c r="E397" s="8">
        <f>D397*E$395</f>
        <v>70.98</v>
      </c>
      <c r="F397" s="10"/>
      <c r="G397" s="10">
        <f t="shared" ref="G397" si="100">F397*E397</f>
        <v>0</v>
      </c>
      <c r="H397" s="10"/>
      <c r="I397" s="10">
        <f t="shared" ref="I397" si="101">H397*E397</f>
        <v>0</v>
      </c>
      <c r="J397" s="10"/>
      <c r="K397" s="10">
        <f t="shared" ref="K397" si="102">J397*E397</f>
        <v>0</v>
      </c>
      <c r="L397" s="10">
        <f t="shared" ref="L397" si="103">K397+I397+G397</f>
        <v>0</v>
      </c>
    </row>
    <row r="398" spans="1:18" x14ac:dyDescent="0.3">
      <c r="A398" s="2"/>
      <c r="B398" s="5" t="s">
        <v>19</v>
      </c>
      <c r="C398" s="1" t="s">
        <v>12</v>
      </c>
      <c r="D398" s="8">
        <v>1</v>
      </c>
      <c r="E398" s="8">
        <f>D398*E$395</f>
        <v>135.19999999999999</v>
      </c>
      <c r="F398" s="10"/>
      <c r="G398" s="10">
        <f t="shared" ref="G398:G400" si="104">F398*E398</f>
        <v>0</v>
      </c>
      <c r="H398" s="10"/>
      <c r="I398" s="10">
        <f t="shared" ref="I398:I400" si="105">H398*E398</f>
        <v>0</v>
      </c>
      <c r="J398" s="10"/>
      <c r="K398" s="10">
        <f t="shared" ref="K398:K400" si="106">J398*E398</f>
        <v>0</v>
      </c>
      <c r="L398" s="10">
        <f t="shared" ref="L398:L400" si="107">K398+I398+G398</f>
        <v>0</v>
      </c>
    </row>
    <row r="399" spans="1:18" x14ac:dyDescent="0.3">
      <c r="A399" s="2"/>
      <c r="B399" s="5" t="s">
        <v>105</v>
      </c>
      <c r="C399" s="1" t="s">
        <v>30</v>
      </c>
      <c r="D399" s="8">
        <v>0.02</v>
      </c>
      <c r="E399" s="8">
        <f>D399*E$395</f>
        <v>2.7039999999999997</v>
      </c>
      <c r="F399" s="10"/>
      <c r="G399" s="10">
        <f t="shared" si="104"/>
        <v>0</v>
      </c>
      <c r="H399" s="10"/>
      <c r="I399" s="10">
        <f t="shared" si="105"/>
        <v>0</v>
      </c>
      <c r="J399" s="10"/>
      <c r="K399" s="10">
        <f t="shared" si="106"/>
        <v>0</v>
      </c>
      <c r="L399" s="10">
        <f t="shared" si="107"/>
        <v>0</v>
      </c>
    </row>
    <row r="400" spans="1:18" x14ac:dyDescent="0.3">
      <c r="A400" s="2">
        <f>A395+1</f>
        <v>53</v>
      </c>
      <c r="B400" s="14" t="s">
        <v>235</v>
      </c>
      <c r="C400" s="2" t="s">
        <v>16</v>
      </c>
      <c r="D400" s="15"/>
      <c r="E400" s="15">
        <f>E389+E383+E395</f>
        <v>3285.2</v>
      </c>
      <c r="F400" s="10"/>
      <c r="G400" s="10">
        <f t="shared" si="104"/>
        <v>0</v>
      </c>
      <c r="H400" s="10"/>
      <c r="I400" s="10">
        <f t="shared" si="105"/>
        <v>0</v>
      </c>
      <c r="J400" s="10"/>
      <c r="K400" s="10">
        <f t="shared" si="106"/>
        <v>0</v>
      </c>
      <c r="L400" s="10">
        <f t="shared" si="107"/>
        <v>0</v>
      </c>
    </row>
    <row r="401" spans="1:12" x14ac:dyDescent="0.3">
      <c r="A401" s="2"/>
      <c r="B401" s="5" t="s">
        <v>13</v>
      </c>
      <c r="C401" s="1" t="s">
        <v>16</v>
      </c>
      <c r="D401" s="8">
        <v>1</v>
      </c>
      <c r="E401" s="8">
        <f>D401*E$400</f>
        <v>3285.2</v>
      </c>
      <c r="F401" s="10"/>
      <c r="G401" s="10">
        <f t="shared" si="90"/>
        <v>0</v>
      </c>
      <c r="H401" s="10"/>
      <c r="I401" s="10">
        <f t="shared" si="91"/>
        <v>0</v>
      </c>
      <c r="J401" s="10"/>
      <c r="K401" s="10">
        <f t="shared" si="92"/>
        <v>0</v>
      </c>
      <c r="L401" s="10">
        <f t="shared" si="93"/>
        <v>0</v>
      </c>
    </row>
    <row r="402" spans="1:12" x14ac:dyDescent="0.3">
      <c r="A402" s="2"/>
      <c r="B402" s="5" t="s">
        <v>115</v>
      </c>
      <c r="C402" s="1" t="s">
        <v>16</v>
      </c>
      <c r="D402" s="8">
        <v>1</v>
      </c>
      <c r="E402" s="8">
        <f>D402*E$400</f>
        <v>3285.2</v>
      </c>
      <c r="F402" s="10"/>
      <c r="G402" s="10">
        <f t="shared" si="90"/>
        <v>0</v>
      </c>
      <c r="H402" s="10"/>
      <c r="I402" s="10">
        <f t="shared" si="91"/>
        <v>0</v>
      </c>
      <c r="J402" s="10"/>
      <c r="K402" s="10">
        <f t="shared" si="92"/>
        <v>0</v>
      </c>
      <c r="L402" s="10">
        <f t="shared" si="93"/>
        <v>0</v>
      </c>
    </row>
    <row r="403" spans="1:12" x14ac:dyDescent="0.3">
      <c r="A403" s="2"/>
      <c r="B403" s="5" t="s">
        <v>19</v>
      </c>
      <c r="C403" s="1" t="s">
        <v>16</v>
      </c>
      <c r="D403" s="8">
        <v>1</v>
      </c>
      <c r="E403" s="8">
        <f>D403*E$400</f>
        <v>3285.2</v>
      </c>
      <c r="F403" s="10"/>
      <c r="G403" s="10">
        <f t="shared" si="90"/>
        <v>0</v>
      </c>
      <c r="H403" s="10"/>
      <c r="I403" s="10">
        <f t="shared" si="91"/>
        <v>0</v>
      </c>
      <c r="J403" s="10"/>
      <c r="K403" s="10">
        <f t="shared" si="92"/>
        <v>0</v>
      </c>
      <c r="L403" s="10">
        <f t="shared" si="93"/>
        <v>0</v>
      </c>
    </row>
    <row r="404" spans="1:12" x14ac:dyDescent="0.3">
      <c r="A404" s="2">
        <f>A400+1</f>
        <v>54</v>
      </c>
      <c r="B404" s="14" t="s">
        <v>119</v>
      </c>
      <c r="C404" s="2" t="s">
        <v>16</v>
      </c>
      <c r="D404" s="15"/>
      <c r="E404" s="15">
        <f>(9.2*2*1.6+23.3*2.34)+35*1.2</f>
        <v>125.96199999999999</v>
      </c>
      <c r="F404" s="10"/>
      <c r="G404" s="10">
        <f t="shared" ref="G404:G410" si="108">F404*E404</f>
        <v>0</v>
      </c>
      <c r="H404" s="10"/>
      <c r="I404" s="10">
        <f t="shared" ref="I404:I410" si="109">H404*E404</f>
        <v>0</v>
      </c>
      <c r="J404" s="10"/>
      <c r="K404" s="10">
        <f t="shared" ref="K404:K410" si="110">J404*E404</f>
        <v>0</v>
      </c>
      <c r="L404" s="10">
        <f t="shared" ref="L404:L410" si="111">K404+I404+G404</f>
        <v>0</v>
      </c>
    </row>
    <row r="405" spans="1:12" x14ac:dyDescent="0.3">
      <c r="A405" s="2"/>
      <c r="B405" s="5" t="s">
        <v>13</v>
      </c>
      <c r="C405" s="1" t="s">
        <v>72</v>
      </c>
      <c r="D405" s="8">
        <v>12.5</v>
      </c>
      <c r="E405" s="8">
        <f>D405*E$404</f>
        <v>1574.5249999999999</v>
      </c>
      <c r="F405" s="10"/>
      <c r="G405" s="10">
        <f t="shared" si="108"/>
        <v>0</v>
      </c>
      <c r="H405" s="10"/>
      <c r="I405" s="10">
        <f t="shared" si="109"/>
        <v>0</v>
      </c>
      <c r="J405" s="10"/>
      <c r="K405" s="10">
        <f t="shared" si="110"/>
        <v>0</v>
      </c>
      <c r="L405" s="10">
        <f t="shared" si="111"/>
        <v>0</v>
      </c>
    </row>
    <row r="406" spans="1:12" x14ac:dyDescent="0.3">
      <c r="A406" s="2"/>
      <c r="B406" s="5" t="s">
        <v>117</v>
      </c>
      <c r="C406" s="1" t="s">
        <v>72</v>
      </c>
      <c r="D406" s="8">
        <v>12.5</v>
      </c>
      <c r="E406" s="8">
        <f>D406*E$404</f>
        <v>1574.5249999999999</v>
      </c>
      <c r="F406" s="10"/>
      <c r="G406" s="10">
        <f t="shared" si="108"/>
        <v>0</v>
      </c>
      <c r="H406" s="10"/>
      <c r="I406" s="10">
        <f t="shared" si="109"/>
        <v>0</v>
      </c>
      <c r="J406" s="10"/>
      <c r="K406" s="10">
        <f t="shared" si="110"/>
        <v>0</v>
      </c>
      <c r="L406" s="10">
        <f t="shared" si="111"/>
        <v>0</v>
      </c>
    </row>
    <row r="407" spans="1:12" x14ac:dyDescent="0.3">
      <c r="A407" s="2"/>
      <c r="B407" s="5" t="s">
        <v>118</v>
      </c>
      <c r="C407" s="1" t="s">
        <v>18</v>
      </c>
      <c r="D407" s="8">
        <f>0.014*1.02</f>
        <v>1.4280000000000001E-2</v>
      </c>
      <c r="E407" s="8">
        <f>D407*E$404</f>
        <v>1.7987373600000001</v>
      </c>
      <c r="F407" s="10"/>
      <c r="G407" s="10">
        <f t="shared" si="108"/>
        <v>0</v>
      </c>
      <c r="H407" s="10"/>
      <c r="I407" s="10">
        <f t="shared" si="109"/>
        <v>0</v>
      </c>
      <c r="J407" s="10"/>
      <c r="K407" s="10">
        <f t="shared" si="110"/>
        <v>0</v>
      </c>
      <c r="L407" s="10">
        <f t="shared" si="111"/>
        <v>0</v>
      </c>
    </row>
    <row r="408" spans="1:12" x14ac:dyDescent="0.3">
      <c r="A408" s="2"/>
      <c r="B408" s="5" t="s">
        <v>19</v>
      </c>
      <c r="C408" s="1" t="s">
        <v>16</v>
      </c>
      <c r="D408" s="8">
        <v>1</v>
      </c>
      <c r="E408" s="8">
        <f>D408*E$404</f>
        <v>125.96199999999999</v>
      </c>
      <c r="F408" s="10"/>
      <c r="G408" s="10">
        <f t="shared" si="108"/>
        <v>0</v>
      </c>
      <c r="H408" s="10"/>
      <c r="I408" s="10">
        <f t="shared" si="109"/>
        <v>0</v>
      </c>
      <c r="J408" s="10"/>
      <c r="K408" s="10">
        <f t="shared" si="110"/>
        <v>0</v>
      </c>
      <c r="L408" s="10">
        <f t="shared" si="111"/>
        <v>0</v>
      </c>
    </row>
    <row r="409" spans="1:12" x14ac:dyDescent="0.3">
      <c r="A409" s="2">
        <f>A404+1</f>
        <v>55</v>
      </c>
      <c r="B409" s="14" t="s">
        <v>129</v>
      </c>
      <c r="C409" s="2" t="s">
        <v>12</v>
      </c>
      <c r="D409" s="15"/>
      <c r="E409" s="15">
        <f>35+40</f>
        <v>75</v>
      </c>
      <c r="F409" s="10"/>
      <c r="G409" s="10">
        <f t="shared" si="108"/>
        <v>0</v>
      </c>
      <c r="H409" s="10"/>
      <c r="I409" s="10">
        <f t="shared" si="109"/>
        <v>0</v>
      </c>
      <c r="J409" s="10"/>
      <c r="K409" s="10">
        <f t="shared" si="110"/>
        <v>0</v>
      </c>
      <c r="L409" s="10">
        <f t="shared" si="111"/>
        <v>0</v>
      </c>
    </row>
    <row r="410" spans="1:12" x14ac:dyDescent="0.3">
      <c r="A410" s="2"/>
      <c r="B410" s="5" t="s">
        <v>13</v>
      </c>
      <c r="C410" s="1" t="s">
        <v>12</v>
      </c>
      <c r="D410" s="8">
        <v>1</v>
      </c>
      <c r="E410" s="8">
        <f>D410*E$409</f>
        <v>75</v>
      </c>
      <c r="F410" s="10"/>
      <c r="G410" s="10">
        <f t="shared" si="108"/>
        <v>0</v>
      </c>
      <c r="H410" s="10"/>
      <c r="I410" s="10">
        <f t="shared" si="109"/>
        <v>0</v>
      </c>
      <c r="J410" s="10"/>
      <c r="K410" s="10">
        <f t="shared" si="110"/>
        <v>0</v>
      </c>
      <c r="L410" s="10">
        <f t="shared" si="111"/>
        <v>0</v>
      </c>
    </row>
    <row r="411" spans="1:12" x14ac:dyDescent="0.3">
      <c r="A411" s="2"/>
      <c r="B411" s="5" t="s">
        <v>37</v>
      </c>
      <c r="C411" s="1" t="s">
        <v>18</v>
      </c>
      <c r="D411" s="8">
        <f>0.3*0.2*1.02</f>
        <v>6.1199999999999997E-2</v>
      </c>
      <c r="E411" s="8">
        <f>D411*E$409</f>
        <v>4.59</v>
      </c>
      <c r="F411" s="10"/>
      <c r="G411" s="10">
        <f t="shared" ref="G411" si="112">F411*E411</f>
        <v>0</v>
      </c>
      <c r="H411" s="10"/>
      <c r="I411" s="10">
        <f t="shared" ref="I411" si="113">H411*E411</f>
        <v>0</v>
      </c>
      <c r="J411" s="10"/>
      <c r="K411" s="10">
        <f t="shared" ref="K411" si="114">J411*E411</f>
        <v>0</v>
      </c>
      <c r="L411" s="10">
        <f t="shared" ref="L411" si="115">K411+I411+G411</f>
        <v>0</v>
      </c>
    </row>
    <row r="412" spans="1:12" x14ac:dyDescent="0.3">
      <c r="A412" s="2"/>
      <c r="B412" s="5" t="s">
        <v>39</v>
      </c>
      <c r="C412" s="1" t="s">
        <v>38</v>
      </c>
      <c r="D412" s="8">
        <v>1.05</v>
      </c>
      <c r="E412" s="8">
        <f>E409*4*1.1*0.678/1000*1.05</f>
        <v>0.23492700000000002</v>
      </c>
      <c r="F412" s="10"/>
      <c r="G412" s="10">
        <f t="shared" ref="G412" si="116">F412*E412</f>
        <v>0</v>
      </c>
      <c r="H412" s="10"/>
      <c r="I412" s="10">
        <f t="shared" ref="I412" si="117">H412*E412</f>
        <v>0</v>
      </c>
      <c r="J412" s="10"/>
      <c r="K412" s="10">
        <f t="shared" ref="K412" si="118">J412*E412</f>
        <v>0</v>
      </c>
      <c r="L412" s="10">
        <f t="shared" ref="L412" si="119">K412+I412+G412</f>
        <v>0</v>
      </c>
    </row>
    <row r="413" spans="1:12" x14ac:dyDescent="0.3">
      <c r="A413" s="2"/>
      <c r="B413" s="5" t="s">
        <v>40</v>
      </c>
      <c r="C413" s="1" t="s">
        <v>38</v>
      </c>
      <c r="D413" s="8">
        <v>1.05</v>
      </c>
      <c r="E413" s="8">
        <f>E409/0.2*1.1*0.398*1.1/1000*1.05</f>
        <v>0.18962212500000006</v>
      </c>
      <c r="F413" s="10"/>
      <c r="G413" s="10">
        <f t="shared" ref="G413" si="120">F413*E413</f>
        <v>0</v>
      </c>
      <c r="H413" s="10"/>
      <c r="I413" s="10">
        <f t="shared" ref="I413" si="121">H413*E413</f>
        <v>0</v>
      </c>
      <c r="J413" s="10"/>
      <c r="K413" s="10">
        <f t="shared" ref="K413" si="122">J413*E413</f>
        <v>0</v>
      </c>
      <c r="L413" s="10">
        <f t="shared" ref="L413" si="123">K413+I413+G413</f>
        <v>0</v>
      </c>
    </row>
    <row r="414" spans="1:12" x14ac:dyDescent="0.3">
      <c r="A414" s="2"/>
      <c r="B414" s="5" t="s">
        <v>19</v>
      </c>
      <c r="C414" s="1" t="s">
        <v>12</v>
      </c>
      <c r="D414" s="8">
        <v>1</v>
      </c>
      <c r="E414" s="8">
        <f>D414*E$409</f>
        <v>75</v>
      </c>
      <c r="F414" s="10"/>
      <c r="G414" s="10">
        <f t="shared" ref="G414" si="124">F414*E414</f>
        <v>0</v>
      </c>
      <c r="H414" s="10"/>
      <c r="I414" s="10">
        <f t="shared" ref="I414" si="125">H414*E414</f>
        <v>0</v>
      </c>
      <c r="J414" s="10"/>
      <c r="K414" s="10">
        <f t="shared" ref="K414" si="126">J414*E414</f>
        <v>0</v>
      </c>
      <c r="L414" s="10">
        <f t="shared" ref="L414" si="127">K414+I414+G414</f>
        <v>0</v>
      </c>
    </row>
    <row r="415" spans="1:12" x14ac:dyDescent="0.3">
      <c r="A415" s="2"/>
      <c r="B415" s="5" t="s">
        <v>45</v>
      </c>
      <c r="C415" s="1" t="s">
        <v>12</v>
      </c>
      <c r="D415" s="8">
        <v>1</v>
      </c>
      <c r="E415" s="8">
        <f>D415*E$409</f>
        <v>75</v>
      </c>
      <c r="F415" s="10"/>
      <c r="G415" s="10">
        <f t="shared" ref="G415:G416" si="128">F415*E415</f>
        <v>0</v>
      </c>
      <c r="H415" s="10"/>
      <c r="I415" s="10">
        <f t="shared" ref="I415:I416" si="129">H415*E415</f>
        <v>0</v>
      </c>
      <c r="J415" s="10"/>
      <c r="K415" s="10">
        <f t="shared" ref="K415:K416" si="130">J415*E415</f>
        <v>0</v>
      </c>
      <c r="L415" s="10">
        <f t="shared" ref="L415:L416" si="131">K415+I415+G415</f>
        <v>0</v>
      </c>
    </row>
    <row r="416" spans="1:12" x14ac:dyDescent="0.3">
      <c r="A416" s="2"/>
      <c r="B416" s="5" t="s">
        <v>46</v>
      </c>
      <c r="C416" s="1" t="s">
        <v>18</v>
      </c>
      <c r="D416" s="8">
        <f>0.3*0.2*1.02</f>
        <v>6.1199999999999997E-2</v>
      </c>
      <c r="E416" s="8">
        <f>D416*E$409</f>
        <v>4.59</v>
      </c>
      <c r="F416" s="10"/>
      <c r="G416" s="10">
        <f t="shared" si="128"/>
        <v>0</v>
      </c>
      <c r="H416" s="10"/>
      <c r="I416" s="10">
        <f t="shared" si="129"/>
        <v>0</v>
      </c>
      <c r="J416" s="10"/>
      <c r="K416" s="10">
        <f t="shared" si="130"/>
        <v>0</v>
      </c>
      <c r="L416" s="10">
        <f t="shared" si="131"/>
        <v>0</v>
      </c>
    </row>
    <row r="417" spans="1:18" x14ac:dyDescent="0.3">
      <c r="A417" s="2">
        <f>A409+1</f>
        <v>56</v>
      </c>
      <c r="B417" s="14" t="s">
        <v>1034</v>
      </c>
      <c r="C417" s="2" t="s">
        <v>16</v>
      </c>
      <c r="D417" s="15"/>
      <c r="E417" s="15">
        <f>E404*2</f>
        <v>251.92399999999998</v>
      </c>
      <c r="F417" s="10"/>
      <c r="G417" s="10">
        <f>F417*E417</f>
        <v>0</v>
      </c>
      <c r="H417" s="10"/>
      <c r="I417" s="10">
        <f>H417*E417</f>
        <v>0</v>
      </c>
      <c r="J417" s="10"/>
      <c r="K417" s="10">
        <f>J417*E417</f>
        <v>0</v>
      </c>
      <c r="L417" s="10">
        <f>K417+I417+G417</f>
        <v>0</v>
      </c>
    </row>
    <row r="418" spans="1:18" x14ac:dyDescent="0.3">
      <c r="A418" s="2"/>
      <c r="B418" s="5" t="s">
        <v>13</v>
      </c>
      <c r="C418" s="1" t="s">
        <v>16</v>
      </c>
      <c r="D418" s="8">
        <v>1</v>
      </c>
      <c r="E418" s="8">
        <f>D418*E$417</f>
        <v>251.92399999999998</v>
      </c>
      <c r="F418" s="10"/>
      <c r="G418" s="10">
        <f>F418*E418</f>
        <v>0</v>
      </c>
      <c r="H418" s="10"/>
      <c r="I418" s="10">
        <f>H418*E418</f>
        <v>0</v>
      </c>
      <c r="J418" s="10"/>
      <c r="K418" s="10">
        <f>J418*E418</f>
        <v>0</v>
      </c>
      <c r="L418" s="10">
        <f>K418+I418+G418</f>
        <v>0</v>
      </c>
    </row>
    <row r="419" spans="1:18" x14ac:dyDescent="0.3">
      <c r="A419" s="2"/>
      <c r="B419" s="5" t="s">
        <v>118</v>
      </c>
      <c r="C419" s="1" t="s">
        <v>18</v>
      </c>
      <c r="D419" s="8">
        <f>0.03*1.02</f>
        <v>3.0599999999999999E-2</v>
      </c>
      <c r="E419" s="8">
        <f>D419*E$417</f>
        <v>7.7088743999999991</v>
      </c>
      <c r="F419" s="10"/>
      <c r="G419" s="10">
        <f>F419*E419</f>
        <v>0</v>
      </c>
      <c r="H419" s="10"/>
      <c r="I419" s="10">
        <f>H419*E419</f>
        <v>0</v>
      </c>
      <c r="J419" s="10"/>
      <c r="K419" s="10">
        <f>J419*E419</f>
        <v>0</v>
      </c>
      <c r="L419" s="10">
        <f>K419+I419+G419</f>
        <v>0</v>
      </c>
    </row>
    <row r="420" spans="1:18" x14ac:dyDescent="0.3">
      <c r="A420" s="2"/>
      <c r="B420" s="5" t="s">
        <v>19</v>
      </c>
      <c r="C420" s="1" t="s">
        <v>16</v>
      </c>
      <c r="D420" s="8">
        <v>1</v>
      </c>
      <c r="E420" s="8">
        <f>D420*E$417</f>
        <v>251.92399999999998</v>
      </c>
      <c r="F420" s="10"/>
      <c r="G420" s="10">
        <f>F420*E420</f>
        <v>0</v>
      </c>
      <c r="H420" s="10"/>
      <c r="I420" s="10">
        <f>H420*E420</f>
        <v>0</v>
      </c>
      <c r="J420" s="10"/>
      <c r="K420" s="10">
        <f>J420*E420</f>
        <v>0</v>
      </c>
      <c r="L420" s="10">
        <f>K420+I420+G420</f>
        <v>0</v>
      </c>
    </row>
    <row r="421" spans="1:18" ht="45" customHeight="1" x14ac:dyDescent="0.3">
      <c r="A421" s="2">
        <f>A417+1</f>
        <v>57</v>
      </c>
      <c r="B421" s="14" t="s">
        <v>1030</v>
      </c>
      <c r="C421" s="2" t="s">
        <v>16</v>
      </c>
      <c r="D421" s="15"/>
      <c r="E421" s="15">
        <v>1068</v>
      </c>
      <c r="F421" s="10"/>
      <c r="G421" s="10">
        <f t="shared" si="90"/>
        <v>0</v>
      </c>
      <c r="H421" s="10"/>
      <c r="I421" s="10">
        <f t="shared" si="91"/>
        <v>0</v>
      </c>
      <c r="J421" s="10"/>
      <c r="K421" s="10">
        <f t="shared" si="92"/>
        <v>0</v>
      </c>
      <c r="L421" s="10">
        <f t="shared" si="93"/>
        <v>0</v>
      </c>
    </row>
    <row r="422" spans="1:18" x14ac:dyDescent="0.3">
      <c r="A422" s="2"/>
      <c r="B422" s="5" t="s">
        <v>13</v>
      </c>
      <c r="C422" s="1" t="s">
        <v>16</v>
      </c>
      <c r="D422" s="8">
        <v>1</v>
      </c>
      <c r="E422" s="8">
        <f t="shared" ref="E422:E431" si="132">D422*E$421</f>
        <v>1068</v>
      </c>
      <c r="F422" s="10"/>
      <c r="G422" s="10">
        <f t="shared" si="90"/>
        <v>0</v>
      </c>
      <c r="H422" s="10"/>
      <c r="I422" s="10">
        <f t="shared" si="91"/>
        <v>0</v>
      </c>
      <c r="J422" s="10"/>
      <c r="K422" s="10">
        <f t="shared" si="92"/>
        <v>0</v>
      </c>
      <c r="L422" s="10">
        <f t="shared" si="93"/>
        <v>0</v>
      </c>
    </row>
    <row r="423" spans="1:18" x14ac:dyDescent="0.3">
      <c r="A423" s="2"/>
      <c r="B423" s="5" t="s">
        <v>1031</v>
      </c>
      <c r="C423" s="1" t="s">
        <v>16</v>
      </c>
      <c r="D423" s="8">
        <v>2</v>
      </c>
      <c r="E423" s="8">
        <f t="shared" si="132"/>
        <v>2136</v>
      </c>
      <c r="F423" s="10"/>
      <c r="G423" s="10">
        <f t="shared" si="90"/>
        <v>0</v>
      </c>
      <c r="H423" s="10"/>
      <c r="I423" s="10">
        <f t="shared" si="91"/>
        <v>0</v>
      </c>
      <c r="J423" s="10"/>
      <c r="K423" s="10">
        <f t="shared" si="92"/>
        <v>0</v>
      </c>
      <c r="L423" s="10">
        <f t="shared" si="93"/>
        <v>0</v>
      </c>
    </row>
    <row r="424" spans="1:18" x14ac:dyDescent="0.3">
      <c r="A424" s="2"/>
      <c r="B424" s="5" t="s">
        <v>166</v>
      </c>
      <c r="C424" s="1" t="s">
        <v>12</v>
      </c>
      <c r="D424" s="8">
        <v>1.1000000000000001</v>
      </c>
      <c r="E424" s="8">
        <f t="shared" si="132"/>
        <v>1174.8000000000002</v>
      </c>
      <c r="F424" s="10"/>
      <c r="G424" s="10">
        <f t="shared" si="90"/>
        <v>0</v>
      </c>
      <c r="H424" s="10"/>
      <c r="I424" s="10">
        <f t="shared" si="91"/>
        <v>0</v>
      </c>
      <c r="J424" s="10"/>
      <c r="K424" s="10">
        <f t="shared" si="92"/>
        <v>0</v>
      </c>
      <c r="L424" s="10">
        <f t="shared" si="93"/>
        <v>0</v>
      </c>
    </row>
    <row r="425" spans="1:18" x14ac:dyDescent="0.3">
      <c r="A425" s="2"/>
      <c r="B425" s="5" t="s">
        <v>167</v>
      </c>
      <c r="C425" s="1" t="s">
        <v>12</v>
      </c>
      <c r="D425" s="8">
        <v>2</v>
      </c>
      <c r="E425" s="8">
        <f t="shared" si="132"/>
        <v>2136</v>
      </c>
      <c r="F425" s="10"/>
      <c r="G425" s="10">
        <f t="shared" si="90"/>
        <v>0</v>
      </c>
      <c r="H425" s="10"/>
      <c r="I425" s="10">
        <f t="shared" si="91"/>
        <v>0</v>
      </c>
      <c r="J425" s="10"/>
      <c r="K425" s="10">
        <f t="shared" si="92"/>
        <v>0</v>
      </c>
      <c r="L425" s="10">
        <f t="shared" si="93"/>
        <v>0</v>
      </c>
    </row>
    <row r="426" spans="1:18" x14ac:dyDescent="0.3">
      <c r="A426" s="2"/>
      <c r="B426" s="5" t="s">
        <v>1032</v>
      </c>
      <c r="C426" s="1" t="s">
        <v>72</v>
      </c>
      <c r="D426" s="8">
        <v>17</v>
      </c>
      <c r="E426" s="8">
        <f t="shared" si="132"/>
        <v>18156</v>
      </c>
      <c r="F426" s="10"/>
      <c r="G426" s="10">
        <f t="shared" ref="G426:G431" si="133">F426*E426</f>
        <v>0</v>
      </c>
      <c r="H426" s="10"/>
      <c r="I426" s="10">
        <f t="shared" ref="I426:I431" si="134">H426*E426</f>
        <v>0</v>
      </c>
      <c r="J426" s="10"/>
      <c r="K426" s="10">
        <f t="shared" ref="K426:K431" si="135">J426*E426</f>
        <v>0</v>
      </c>
      <c r="L426" s="10">
        <f t="shared" ref="L426:L431" si="136">K426+I426+G426</f>
        <v>0</v>
      </c>
    </row>
    <row r="427" spans="1:18" x14ac:dyDescent="0.3">
      <c r="A427" s="2"/>
      <c r="B427" s="5" t="s">
        <v>169</v>
      </c>
      <c r="C427" s="1" t="s">
        <v>47</v>
      </c>
      <c r="D427" s="8">
        <v>0.45</v>
      </c>
      <c r="E427" s="8">
        <f t="shared" si="132"/>
        <v>480.6</v>
      </c>
      <c r="F427" s="10"/>
      <c r="G427" s="10">
        <f t="shared" si="133"/>
        <v>0</v>
      </c>
      <c r="H427" s="10"/>
      <c r="I427" s="10">
        <f t="shared" si="134"/>
        <v>0</v>
      </c>
      <c r="J427" s="10"/>
      <c r="K427" s="10">
        <f t="shared" si="135"/>
        <v>0</v>
      </c>
      <c r="L427" s="10">
        <f t="shared" si="136"/>
        <v>0</v>
      </c>
    </row>
    <row r="428" spans="1:18" x14ac:dyDescent="0.3">
      <c r="A428" s="2"/>
      <c r="B428" s="5" t="s">
        <v>170</v>
      </c>
      <c r="C428" s="1" t="s">
        <v>12</v>
      </c>
      <c r="D428" s="8">
        <v>1.1000000000000001</v>
      </c>
      <c r="E428" s="8">
        <f t="shared" si="132"/>
        <v>1174.8000000000002</v>
      </c>
      <c r="F428" s="10"/>
      <c r="G428" s="10">
        <f t="shared" si="133"/>
        <v>0</v>
      </c>
      <c r="H428" s="10"/>
      <c r="I428" s="10">
        <f t="shared" si="134"/>
        <v>0</v>
      </c>
      <c r="J428" s="10"/>
      <c r="K428" s="10">
        <f t="shared" si="135"/>
        <v>0</v>
      </c>
      <c r="L428" s="10">
        <f t="shared" si="136"/>
        <v>0</v>
      </c>
    </row>
    <row r="429" spans="1:18" x14ac:dyDescent="0.3">
      <c r="A429" s="2"/>
      <c r="B429" s="5" t="s">
        <v>171</v>
      </c>
      <c r="C429" s="1" t="s">
        <v>72</v>
      </c>
      <c r="D429" s="8">
        <v>1.6</v>
      </c>
      <c r="E429" s="8">
        <f t="shared" si="132"/>
        <v>1708.8000000000002</v>
      </c>
      <c r="F429" s="10"/>
      <c r="G429" s="10">
        <f t="shared" si="133"/>
        <v>0</v>
      </c>
      <c r="H429" s="10"/>
      <c r="I429" s="10">
        <f t="shared" si="134"/>
        <v>0</v>
      </c>
      <c r="J429" s="10"/>
      <c r="K429" s="10">
        <f t="shared" si="135"/>
        <v>0</v>
      </c>
      <c r="L429" s="10">
        <f t="shared" si="136"/>
        <v>0</v>
      </c>
      <c r="R429" s="9"/>
    </row>
    <row r="430" spans="1:18" x14ac:dyDescent="0.3">
      <c r="A430" s="2"/>
      <c r="B430" s="5" t="s">
        <v>1033</v>
      </c>
      <c r="C430" s="1" t="s">
        <v>12</v>
      </c>
      <c r="D430" s="8">
        <v>1.2</v>
      </c>
      <c r="E430" s="8">
        <f t="shared" si="132"/>
        <v>1281.5999999999999</v>
      </c>
      <c r="F430" s="10"/>
      <c r="G430" s="10">
        <f t="shared" si="133"/>
        <v>0</v>
      </c>
      <c r="H430" s="10"/>
      <c r="I430" s="10">
        <f t="shared" si="134"/>
        <v>0</v>
      </c>
      <c r="J430" s="10"/>
      <c r="K430" s="10">
        <f t="shared" si="135"/>
        <v>0</v>
      </c>
      <c r="L430" s="10">
        <f t="shared" si="136"/>
        <v>0</v>
      </c>
    </row>
    <row r="431" spans="1:18" x14ac:dyDescent="0.3">
      <c r="A431" s="2"/>
      <c r="B431" s="5" t="s">
        <v>173</v>
      </c>
      <c r="C431" s="1" t="s">
        <v>25</v>
      </c>
      <c r="D431" s="8">
        <v>0.1</v>
      </c>
      <c r="E431" s="8">
        <f t="shared" si="132"/>
        <v>106.80000000000001</v>
      </c>
      <c r="F431" s="10"/>
      <c r="G431" s="10">
        <f t="shared" si="133"/>
        <v>0</v>
      </c>
      <c r="H431" s="10"/>
      <c r="I431" s="10">
        <f t="shared" si="134"/>
        <v>0</v>
      </c>
      <c r="J431" s="10"/>
      <c r="K431" s="10">
        <f t="shared" si="135"/>
        <v>0</v>
      </c>
      <c r="L431" s="10">
        <f t="shared" si="136"/>
        <v>0</v>
      </c>
    </row>
    <row r="432" spans="1:18" ht="28.8" x14ac:dyDescent="0.3">
      <c r="A432" s="2">
        <f>A421+1</f>
        <v>58</v>
      </c>
      <c r="B432" s="14" t="s">
        <v>1074</v>
      </c>
      <c r="C432" s="2" t="s">
        <v>16</v>
      </c>
      <c r="D432" s="15"/>
      <c r="E432" s="15">
        <f>E421</f>
        <v>1068</v>
      </c>
      <c r="F432" s="10"/>
      <c r="G432" s="10">
        <f t="shared" si="90"/>
        <v>0</v>
      </c>
      <c r="H432" s="10"/>
      <c r="I432" s="10">
        <f t="shared" si="91"/>
        <v>0</v>
      </c>
      <c r="J432" s="10"/>
      <c r="K432" s="10">
        <f t="shared" si="92"/>
        <v>0</v>
      </c>
      <c r="L432" s="10">
        <f t="shared" si="93"/>
        <v>0</v>
      </c>
    </row>
    <row r="433" spans="1:18" x14ac:dyDescent="0.3">
      <c r="A433" s="2"/>
      <c r="B433" s="5" t="s">
        <v>13</v>
      </c>
      <c r="C433" s="1" t="s">
        <v>16</v>
      </c>
      <c r="D433" s="8">
        <v>1</v>
      </c>
      <c r="E433" s="8">
        <f>D433*E$432</f>
        <v>1068</v>
      </c>
      <c r="F433" s="10"/>
      <c r="G433" s="10">
        <f t="shared" si="90"/>
        <v>0</v>
      </c>
      <c r="H433" s="10"/>
      <c r="I433" s="10">
        <f t="shared" si="91"/>
        <v>0</v>
      </c>
      <c r="J433" s="10"/>
      <c r="K433" s="10">
        <f t="shared" si="92"/>
        <v>0</v>
      </c>
      <c r="L433" s="10">
        <f t="shared" si="93"/>
        <v>0</v>
      </c>
    </row>
    <row r="434" spans="1:18" x14ac:dyDescent="0.3">
      <c r="A434" s="2"/>
      <c r="B434" s="5" t="s">
        <v>1035</v>
      </c>
      <c r="C434" s="1" t="s">
        <v>16</v>
      </c>
      <c r="D434" s="8">
        <v>1.05</v>
      </c>
      <c r="E434" s="8">
        <f>D434*E$432</f>
        <v>1121.4000000000001</v>
      </c>
      <c r="F434" s="10"/>
      <c r="G434" s="10">
        <f t="shared" si="90"/>
        <v>0</v>
      </c>
      <c r="H434" s="10"/>
      <c r="I434" s="10">
        <f t="shared" si="91"/>
        <v>0</v>
      </c>
      <c r="J434" s="10"/>
      <c r="K434" s="10">
        <f t="shared" si="92"/>
        <v>0</v>
      </c>
      <c r="L434" s="10">
        <f t="shared" si="93"/>
        <v>0</v>
      </c>
    </row>
    <row r="435" spans="1:18" x14ac:dyDescent="0.3">
      <c r="A435" s="2"/>
      <c r="B435" s="5" t="s">
        <v>120</v>
      </c>
      <c r="C435" s="1" t="s">
        <v>72</v>
      </c>
      <c r="D435" s="8">
        <v>8</v>
      </c>
      <c r="E435" s="8">
        <f>D435*E$432</f>
        <v>8544</v>
      </c>
      <c r="F435" s="10"/>
      <c r="G435" s="10">
        <f t="shared" si="90"/>
        <v>0</v>
      </c>
      <c r="H435" s="10"/>
      <c r="I435" s="10">
        <f t="shared" si="91"/>
        <v>0</v>
      </c>
      <c r="J435" s="10"/>
      <c r="K435" s="10">
        <f t="shared" si="92"/>
        <v>0</v>
      </c>
      <c r="L435" s="10">
        <f t="shared" si="93"/>
        <v>0</v>
      </c>
    </row>
    <row r="436" spans="1:18" x14ac:dyDescent="0.3">
      <c r="A436" s="2"/>
      <c r="B436" s="5" t="s">
        <v>19</v>
      </c>
      <c r="C436" s="1" t="s">
        <v>16</v>
      </c>
      <c r="D436" s="8">
        <v>1</v>
      </c>
      <c r="E436" s="8">
        <f>D436*E$432</f>
        <v>1068</v>
      </c>
      <c r="F436" s="10"/>
      <c r="G436" s="10">
        <f t="shared" si="90"/>
        <v>0</v>
      </c>
      <c r="H436" s="10"/>
      <c r="I436" s="10">
        <f t="shared" si="91"/>
        <v>0</v>
      </c>
      <c r="J436" s="10"/>
      <c r="K436" s="10">
        <f t="shared" si="92"/>
        <v>0</v>
      </c>
      <c r="L436" s="10">
        <f t="shared" si="93"/>
        <v>0</v>
      </c>
    </row>
    <row r="437" spans="1:18" x14ac:dyDescent="0.3">
      <c r="A437" s="2">
        <f>A432+1</f>
        <v>59</v>
      </c>
      <c r="B437" s="14" t="s">
        <v>123</v>
      </c>
      <c r="C437" s="2" t="s">
        <v>16</v>
      </c>
      <c r="D437" s="15"/>
      <c r="E437" s="15">
        <v>811</v>
      </c>
      <c r="F437" s="10"/>
      <c r="G437" s="10">
        <f t="shared" ref="G437:G439" si="137">F437*E437</f>
        <v>0</v>
      </c>
      <c r="H437" s="10"/>
      <c r="I437" s="10">
        <f t="shared" ref="I437:I439" si="138">H437*E437</f>
        <v>0</v>
      </c>
      <c r="J437" s="10"/>
      <c r="K437" s="10">
        <f t="shared" ref="K437:K439" si="139">J437*E437</f>
        <v>0</v>
      </c>
      <c r="L437" s="10">
        <f t="shared" ref="L437:L439" si="140">K437+I437+G437</f>
        <v>0</v>
      </c>
    </row>
    <row r="438" spans="1:18" x14ac:dyDescent="0.3">
      <c r="A438" s="2"/>
      <c r="B438" s="5" t="s">
        <v>13</v>
      </c>
      <c r="C438" s="1" t="s">
        <v>16</v>
      </c>
      <c r="D438" s="8">
        <v>1</v>
      </c>
      <c r="E438" s="8">
        <f>D438*E$437</f>
        <v>811</v>
      </c>
      <c r="F438" s="10"/>
      <c r="G438" s="10">
        <f t="shared" si="137"/>
        <v>0</v>
      </c>
      <c r="H438" s="10"/>
      <c r="I438" s="10">
        <f t="shared" si="138"/>
        <v>0</v>
      </c>
      <c r="J438" s="10"/>
      <c r="K438" s="10">
        <f t="shared" si="139"/>
        <v>0</v>
      </c>
      <c r="L438" s="10">
        <f t="shared" si="140"/>
        <v>0</v>
      </c>
    </row>
    <row r="439" spans="1:18" x14ac:dyDescent="0.3">
      <c r="A439" s="2"/>
      <c r="B439" s="5" t="s">
        <v>124</v>
      </c>
      <c r="C439" s="1" t="s">
        <v>16</v>
      </c>
      <c r="D439" s="8">
        <v>1.02</v>
      </c>
      <c r="E439" s="8">
        <f>D439*E$437</f>
        <v>827.22</v>
      </c>
      <c r="F439" s="10"/>
      <c r="G439" s="10">
        <f t="shared" si="137"/>
        <v>0</v>
      </c>
      <c r="H439" s="10"/>
      <c r="I439" s="10">
        <f t="shared" si="138"/>
        <v>0</v>
      </c>
      <c r="J439" s="10"/>
      <c r="K439" s="10">
        <f t="shared" si="139"/>
        <v>0</v>
      </c>
      <c r="L439" s="10">
        <f t="shared" si="140"/>
        <v>0</v>
      </c>
    </row>
    <row r="440" spans="1:18" x14ac:dyDescent="0.3">
      <c r="A440" s="2">
        <f>A437+1</f>
        <v>60</v>
      </c>
      <c r="B440" s="14" t="s">
        <v>122</v>
      </c>
      <c r="C440" s="2" t="s">
        <v>16</v>
      </c>
      <c r="D440" s="15"/>
      <c r="E440" s="15">
        <f>E437</f>
        <v>811</v>
      </c>
      <c r="F440" s="10"/>
      <c r="G440" s="10">
        <f t="shared" ref="G440:G445" si="141">F440*E440</f>
        <v>0</v>
      </c>
      <c r="H440" s="10"/>
      <c r="I440" s="10">
        <f t="shared" ref="I440:I445" si="142">H440*E440</f>
        <v>0</v>
      </c>
      <c r="J440" s="10"/>
      <c r="K440" s="10">
        <f t="shared" ref="K440:K445" si="143">J440*E440</f>
        <v>0</v>
      </c>
      <c r="L440" s="10">
        <f t="shared" ref="L440:L445" si="144">K440+I440+G440</f>
        <v>0</v>
      </c>
    </row>
    <row r="441" spans="1:18" x14ac:dyDescent="0.3">
      <c r="A441" s="2"/>
      <c r="B441" s="5" t="s">
        <v>13</v>
      </c>
      <c r="C441" s="1" t="s">
        <v>16</v>
      </c>
      <c r="D441" s="8">
        <v>1</v>
      </c>
      <c r="E441" s="8">
        <f>D441*E$440</f>
        <v>811</v>
      </c>
      <c r="F441" s="10"/>
      <c r="G441" s="10">
        <f t="shared" si="141"/>
        <v>0</v>
      </c>
      <c r="H441" s="10"/>
      <c r="I441" s="10">
        <f t="shared" si="142"/>
        <v>0</v>
      </c>
      <c r="J441" s="10"/>
      <c r="K441" s="10">
        <f t="shared" si="143"/>
        <v>0</v>
      </c>
      <c r="L441" s="10">
        <f t="shared" si="144"/>
        <v>0</v>
      </c>
    </row>
    <row r="442" spans="1:18" x14ac:dyDescent="0.3">
      <c r="A442" s="2"/>
      <c r="B442" s="5" t="s">
        <v>125</v>
      </c>
      <c r="C442" s="1" t="s">
        <v>16</v>
      </c>
      <c r="D442" s="8">
        <v>1.02</v>
      </c>
      <c r="E442" s="8">
        <f>D442*E$440</f>
        <v>827.22</v>
      </c>
      <c r="F442" s="10"/>
      <c r="G442" s="10">
        <f t="shared" si="141"/>
        <v>0</v>
      </c>
      <c r="H442" s="10"/>
      <c r="I442" s="10">
        <f t="shared" si="142"/>
        <v>0</v>
      </c>
      <c r="J442" s="10"/>
      <c r="K442" s="10">
        <f t="shared" si="143"/>
        <v>0</v>
      </c>
      <c r="L442" s="10">
        <f t="shared" si="144"/>
        <v>0</v>
      </c>
    </row>
    <row r="443" spans="1:18" x14ac:dyDescent="0.3">
      <c r="A443" s="2">
        <f>A440+1</f>
        <v>61</v>
      </c>
      <c r="B443" s="14" t="s">
        <v>126</v>
      </c>
      <c r="C443" s="2" t="s">
        <v>16</v>
      </c>
      <c r="D443" s="15"/>
      <c r="E443" s="15">
        <f>E440</f>
        <v>811</v>
      </c>
      <c r="F443" s="10"/>
      <c r="G443" s="10">
        <f t="shared" si="141"/>
        <v>0</v>
      </c>
      <c r="H443" s="10"/>
      <c r="I443" s="10">
        <f t="shared" si="142"/>
        <v>0</v>
      </c>
      <c r="J443" s="10"/>
      <c r="K443" s="10">
        <f t="shared" si="143"/>
        <v>0</v>
      </c>
      <c r="L443" s="10">
        <f t="shared" si="144"/>
        <v>0</v>
      </c>
    </row>
    <row r="444" spans="1:18" x14ac:dyDescent="0.3">
      <c r="A444" s="2"/>
      <c r="B444" s="5" t="s">
        <v>13</v>
      </c>
      <c r="C444" s="1" t="s">
        <v>16</v>
      </c>
      <c r="D444" s="8">
        <v>1</v>
      </c>
      <c r="E444" s="8">
        <f>D444*E$443</f>
        <v>811</v>
      </c>
      <c r="F444" s="10"/>
      <c r="G444" s="10">
        <f t="shared" si="141"/>
        <v>0</v>
      </c>
      <c r="H444" s="10"/>
      <c r="I444" s="10">
        <f t="shared" si="142"/>
        <v>0</v>
      </c>
      <c r="J444" s="10"/>
      <c r="K444" s="10">
        <f t="shared" si="143"/>
        <v>0</v>
      </c>
      <c r="L444" s="10">
        <f t="shared" si="144"/>
        <v>0</v>
      </c>
    </row>
    <row r="445" spans="1:18" x14ac:dyDescent="0.3">
      <c r="A445" s="2"/>
      <c r="B445" s="5" t="s">
        <v>127</v>
      </c>
      <c r="C445" s="1" t="s">
        <v>16</v>
      </c>
      <c r="D445" s="8">
        <v>1.1499999999999999</v>
      </c>
      <c r="E445" s="8">
        <f>D445*E$443</f>
        <v>932.65</v>
      </c>
      <c r="F445" s="10"/>
      <c r="G445" s="10">
        <f t="shared" si="141"/>
        <v>0</v>
      </c>
      <c r="H445" s="10"/>
      <c r="I445" s="10">
        <f t="shared" si="142"/>
        <v>0</v>
      </c>
      <c r="J445" s="10"/>
      <c r="K445" s="10">
        <f t="shared" si="143"/>
        <v>0</v>
      </c>
      <c r="L445" s="10">
        <f t="shared" si="144"/>
        <v>0</v>
      </c>
    </row>
    <row r="446" spans="1:18" x14ac:dyDescent="0.3">
      <c r="A446" s="2"/>
      <c r="B446" s="5" t="s">
        <v>128</v>
      </c>
      <c r="C446" s="1" t="s">
        <v>16</v>
      </c>
      <c r="D446" s="8">
        <v>1</v>
      </c>
      <c r="E446" s="8">
        <f>D446*E$443</f>
        <v>811</v>
      </c>
      <c r="F446" s="10"/>
      <c r="G446" s="10">
        <f t="shared" ref="G446:G521" si="145">F446*E446</f>
        <v>0</v>
      </c>
      <c r="H446" s="10"/>
      <c r="I446" s="10">
        <f t="shared" ref="I446:I521" si="146">H446*E446</f>
        <v>0</v>
      </c>
      <c r="J446" s="10"/>
      <c r="K446" s="10">
        <f t="shared" ref="K446:K521" si="147">J446*E446</f>
        <v>0</v>
      </c>
      <c r="L446" s="10">
        <f t="shared" ref="L446:L521" si="148">K446+I446+G446</f>
        <v>0</v>
      </c>
    </row>
    <row r="447" spans="1:18" x14ac:dyDescent="0.3">
      <c r="A447" s="2"/>
      <c r="B447" s="5" t="s">
        <v>19</v>
      </c>
      <c r="C447" s="1" t="s">
        <v>16</v>
      </c>
      <c r="D447" s="8">
        <v>1</v>
      </c>
      <c r="E447" s="8">
        <f>D447*E$443</f>
        <v>811</v>
      </c>
      <c r="F447" s="10"/>
      <c r="G447" s="10">
        <f t="shared" si="145"/>
        <v>0</v>
      </c>
      <c r="H447" s="10"/>
      <c r="I447" s="10">
        <f t="shared" si="146"/>
        <v>0</v>
      </c>
      <c r="J447" s="10"/>
      <c r="K447" s="10">
        <f t="shared" si="147"/>
        <v>0</v>
      </c>
      <c r="L447" s="10">
        <f t="shared" si="148"/>
        <v>0</v>
      </c>
      <c r="R447" s="38"/>
    </row>
    <row r="448" spans="1:18" x14ac:dyDescent="0.3">
      <c r="A448" s="2">
        <f>A443+1</f>
        <v>62</v>
      </c>
      <c r="B448" s="14" t="s">
        <v>132</v>
      </c>
      <c r="C448" s="2" t="s">
        <v>12</v>
      </c>
      <c r="D448" s="15"/>
      <c r="E448" s="15">
        <v>107</v>
      </c>
      <c r="F448" s="10"/>
      <c r="G448" s="10">
        <f t="shared" ref="G448:G451" si="149">F448*E448</f>
        <v>0</v>
      </c>
      <c r="H448" s="10"/>
      <c r="I448" s="10">
        <f t="shared" ref="I448:I451" si="150">H448*E448</f>
        <v>0</v>
      </c>
      <c r="J448" s="10"/>
      <c r="K448" s="10">
        <f t="shared" ref="K448:K451" si="151">J448*E448</f>
        <v>0</v>
      </c>
      <c r="L448" s="10">
        <f t="shared" ref="L448:L451" si="152">K448+I448+G448</f>
        <v>0</v>
      </c>
    </row>
    <row r="449" spans="1:12" x14ac:dyDescent="0.3">
      <c r="A449" s="2"/>
      <c r="B449" s="5" t="s">
        <v>13</v>
      </c>
      <c r="C449" s="1" t="s">
        <v>12</v>
      </c>
      <c r="D449" s="8">
        <v>1</v>
      </c>
      <c r="E449" s="8">
        <f>D449*E$448</f>
        <v>107</v>
      </c>
      <c r="F449" s="10"/>
      <c r="G449" s="10">
        <f t="shared" si="149"/>
        <v>0</v>
      </c>
      <c r="H449" s="10"/>
      <c r="I449" s="10">
        <f t="shared" si="150"/>
        <v>0</v>
      </c>
      <c r="J449" s="10"/>
      <c r="K449" s="10">
        <f t="shared" si="151"/>
        <v>0</v>
      </c>
      <c r="L449" s="10">
        <f t="shared" si="152"/>
        <v>0</v>
      </c>
    </row>
    <row r="450" spans="1:12" x14ac:dyDescent="0.3">
      <c r="A450" s="2"/>
      <c r="B450" s="5" t="s">
        <v>127</v>
      </c>
      <c r="C450" s="1" t="s">
        <v>12</v>
      </c>
      <c r="D450" s="8">
        <v>1.05</v>
      </c>
      <c r="E450" s="8">
        <f>D450*E$448</f>
        <v>112.35000000000001</v>
      </c>
      <c r="F450" s="10"/>
      <c r="G450" s="10">
        <f t="shared" si="149"/>
        <v>0</v>
      </c>
      <c r="H450" s="10"/>
      <c r="I450" s="10">
        <f t="shared" si="150"/>
        <v>0</v>
      </c>
      <c r="J450" s="10"/>
      <c r="K450" s="10">
        <f t="shared" si="151"/>
        <v>0</v>
      </c>
      <c r="L450" s="10">
        <f t="shared" si="152"/>
        <v>0</v>
      </c>
    </row>
    <row r="451" spans="1:12" x14ac:dyDescent="0.3">
      <c r="A451" s="2"/>
      <c r="B451" s="5" t="s">
        <v>19</v>
      </c>
      <c r="C451" s="1" t="s">
        <v>12</v>
      </c>
      <c r="D451" s="8">
        <v>1</v>
      </c>
      <c r="E451" s="8">
        <f>D451*E$448</f>
        <v>107</v>
      </c>
      <c r="F451" s="10"/>
      <c r="G451" s="10">
        <f t="shared" si="149"/>
        <v>0</v>
      </c>
      <c r="H451" s="10"/>
      <c r="I451" s="10">
        <f t="shared" si="150"/>
        <v>0</v>
      </c>
      <c r="J451" s="10"/>
      <c r="K451" s="10">
        <f t="shared" si="151"/>
        <v>0</v>
      </c>
      <c r="L451" s="10">
        <f t="shared" si="152"/>
        <v>0</v>
      </c>
    </row>
    <row r="452" spans="1:12" x14ac:dyDescent="0.3">
      <c r="A452" s="20"/>
      <c r="B452" s="20" t="s">
        <v>130</v>
      </c>
      <c r="C452" s="21"/>
      <c r="D452" s="22"/>
      <c r="E452" s="22"/>
      <c r="F452" s="23"/>
      <c r="G452" s="23">
        <f t="shared" si="145"/>
        <v>0</v>
      </c>
      <c r="H452" s="23"/>
      <c r="I452" s="23">
        <f t="shared" si="146"/>
        <v>0</v>
      </c>
      <c r="J452" s="23"/>
      <c r="K452" s="23">
        <f t="shared" si="147"/>
        <v>0</v>
      </c>
      <c r="L452" s="23">
        <f t="shared" si="148"/>
        <v>0</v>
      </c>
    </row>
    <row r="453" spans="1:12" ht="28.8" x14ac:dyDescent="0.3">
      <c r="A453" s="2">
        <f>A448+1</f>
        <v>63</v>
      </c>
      <c r="B453" s="14" t="s">
        <v>131</v>
      </c>
      <c r="C453" s="2" t="s">
        <v>16</v>
      </c>
      <c r="D453" s="15"/>
      <c r="E453" s="15">
        <v>348</v>
      </c>
      <c r="F453" s="10"/>
      <c r="G453" s="10">
        <f t="shared" si="145"/>
        <v>0</v>
      </c>
      <c r="H453" s="10"/>
      <c r="I453" s="10">
        <f t="shared" si="146"/>
        <v>0</v>
      </c>
      <c r="J453" s="10"/>
      <c r="K453" s="10">
        <f t="shared" si="147"/>
        <v>0</v>
      </c>
      <c r="L453" s="10">
        <f t="shared" si="148"/>
        <v>0</v>
      </c>
    </row>
    <row r="454" spans="1:12" x14ac:dyDescent="0.3">
      <c r="A454" s="2"/>
      <c r="B454" s="5" t="s">
        <v>13</v>
      </c>
      <c r="C454" s="1" t="s">
        <v>16</v>
      </c>
      <c r="D454" s="8">
        <v>1</v>
      </c>
      <c r="E454" s="8">
        <f>D454*E$453</f>
        <v>348</v>
      </c>
      <c r="F454" s="10"/>
      <c r="G454" s="10">
        <f t="shared" si="145"/>
        <v>0</v>
      </c>
      <c r="H454" s="10"/>
      <c r="I454" s="10">
        <f t="shared" si="146"/>
        <v>0</v>
      </c>
      <c r="J454" s="10"/>
      <c r="K454" s="10">
        <f t="shared" si="147"/>
        <v>0</v>
      </c>
      <c r="L454" s="10">
        <f t="shared" si="148"/>
        <v>0</v>
      </c>
    </row>
    <row r="455" spans="1:12" x14ac:dyDescent="0.3">
      <c r="A455" s="2"/>
      <c r="B455" s="5" t="s">
        <v>133</v>
      </c>
      <c r="C455" s="1" t="s">
        <v>16</v>
      </c>
      <c r="D455" s="8">
        <v>1.03</v>
      </c>
      <c r="E455" s="8">
        <f>D455*E$453</f>
        <v>358.44</v>
      </c>
      <c r="F455" s="10"/>
      <c r="G455" s="10">
        <f t="shared" si="145"/>
        <v>0</v>
      </c>
      <c r="H455" s="10"/>
      <c r="I455" s="10">
        <f t="shared" si="146"/>
        <v>0</v>
      </c>
      <c r="J455" s="10"/>
      <c r="K455" s="10">
        <f t="shared" si="147"/>
        <v>0</v>
      </c>
      <c r="L455" s="10">
        <f t="shared" si="148"/>
        <v>0</v>
      </c>
    </row>
    <row r="456" spans="1:12" x14ac:dyDescent="0.3">
      <c r="A456" s="2"/>
      <c r="B456" s="5" t="s">
        <v>19</v>
      </c>
      <c r="C456" s="1" t="s">
        <v>16</v>
      </c>
      <c r="D456" s="8">
        <v>1</v>
      </c>
      <c r="E456" s="8">
        <f>D456*E$453</f>
        <v>348</v>
      </c>
      <c r="F456" s="10"/>
      <c r="G456" s="10">
        <f t="shared" si="145"/>
        <v>0</v>
      </c>
      <c r="H456" s="10"/>
      <c r="I456" s="10">
        <f t="shared" si="146"/>
        <v>0</v>
      </c>
      <c r="J456" s="10"/>
      <c r="K456" s="10">
        <f t="shared" si="147"/>
        <v>0</v>
      </c>
      <c r="L456" s="10">
        <f t="shared" si="148"/>
        <v>0</v>
      </c>
    </row>
    <row r="457" spans="1:12" ht="28.8" x14ac:dyDescent="0.3">
      <c r="A457" s="2">
        <f>A453+1</f>
        <v>64</v>
      </c>
      <c r="B457" s="14" t="s">
        <v>279</v>
      </c>
      <c r="C457" s="2" t="s">
        <v>16</v>
      </c>
      <c r="D457" s="15"/>
      <c r="E457" s="15">
        <f>E453</f>
        <v>348</v>
      </c>
      <c r="F457" s="10"/>
      <c r="G457" s="10">
        <f t="shared" si="145"/>
        <v>0</v>
      </c>
      <c r="H457" s="10"/>
      <c r="I457" s="10">
        <f t="shared" si="146"/>
        <v>0</v>
      </c>
      <c r="J457" s="10"/>
      <c r="K457" s="10">
        <f t="shared" si="147"/>
        <v>0</v>
      </c>
      <c r="L457" s="10">
        <f t="shared" si="148"/>
        <v>0</v>
      </c>
    </row>
    <row r="458" spans="1:12" x14ac:dyDescent="0.3">
      <c r="A458" s="2"/>
      <c r="B458" s="5" t="s">
        <v>13</v>
      </c>
      <c r="C458" s="1" t="s">
        <v>16</v>
      </c>
      <c r="D458" s="8">
        <v>1</v>
      </c>
      <c r="E458" s="8">
        <f>D458*E$457</f>
        <v>348</v>
      </c>
      <c r="F458" s="10"/>
      <c r="G458" s="10">
        <f t="shared" si="145"/>
        <v>0</v>
      </c>
      <c r="H458" s="10"/>
      <c r="I458" s="10">
        <f t="shared" si="146"/>
        <v>0</v>
      </c>
      <c r="J458" s="10"/>
      <c r="K458" s="10">
        <f t="shared" si="147"/>
        <v>0</v>
      </c>
      <c r="L458" s="10">
        <f t="shared" si="148"/>
        <v>0</v>
      </c>
    </row>
    <row r="459" spans="1:12" x14ac:dyDescent="0.3">
      <c r="A459" s="2"/>
      <c r="B459" s="5" t="s">
        <v>118</v>
      </c>
      <c r="C459" s="1" t="s">
        <v>18</v>
      </c>
      <c r="D459" s="8">
        <f>0.1*1.02</f>
        <v>0.10200000000000001</v>
      </c>
      <c r="E459" s="8">
        <f>D459*E$457</f>
        <v>35.496000000000002</v>
      </c>
      <c r="F459" s="10"/>
      <c r="G459" s="10">
        <f t="shared" si="145"/>
        <v>0</v>
      </c>
      <c r="H459" s="10"/>
      <c r="I459" s="10">
        <f t="shared" si="146"/>
        <v>0</v>
      </c>
      <c r="J459" s="10"/>
      <c r="K459" s="10">
        <f t="shared" si="147"/>
        <v>0</v>
      </c>
      <c r="L459" s="10">
        <f t="shared" si="148"/>
        <v>0</v>
      </c>
    </row>
    <row r="460" spans="1:12" x14ac:dyDescent="0.3">
      <c r="A460" s="2"/>
      <c r="B460" s="5" t="s">
        <v>19</v>
      </c>
      <c r="C460" s="1" t="s">
        <v>16</v>
      </c>
      <c r="D460" s="8">
        <v>1</v>
      </c>
      <c r="E460" s="8">
        <f>D460*E$457</f>
        <v>348</v>
      </c>
      <c r="F460" s="10"/>
      <c r="G460" s="10">
        <f t="shared" si="145"/>
        <v>0</v>
      </c>
      <c r="H460" s="10"/>
      <c r="I460" s="10">
        <f t="shared" si="146"/>
        <v>0</v>
      </c>
      <c r="J460" s="10"/>
      <c r="K460" s="10">
        <f t="shared" si="147"/>
        <v>0</v>
      </c>
      <c r="L460" s="10">
        <f t="shared" si="148"/>
        <v>0</v>
      </c>
    </row>
    <row r="461" spans="1:12" x14ac:dyDescent="0.3">
      <c r="A461" s="2">
        <f>A457+1</f>
        <v>65</v>
      </c>
      <c r="B461" s="14" t="s">
        <v>134</v>
      </c>
      <c r="C461" s="2" t="s">
        <v>16</v>
      </c>
      <c r="D461" s="15"/>
      <c r="E461" s="15">
        <f>E457</f>
        <v>348</v>
      </c>
      <c r="F461" s="10"/>
      <c r="G461" s="10">
        <f t="shared" si="145"/>
        <v>0</v>
      </c>
      <c r="H461" s="10"/>
      <c r="I461" s="10">
        <f t="shared" si="146"/>
        <v>0</v>
      </c>
      <c r="J461" s="10"/>
      <c r="K461" s="10">
        <f t="shared" si="147"/>
        <v>0</v>
      </c>
      <c r="L461" s="10">
        <f t="shared" si="148"/>
        <v>0</v>
      </c>
    </row>
    <row r="462" spans="1:12" x14ac:dyDescent="0.3">
      <c r="A462" s="2"/>
      <c r="B462" s="5" t="s">
        <v>13</v>
      </c>
      <c r="C462" s="1" t="s">
        <v>16</v>
      </c>
      <c r="D462" s="8">
        <v>1</v>
      </c>
      <c r="E462" s="8">
        <f>D462*E$461</f>
        <v>348</v>
      </c>
      <c r="F462" s="10"/>
      <c r="G462" s="10">
        <f t="shared" si="145"/>
        <v>0</v>
      </c>
      <c r="H462" s="10"/>
      <c r="I462" s="10">
        <f t="shared" si="146"/>
        <v>0</v>
      </c>
      <c r="J462" s="10"/>
      <c r="K462" s="10">
        <f t="shared" si="147"/>
        <v>0</v>
      </c>
      <c r="L462" s="10">
        <f t="shared" si="148"/>
        <v>0</v>
      </c>
    </row>
    <row r="463" spans="1:12" x14ac:dyDescent="0.3">
      <c r="A463" s="2"/>
      <c r="B463" s="5" t="s">
        <v>135</v>
      </c>
      <c r="C463" s="1" t="s">
        <v>16</v>
      </c>
      <c r="D463" s="8">
        <v>1.1499999999999999</v>
      </c>
      <c r="E463" s="8">
        <f>D463*E$461</f>
        <v>400.2</v>
      </c>
      <c r="F463" s="10"/>
      <c r="G463" s="10">
        <f t="shared" si="145"/>
        <v>0</v>
      </c>
      <c r="H463" s="10"/>
      <c r="I463" s="10">
        <f t="shared" si="146"/>
        <v>0</v>
      </c>
      <c r="J463" s="10"/>
      <c r="K463" s="10">
        <f t="shared" si="147"/>
        <v>0</v>
      </c>
      <c r="L463" s="10">
        <f t="shared" si="148"/>
        <v>0</v>
      </c>
    </row>
    <row r="464" spans="1:12" x14ac:dyDescent="0.3">
      <c r="A464" s="2"/>
      <c r="B464" s="5" t="s">
        <v>136</v>
      </c>
      <c r="C464" s="1" t="s">
        <v>16</v>
      </c>
      <c r="D464" s="8">
        <v>1.1499999999999999</v>
      </c>
      <c r="E464" s="8">
        <f>D464*E$461</f>
        <v>400.2</v>
      </c>
      <c r="F464" s="10"/>
      <c r="G464" s="10">
        <f t="shared" si="145"/>
        <v>0</v>
      </c>
      <c r="H464" s="10"/>
      <c r="I464" s="10">
        <f t="shared" si="146"/>
        <v>0</v>
      </c>
      <c r="J464" s="10"/>
      <c r="K464" s="10">
        <f t="shared" si="147"/>
        <v>0</v>
      </c>
      <c r="L464" s="10">
        <f t="shared" si="148"/>
        <v>0</v>
      </c>
    </row>
    <row r="465" spans="1:12" x14ac:dyDescent="0.3">
      <c r="A465" s="2"/>
      <c r="B465" s="5" t="s">
        <v>137</v>
      </c>
      <c r="C465" s="1" t="s">
        <v>16</v>
      </c>
      <c r="D465" s="8">
        <v>1</v>
      </c>
      <c r="E465" s="8">
        <f>D465*E$461</f>
        <v>348</v>
      </c>
      <c r="F465" s="10"/>
      <c r="G465" s="10">
        <f t="shared" si="145"/>
        <v>0</v>
      </c>
      <c r="H465" s="10"/>
      <c r="I465" s="10">
        <f t="shared" si="146"/>
        <v>0</v>
      </c>
      <c r="J465" s="10"/>
      <c r="K465" s="10">
        <f t="shared" si="147"/>
        <v>0</v>
      </c>
      <c r="L465" s="10">
        <f t="shared" si="148"/>
        <v>0</v>
      </c>
    </row>
    <row r="466" spans="1:12" x14ac:dyDescent="0.3">
      <c r="A466" s="2"/>
      <c r="B466" s="5" t="s">
        <v>138</v>
      </c>
      <c r="C466" s="1" t="s">
        <v>16</v>
      </c>
      <c r="D466" s="8">
        <v>1</v>
      </c>
      <c r="E466" s="8">
        <f>D466*E$461</f>
        <v>348</v>
      </c>
      <c r="F466" s="10"/>
      <c r="G466" s="10">
        <f t="shared" si="145"/>
        <v>0</v>
      </c>
      <c r="H466" s="10"/>
      <c r="I466" s="10">
        <f t="shared" si="146"/>
        <v>0</v>
      </c>
      <c r="J466" s="10"/>
      <c r="K466" s="10">
        <f t="shared" si="147"/>
        <v>0</v>
      </c>
      <c r="L466" s="10">
        <f t="shared" si="148"/>
        <v>0</v>
      </c>
    </row>
    <row r="467" spans="1:12" x14ac:dyDescent="0.3">
      <c r="A467" s="2">
        <f>A461+1</f>
        <v>66</v>
      </c>
      <c r="B467" s="14" t="s">
        <v>139</v>
      </c>
      <c r="C467" s="2" t="s">
        <v>12</v>
      </c>
      <c r="D467" s="15"/>
      <c r="E467" s="15">
        <f>25.3+25.3+20.5+25.3+9</f>
        <v>105.39999999999999</v>
      </c>
      <c r="F467" s="10"/>
      <c r="G467" s="10">
        <f t="shared" si="145"/>
        <v>0</v>
      </c>
      <c r="H467" s="10"/>
      <c r="I467" s="10">
        <f t="shared" si="146"/>
        <v>0</v>
      </c>
      <c r="J467" s="10"/>
      <c r="K467" s="10">
        <f t="shared" si="147"/>
        <v>0</v>
      </c>
      <c r="L467" s="10">
        <f t="shared" si="148"/>
        <v>0</v>
      </c>
    </row>
    <row r="468" spans="1:12" x14ac:dyDescent="0.3">
      <c r="A468" s="2"/>
      <c r="B468" s="5" t="s">
        <v>13</v>
      </c>
      <c r="C468" s="1" t="s">
        <v>12</v>
      </c>
      <c r="D468" s="8">
        <v>1</v>
      </c>
      <c r="E468" s="8">
        <f>D468*E$467</f>
        <v>105.39999999999999</v>
      </c>
      <c r="F468" s="10"/>
      <c r="G468" s="10">
        <f t="shared" si="145"/>
        <v>0</v>
      </c>
      <c r="H468" s="10"/>
      <c r="I468" s="10">
        <f t="shared" si="146"/>
        <v>0</v>
      </c>
      <c r="J468" s="10"/>
      <c r="K468" s="10">
        <f t="shared" si="147"/>
        <v>0</v>
      </c>
      <c r="L468" s="10">
        <f t="shared" si="148"/>
        <v>0</v>
      </c>
    </row>
    <row r="469" spans="1:12" x14ac:dyDescent="0.3">
      <c r="A469" s="2"/>
      <c r="B469" s="5" t="s">
        <v>140</v>
      </c>
      <c r="C469" s="1" t="s">
        <v>16</v>
      </c>
      <c r="D469" s="8">
        <f>1.2</f>
        <v>1.2</v>
      </c>
      <c r="E469" s="8">
        <f>D469*E$467</f>
        <v>126.47999999999999</v>
      </c>
      <c r="F469" s="10"/>
      <c r="G469" s="10">
        <f t="shared" si="145"/>
        <v>0</v>
      </c>
      <c r="H469" s="10"/>
      <c r="I469" s="10">
        <f t="shared" si="146"/>
        <v>0</v>
      </c>
      <c r="J469" s="10"/>
      <c r="K469" s="10">
        <f t="shared" si="147"/>
        <v>0</v>
      </c>
      <c r="L469" s="10">
        <f t="shared" si="148"/>
        <v>0</v>
      </c>
    </row>
    <row r="470" spans="1:12" x14ac:dyDescent="0.3">
      <c r="A470" s="2"/>
      <c r="B470" s="5" t="s">
        <v>19</v>
      </c>
      <c r="C470" s="1" t="s">
        <v>12</v>
      </c>
      <c r="D470" s="8">
        <v>1</v>
      </c>
      <c r="E470" s="8">
        <f>D470*E$467</f>
        <v>105.39999999999999</v>
      </c>
      <c r="F470" s="10"/>
      <c r="G470" s="10">
        <f t="shared" si="145"/>
        <v>0</v>
      </c>
      <c r="H470" s="10"/>
      <c r="I470" s="10">
        <f t="shared" si="146"/>
        <v>0</v>
      </c>
      <c r="J470" s="10"/>
      <c r="K470" s="10">
        <f t="shared" si="147"/>
        <v>0</v>
      </c>
      <c r="L470" s="10">
        <f t="shared" si="148"/>
        <v>0</v>
      </c>
    </row>
    <row r="471" spans="1:12" x14ac:dyDescent="0.3">
      <c r="A471" s="2">
        <f>A467+1</f>
        <v>67</v>
      </c>
      <c r="B471" s="14" t="s">
        <v>141</v>
      </c>
      <c r="C471" s="2" t="s">
        <v>12</v>
      </c>
      <c r="D471" s="15"/>
      <c r="E471" s="15">
        <f>10*9*2+67*2+6.5*2+9.4*2</f>
        <v>345.8</v>
      </c>
      <c r="F471" s="10"/>
      <c r="G471" s="10">
        <f t="shared" si="145"/>
        <v>0</v>
      </c>
      <c r="H471" s="10"/>
      <c r="I471" s="10">
        <f t="shared" si="146"/>
        <v>0</v>
      </c>
      <c r="J471" s="10"/>
      <c r="K471" s="10">
        <f t="shared" si="147"/>
        <v>0</v>
      </c>
      <c r="L471" s="10">
        <f t="shared" si="148"/>
        <v>0</v>
      </c>
    </row>
    <row r="472" spans="1:12" x14ac:dyDescent="0.3">
      <c r="A472" s="2"/>
      <c r="B472" s="5" t="s">
        <v>13</v>
      </c>
      <c r="C472" s="1" t="s">
        <v>12</v>
      </c>
      <c r="D472" s="8">
        <v>1</v>
      </c>
      <c r="E472" s="8">
        <f>D472*E$471</f>
        <v>345.8</v>
      </c>
      <c r="F472" s="10"/>
      <c r="G472" s="10">
        <f t="shared" si="145"/>
        <v>0</v>
      </c>
      <c r="H472" s="10"/>
      <c r="I472" s="10">
        <f t="shared" si="146"/>
        <v>0</v>
      </c>
      <c r="J472" s="10"/>
      <c r="K472" s="10">
        <f t="shared" si="147"/>
        <v>0</v>
      </c>
      <c r="L472" s="10">
        <f t="shared" si="148"/>
        <v>0</v>
      </c>
    </row>
    <row r="473" spans="1:12" x14ac:dyDescent="0.3">
      <c r="A473" s="2"/>
      <c r="B473" s="5" t="s">
        <v>142</v>
      </c>
      <c r="C473" s="1" t="s">
        <v>12</v>
      </c>
      <c r="D473" s="8">
        <v>1.05</v>
      </c>
      <c r="E473" s="8">
        <f>67*2*1.05</f>
        <v>140.70000000000002</v>
      </c>
      <c r="F473" s="10"/>
      <c r="G473" s="10">
        <f t="shared" si="145"/>
        <v>0</v>
      </c>
      <c r="H473" s="10"/>
      <c r="I473" s="10">
        <f t="shared" si="146"/>
        <v>0</v>
      </c>
      <c r="J473" s="10"/>
      <c r="K473" s="10">
        <f t="shared" si="147"/>
        <v>0</v>
      </c>
      <c r="L473" s="10">
        <f t="shared" si="148"/>
        <v>0</v>
      </c>
    </row>
    <row r="474" spans="1:12" x14ac:dyDescent="0.3">
      <c r="A474" s="2"/>
      <c r="B474" s="5" t="s">
        <v>143</v>
      </c>
      <c r="C474" s="1" t="s">
        <v>12</v>
      </c>
      <c r="D474" s="8">
        <v>1.05</v>
      </c>
      <c r="E474" s="8">
        <f>10*9*1.05*2+6.5*2+9.4*2</f>
        <v>220.8</v>
      </c>
      <c r="F474" s="10"/>
      <c r="G474" s="10">
        <f t="shared" si="145"/>
        <v>0</v>
      </c>
      <c r="H474" s="10"/>
      <c r="I474" s="10">
        <f t="shared" si="146"/>
        <v>0</v>
      </c>
      <c r="J474" s="10"/>
      <c r="K474" s="10">
        <f t="shared" si="147"/>
        <v>0</v>
      </c>
      <c r="L474" s="10">
        <f t="shared" si="148"/>
        <v>0</v>
      </c>
    </row>
    <row r="475" spans="1:12" x14ac:dyDescent="0.3">
      <c r="A475" s="2"/>
      <c r="B475" s="5" t="s">
        <v>120</v>
      </c>
      <c r="C475" s="1" t="s">
        <v>72</v>
      </c>
      <c r="D475" s="8">
        <v>1.6</v>
      </c>
      <c r="E475" s="8">
        <f>D475*E$471</f>
        <v>553.28000000000009</v>
      </c>
      <c r="F475" s="10"/>
      <c r="G475" s="10">
        <f t="shared" si="145"/>
        <v>0</v>
      </c>
      <c r="H475" s="10"/>
      <c r="I475" s="10">
        <f t="shared" si="146"/>
        <v>0</v>
      </c>
      <c r="J475" s="10"/>
      <c r="K475" s="10">
        <f t="shared" si="147"/>
        <v>0</v>
      </c>
      <c r="L475" s="10">
        <f t="shared" si="148"/>
        <v>0</v>
      </c>
    </row>
    <row r="476" spans="1:12" x14ac:dyDescent="0.3">
      <c r="A476" s="2"/>
      <c r="B476" s="5" t="s">
        <v>144</v>
      </c>
      <c r="C476" s="1" t="s">
        <v>72</v>
      </c>
      <c r="D476" s="8"/>
      <c r="E476" s="8">
        <v>24</v>
      </c>
      <c r="F476" s="10"/>
      <c r="G476" s="10">
        <f t="shared" si="145"/>
        <v>0</v>
      </c>
      <c r="H476" s="10"/>
      <c r="I476" s="10">
        <f t="shared" si="146"/>
        <v>0</v>
      </c>
      <c r="J476" s="10"/>
      <c r="K476" s="10">
        <f t="shared" si="147"/>
        <v>0</v>
      </c>
      <c r="L476" s="10">
        <f t="shared" si="148"/>
        <v>0</v>
      </c>
    </row>
    <row r="477" spans="1:12" x14ac:dyDescent="0.3">
      <c r="A477" s="2"/>
      <c r="B477" s="5" t="s">
        <v>145</v>
      </c>
      <c r="C477" s="1" t="s">
        <v>72</v>
      </c>
      <c r="D477" s="8"/>
      <c r="E477" s="8">
        <v>48</v>
      </c>
      <c r="F477" s="10"/>
      <c r="G477" s="10">
        <f t="shared" si="145"/>
        <v>0</v>
      </c>
      <c r="H477" s="10"/>
      <c r="I477" s="10">
        <f t="shared" si="146"/>
        <v>0</v>
      </c>
      <c r="J477" s="10"/>
      <c r="K477" s="10">
        <f t="shared" si="147"/>
        <v>0</v>
      </c>
      <c r="L477" s="10">
        <f t="shared" si="148"/>
        <v>0</v>
      </c>
    </row>
    <row r="478" spans="1:12" x14ac:dyDescent="0.3">
      <c r="A478" s="2"/>
      <c r="B478" s="5" t="s">
        <v>19</v>
      </c>
      <c r="C478" s="1" t="s">
        <v>12</v>
      </c>
      <c r="D478" s="8">
        <v>1</v>
      </c>
      <c r="E478" s="8">
        <f>D478*E$471</f>
        <v>345.8</v>
      </c>
      <c r="F478" s="10"/>
      <c r="G478" s="10">
        <f t="shared" si="145"/>
        <v>0</v>
      </c>
      <c r="H478" s="10"/>
      <c r="I478" s="10">
        <f t="shared" si="146"/>
        <v>0</v>
      </c>
      <c r="J478" s="10"/>
      <c r="K478" s="10">
        <f t="shared" si="147"/>
        <v>0</v>
      </c>
      <c r="L478" s="10">
        <f t="shared" si="148"/>
        <v>0</v>
      </c>
    </row>
    <row r="479" spans="1:12" x14ac:dyDescent="0.3">
      <c r="A479" s="2">
        <f>A471+1</f>
        <v>68</v>
      </c>
      <c r="B479" s="14" t="s">
        <v>236</v>
      </c>
      <c r="C479" s="2" t="s">
        <v>16</v>
      </c>
      <c r="D479" s="15"/>
      <c r="E479" s="15">
        <f>(3.695+5.905+3.695)*4+5.9*3.695*1.08</f>
        <v>76.724540000000005</v>
      </c>
      <c r="F479" s="10"/>
      <c r="G479" s="10">
        <f t="shared" si="145"/>
        <v>0</v>
      </c>
      <c r="H479" s="10"/>
      <c r="I479" s="10">
        <f t="shared" si="146"/>
        <v>0</v>
      </c>
      <c r="J479" s="10"/>
      <c r="K479" s="10">
        <f t="shared" si="147"/>
        <v>0</v>
      </c>
      <c r="L479" s="10">
        <f t="shared" si="148"/>
        <v>0</v>
      </c>
    </row>
    <row r="480" spans="1:12" x14ac:dyDescent="0.3">
      <c r="A480" s="2"/>
      <c r="B480" s="5" t="s">
        <v>13</v>
      </c>
      <c r="C480" s="1" t="s">
        <v>16</v>
      </c>
      <c r="D480" s="8">
        <v>1</v>
      </c>
      <c r="E480" s="8">
        <f>D480*E$479</f>
        <v>76.724540000000005</v>
      </c>
      <c r="F480" s="10"/>
      <c r="G480" s="10">
        <f t="shared" si="145"/>
        <v>0</v>
      </c>
      <c r="H480" s="10"/>
      <c r="I480" s="10">
        <f t="shared" si="146"/>
        <v>0</v>
      </c>
      <c r="J480" s="10"/>
      <c r="K480" s="10">
        <f t="shared" si="147"/>
        <v>0</v>
      </c>
      <c r="L480" s="10">
        <f t="shared" si="148"/>
        <v>0</v>
      </c>
    </row>
    <row r="481" spans="1:12" x14ac:dyDescent="0.3">
      <c r="A481" s="2"/>
      <c r="B481" s="5" t="s">
        <v>147</v>
      </c>
      <c r="C481" s="1" t="s">
        <v>16</v>
      </c>
      <c r="D481" s="8">
        <v>1.1499999999999999</v>
      </c>
      <c r="E481" s="8">
        <f>D481*E$479</f>
        <v>88.233221</v>
      </c>
      <c r="F481" s="10"/>
      <c r="G481" s="10">
        <f t="shared" si="145"/>
        <v>0</v>
      </c>
      <c r="H481" s="10"/>
      <c r="I481" s="10">
        <f t="shared" si="146"/>
        <v>0</v>
      </c>
      <c r="J481" s="10"/>
      <c r="K481" s="10">
        <f t="shared" si="147"/>
        <v>0</v>
      </c>
      <c r="L481" s="10">
        <f t="shared" si="148"/>
        <v>0</v>
      </c>
    </row>
    <row r="482" spans="1:12" x14ac:dyDescent="0.3">
      <c r="A482" s="2"/>
      <c r="B482" s="5" t="s">
        <v>1077</v>
      </c>
      <c r="C482" s="1" t="s">
        <v>12</v>
      </c>
      <c r="D482" s="8">
        <v>1.05</v>
      </c>
      <c r="E482" s="8">
        <f>5*4*1.05+5.905+3.695+5.905+3.695+3.695</f>
        <v>43.895000000000003</v>
      </c>
      <c r="F482" s="10"/>
      <c r="G482" s="10">
        <f t="shared" si="145"/>
        <v>0</v>
      </c>
      <c r="H482" s="10"/>
      <c r="I482" s="10">
        <f t="shared" si="146"/>
        <v>0</v>
      </c>
      <c r="J482" s="10"/>
      <c r="K482" s="10">
        <f t="shared" si="147"/>
        <v>0</v>
      </c>
      <c r="L482" s="10">
        <f t="shared" si="148"/>
        <v>0</v>
      </c>
    </row>
    <row r="483" spans="1:12" x14ac:dyDescent="0.3">
      <c r="A483" s="2"/>
      <c r="B483" s="5" t="s">
        <v>148</v>
      </c>
      <c r="C483" s="1" t="s">
        <v>12</v>
      </c>
      <c r="D483" s="8">
        <v>1.05</v>
      </c>
      <c r="E483" s="8">
        <f>6*3.695+4*(3.695+3.695+5.905)</f>
        <v>75.349999999999994</v>
      </c>
      <c r="F483" s="10"/>
      <c r="G483" s="10">
        <f t="shared" si="145"/>
        <v>0</v>
      </c>
      <c r="H483" s="10"/>
      <c r="I483" s="10">
        <f t="shared" si="146"/>
        <v>0</v>
      </c>
      <c r="J483" s="10"/>
      <c r="K483" s="10">
        <f t="shared" si="147"/>
        <v>0</v>
      </c>
      <c r="L483" s="10">
        <f t="shared" si="148"/>
        <v>0</v>
      </c>
    </row>
    <row r="484" spans="1:12" x14ac:dyDescent="0.3">
      <c r="A484" s="2"/>
      <c r="B484" s="5" t="s">
        <v>19</v>
      </c>
      <c r="C484" s="1" t="s">
        <v>16</v>
      </c>
      <c r="D484" s="8">
        <v>1</v>
      </c>
      <c r="E484" s="8">
        <f>D484*E$479</f>
        <v>76.724540000000005</v>
      </c>
      <c r="F484" s="10"/>
      <c r="G484" s="10">
        <f t="shared" si="145"/>
        <v>0</v>
      </c>
      <c r="H484" s="10"/>
      <c r="I484" s="10">
        <f t="shared" si="146"/>
        <v>0</v>
      </c>
      <c r="J484" s="10"/>
      <c r="K484" s="10">
        <f t="shared" si="147"/>
        <v>0</v>
      </c>
      <c r="L484" s="10">
        <f t="shared" si="148"/>
        <v>0</v>
      </c>
    </row>
    <row r="485" spans="1:12" x14ac:dyDescent="0.3">
      <c r="A485" s="2"/>
      <c r="B485" s="5" t="s">
        <v>45</v>
      </c>
      <c r="C485" s="1" t="s">
        <v>16</v>
      </c>
      <c r="D485" s="8">
        <v>1</v>
      </c>
      <c r="E485" s="8">
        <f>D485*E$479</f>
        <v>76.724540000000005</v>
      </c>
      <c r="F485" s="10"/>
      <c r="G485" s="10">
        <f t="shared" si="145"/>
        <v>0</v>
      </c>
      <c r="H485" s="10"/>
      <c r="I485" s="10">
        <f t="shared" si="146"/>
        <v>0</v>
      </c>
      <c r="J485" s="10"/>
      <c r="K485" s="10">
        <f t="shared" si="147"/>
        <v>0</v>
      </c>
      <c r="L485" s="10">
        <f t="shared" si="148"/>
        <v>0</v>
      </c>
    </row>
    <row r="486" spans="1:12" ht="28.8" x14ac:dyDescent="0.3">
      <c r="A486" s="2">
        <f>A479+1</f>
        <v>69</v>
      </c>
      <c r="B486" s="14" t="s">
        <v>106</v>
      </c>
      <c r="C486" s="2" t="s">
        <v>16</v>
      </c>
      <c r="D486" s="15"/>
      <c r="E486" s="15">
        <f>E482*0.1*4+E483*0.08*2+E483*0.06*2</f>
        <v>38.656000000000006</v>
      </c>
      <c r="F486" s="10"/>
      <c r="G486" s="10">
        <f t="shared" si="145"/>
        <v>0</v>
      </c>
      <c r="H486" s="10"/>
      <c r="I486" s="10">
        <f t="shared" si="146"/>
        <v>0</v>
      </c>
      <c r="J486" s="10"/>
      <c r="K486" s="10">
        <f t="shared" si="147"/>
        <v>0</v>
      </c>
      <c r="L486" s="10">
        <f t="shared" si="148"/>
        <v>0</v>
      </c>
    </row>
    <row r="487" spans="1:12" x14ac:dyDescent="0.3">
      <c r="A487" s="2"/>
      <c r="B487" s="5" t="s">
        <v>13</v>
      </c>
      <c r="C487" s="1" t="s">
        <v>16</v>
      </c>
      <c r="D487" s="8">
        <v>1</v>
      </c>
      <c r="E487" s="8">
        <f>D487*E$486</f>
        <v>38.656000000000006</v>
      </c>
      <c r="F487" s="10"/>
      <c r="G487" s="10">
        <f t="shared" si="145"/>
        <v>0</v>
      </c>
      <c r="H487" s="10"/>
      <c r="I487" s="10">
        <f t="shared" si="146"/>
        <v>0</v>
      </c>
      <c r="J487" s="10"/>
      <c r="K487" s="10">
        <f t="shared" si="147"/>
        <v>0</v>
      </c>
      <c r="L487" s="10">
        <f t="shared" si="148"/>
        <v>0</v>
      </c>
    </row>
    <row r="488" spans="1:12" x14ac:dyDescent="0.3">
      <c r="A488" s="2"/>
      <c r="B488" s="5" t="s">
        <v>107</v>
      </c>
      <c r="C488" s="1" t="s">
        <v>47</v>
      </c>
      <c r="D488" s="8">
        <v>0.25</v>
      </c>
      <c r="E488" s="8">
        <f>D488*E$486</f>
        <v>9.6640000000000015</v>
      </c>
      <c r="F488" s="10"/>
      <c r="G488" s="10">
        <f t="shared" si="145"/>
        <v>0</v>
      </c>
      <c r="H488" s="10"/>
      <c r="I488" s="10">
        <f t="shared" si="146"/>
        <v>0</v>
      </c>
      <c r="J488" s="10"/>
      <c r="K488" s="10">
        <f t="shared" si="147"/>
        <v>0</v>
      </c>
      <c r="L488" s="10">
        <f t="shared" si="148"/>
        <v>0</v>
      </c>
    </row>
    <row r="489" spans="1:12" x14ac:dyDescent="0.3">
      <c r="A489" s="2"/>
      <c r="B489" s="5" t="s">
        <v>108</v>
      </c>
      <c r="C489" s="1" t="s">
        <v>47</v>
      </c>
      <c r="D489" s="8">
        <f>2.7/100</f>
        <v>2.7000000000000003E-2</v>
      </c>
      <c r="E489" s="8">
        <f>D489*E$486</f>
        <v>1.0437120000000002</v>
      </c>
      <c r="F489" s="10"/>
      <c r="G489" s="10">
        <f t="shared" si="145"/>
        <v>0</v>
      </c>
      <c r="H489" s="10"/>
      <c r="I489" s="10">
        <f t="shared" si="146"/>
        <v>0</v>
      </c>
      <c r="J489" s="10"/>
      <c r="K489" s="10">
        <f t="shared" si="147"/>
        <v>0</v>
      </c>
      <c r="L489" s="10">
        <f t="shared" si="148"/>
        <v>0</v>
      </c>
    </row>
    <row r="490" spans="1:12" x14ac:dyDescent="0.3">
      <c r="A490" s="2"/>
      <c r="B490" s="5" t="s">
        <v>19</v>
      </c>
      <c r="C490" s="1" t="s">
        <v>16</v>
      </c>
      <c r="D490" s="8">
        <v>1</v>
      </c>
      <c r="E490" s="8">
        <f>D490*E$486</f>
        <v>38.656000000000006</v>
      </c>
      <c r="F490" s="10"/>
      <c r="G490" s="10">
        <f t="shared" si="145"/>
        <v>0</v>
      </c>
      <c r="H490" s="10"/>
      <c r="I490" s="10">
        <f t="shared" si="146"/>
        <v>0</v>
      </c>
      <c r="J490" s="10"/>
      <c r="K490" s="10">
        <f t="shared" si="147"/>
        <v>0</v>
      </c>
      <c r="L490" s="10">
        <f t="shared" si="148"/>
        <v>0</v>
      </c>
    </row>
    <row r="491" spans="1:12" x14ac:dyDescent="0.3">
      <c r="A491" s="11"/>
      <c r="B491" s="11" t="s">
        <v>150</v>
      </c>
      <c r="C491" s="4"/>
      <c r="D491" s="12"/>
      <c r="E491" s="12"/>
      <c r="F491" s="13"/>
      <c r="G491" s="13">
        <f t="shared" si="145"/>
        <v>0</v>
      </c>
      <c r="H491" s="13"/>
      <c r="I491" s="13">
        <f t="shared" si="146"/>
        <v>0</v>
      </c>
      <c r="J491" s="13"/>
      <c r="K491" s="13">
        <f t="shared" si="147"/>
        <v>0</v>
      </c>
      <c r="L491" s="13">
        <f t="shared" si="148"/>
        <v>0</v>
      </c>
    </row>
    <row r="492" spans="1:12" x14ac:dyDescent="0.3">
      <c r="A492" s="20"/>
      <c r="B492" s="20" t="s">
        <v>151</v>
      </c>
      <c r="C492" s="21"/>
      <c r="D492" s="22"/>
      <c r="E492" s="22"/>
      <c r="F492" s="23"/>
      <c r="G492" s="23">
        <f t="shared" si="145"/>
        <v>0</v>
      </c>
      <c r="H492" s="23"/>
      <c r="I492" s="23">
        <f t="shared" si="146"/>
        <v>0</v>
      </c>
      <c r="J492" s="23"/>
      <c r="K492" s="23">
        <f t="shared" si="147"/>
        <v>0</v>
      </c>
      <c r="L492" s="23">
        <f t="shared" si="148"/>
        <v>0</v>
      </c>
    </row>
    <row r="493" spans="1:12" x14ac:dyDescent="0.3">
      <c r="A493" s="2">
        <f>A486+1</f>
        <v>70</v>
      </c>
      <c r="B493" s="14" t="s">
        <v>237</v>
      </c>
      <c r="C493" s="2" t="s">
        <v>16</v>
      </c>
      <c r="D493" s="15"/>
      <c r="E493" s="15">
        <f>E496</f>
        <v>2030</v>
      </c>
      <c r="F493" s="10"/>
      <c r="G493" s="10">
        <f t="shared" ref="G493:G494" si="153">F493*E493</f>
        <v>0</v>
      </c>
      <c r="H493" s="10"/>
      <c r="I493" s="10">
        <f t="shared" ref="I493:I494" si="154">H493*E493</f>
        <v>0</v>
      </c>
      <c r="J493" s="10"/>
      <c r="K493" s="10">
        <f t="shared" ref="K493:K494" si="155">J493*E493</f>
        <v>0</v>
      </c>
      <c r="L493" s="10">
        <f t="shared" ref="L493:L494" si="156">K493+I493+G493</f>
        <v>0</v>
      </c>
    </row>
    <row r="494" spans="1:12" x14ac:dyDescent="0.3">
      <c r="A494" s="2"/>
      <c r="B494" s="5" t="s">
        <v>13</v>
      </c>
      <c r="C494" s="1" t="s">
        <v>16</v>
      </c>
      <c r="D494" s="8">
        <v>1</v>
      </c>
      <c r="E494" s="8">
        <f>D494*E$493</f>
        <v>2030</v>
      </c>
      <c r="F494" s="10"/>
      <c r="G494" s="10">
        <f t="shared" si="153"/>
        <v>0</v>
      </c>
      <c r="H494" s="10"/>
      <c r="I494" s="10">
        <f t="shared" si="154"/>
        <v>0</v>
      </c>
      <c r="J494" s="10"/>
      <c r="K494" s="10">
        <f t="shared" si="155"/>
        <v>0</v>
      </c>
      <c r="L494" s="10">
        <f t="shared" si="156"/>
        <v>0</v>
      </c>
    </row>
    <row r="495" spans="1:12" x14ac:dyDescent="0.3">
      <c r="A495" s="2"/>
      <c r="B495" s="5" t="s">
        <v>65</v>
      </c>
      <c r="C495" s="1" t="s">
        <v>16</v>
      </c>
      <c r="D495" s="8">
        <v>1.1499999999999999</v>
      </c>
      <c r="E495" s="8">
        <f>D495*E$493</f>
        <v>2334.5</v>
      </c>
      <c r="F495" s="10"/>
      <c r="G495" s="10">
        <f t="shared" ref="G495" si="157">F495*E495</f>
        <v>0</v>
      </c>
      <c r="H495" s="10"/>
      <c r="I495" s="10">
        <f t="shared" ref="I495" si="158">H495*E495</f>
        <v>0</v>
      </c>
      <c r="J495" s="10"/>
      <c r="K495" s="10">
        <f t="shared" ref="K495" si="159">J495*E495</f>
        <v>0</v>
      </c>
      <c r="L495" s="10">
        <f t="shared" ref="L495" si="160">K495+I495+G495</f>
        <v>0</v>
      </c>
    </row>
    <row r="496" spans="1:12" x14ac:dyDescent="0.3">
      <c r="A496" s="2">
        <f>A493+1</f>
        <v>71</v>
      </c>
      <c r="B496" s="14" t="s">
        <v>152</v>
      </c>
      <c r="C496" s="2" t="s">
        <v>16</v>
      </c>
      <c r="D496" s="15"/>
      <c r="E496" s="15">
        <f>1815+215</f>
        <v>2030</v>
      </c>
      <c r="F496" s="10"/>
      <c r="G496" s="10">
        <f t="shared" si="145"/>
        <v>0</v>
      </c>
      <c r="H496" s="10"/>
      <c r="I496" s="10">
        <f t="shared" si="146"/>
        <v>0</v>
      </c>
      <c r="J496" s="10"/>
      <c r="K496" s="10">
        <f t="shared" si="147"/>
        <v>0</v>
      </c>
      <c r="L496" s="10">
        <f t="shared" si="148"/>
        <v>0</v>
      </c>
    </row>
    <row r="497" spans="1:12" x14ac:dyDescent="0.3">
      <c r="A497" s="2"/>
      <c r="B497" s="5" t="s">
        <v>13</v>
      </c>
      <c r="C497" s="1" t="s">
        <v>16</v>
      </c>
      <c r="D497" s="8">
        <v>1</v>
      </c>
      <c r="E497" s="8">
        <f>D497*E$496</f>
        <v>2030</v>
      </c>
      <c r="F497" s="10"/>
      <c r="G497" s="10">
        <f t="shared" si="145"/>
        <v>0</v>
      </c>
      <c r="H497" s="10"/>
      <c r="I497" s="10">
        <f t="shared" si="146"/>
        <v>0</v>
      </c>
      <c r="J497" s="10"/>
      <c r="K497" s="10">
        <f t="shared" si="147"/>
        <v>0</v>
      </c>
      <c r="L497" s="10">
        <f t="shared" si="148"/>
        <v>0</v>
      </c>
    </row>
    <row r="498" spans="1:12" x14ac:dyDescent="0.3">
      <c r="A498" s="2"/>
      <c r="B498" s="5" t="s">
        <v>133</v>
      </c>
      <c r="C498" s="1" t="s">
        <v>16</v>
      </c>
      <c r="D498" s="8">
        <v>1.05</v>
      </c>
      <c r="E498" s="8">
        <f>D498*E$496</f>
        <v>2131.5</v>
      </c>
      <c r="F498" s="10"/>
      <c r="G498" s="10">
        <f t="shared" si="145"/>
        <v>0</v>
      </c>
      <c r="H498" s="10"/>
      <c r="I498" s="10">
        <f t="shared" si="146"/>
        <v>0</v>
      </c>
      <c r="J498" s="10"/>
      <c r="K498" s="10">
        <f t="shared" si="147"/>
        <v>0</v>
      </c>
      <c r="L498" s="10">
        <f t="shared" si="148"/>
        <v>0</v>
      </c>
    </row>
    <row r="499" spans="1:12" x14ac:dyDescent="0.3">
      <c r="A499" s="2"/>
      <c r="B499" s="5" t="s">
        <v>19</v>
      </c>
      <c r="C499" s="1" t="s">
        <v>16</v>
      </c>
      <c r="D499" s="8">
        <v>1</v>
      </c>
      <c r="E499" s="8">
        <f>D499*E$496</f>
        <v>2030</v>
      </c>
      <c r="F499" s="10"/>
      <c r="G499" s="10">
        <f t="shared" si="145"/>
        <v>0</v>
      </c>
      <c r="H499" s="10"/>
      <c r="I499" s="10">
        <f t="shared" si="146"/>
        <v>0</v>
      </c>
      <c r="J499" s="10"/>
      <c r="K499" s="10">
        <f t="shared" si="147"/>
        <v>0</v>
      </c>
      <c r="L499" s="10">
        <f t="shared" si="148"/>
        <v>0</v>
      </c>
    </row>
    <row r="500" spans="1:12" x14ac:dyDescent="0.3">
      <c r="A500" s="2">
        <f>A496+1</f>
        <v>72</v>
      </c>
      <c r="B500" s="14" t="s">
        <v>238</v>
      </c>
      <c r="C500" s="2" t="s">
        <v>16</v>
      </c>
      <c r="D500" s="15"/>
      <c r="E500" s="15">
        <f>E496</f>
        <v>2030</v>
      </c>
      <c r="F500" s="10"/>
      <c r="G500" s="10">
        <f t="shared" ref="G500" si="161">F500*E500</f>
        <v>0</v>
      </c>
      <c r="H500" s="10"/>
      <c r="I500" s="10">
        <f t="shared" ref="I500" si="162">H500*E500</f>
        <v>0</v>
      </c>
      <c r="J500" s="10"/>
      <c r="K500" s="10">
        <f t="shared" ref="K500" si="163">J500*E500</f>
        <v>0</v>
      </c>
      <c r="L500" s="10">
        <f t="shared" ref="L500" si="164">K500+I500+G500</f>
        <v>0</v>
      </c>
    </row>
    <row r="501" spans="1:12" x14ac:dyDescent="0.3">
      <c r="A501" s="2"/>
      <c r="B501" s="5" t="s">
        <v>13</v>
      </c>
      <c r="C501" s="1" t="s">
        <v>16</v>
      </c>
      <c r="D501" s="8">
        <v>1</v>
      </c>
      <c r="E501" s="8">
        <f>D501*E$500</f>
        <v>2030</v>
      </c>
      <c r="F501" s="10"/>
      <c r="G501" s="10">
        <f t="shared" ref="G501" si="165">F501*E501</f>
        <v>0</v>
      </c>
      <c r="H501" s="10"/>
      <c r="I501" s="10">
        <f t="shared" ref="I501" si="166">H501*E501</f>
        <v>0</v>
      </c>
      <c r="J501" s="10"/>
      <c r="K501" s="10">
        <f t="shared" ref="K501" si="167">J501*E501</f>
        <v>0</v>
      </c>
      <c r="L501" s="10">
        <f t="shared" ref="L501" si="168">K501+I501+G501</f>
        <v>0</v>
      </c>
    </row>
    <row r="502" spans="1:12" x14ac:dyDescent="0.3">
      <c r="A502" s="2"/>
      <c r="B502" s="5" t="s">
        <v>124</v>
      </c>
      <c r="C502" s="1" t="s">
        <v>16</v>
      </c>
      <c r="D502" s="8">
        <v>1.05</v>
      </c>
      <c r="E502" s="8">
        <f>D502*E$500</f>
        <v>2131.5</v>
      </c>
      <c r="F502" s="10"/>
      <c r="G502" s="10">
        <f t="shared" ref="G502" si="169">F502*E502</f>
        <v>0</v>
      </c>
      <c r="H502" s="10"/>
      <c r="I502" s="10">
        <f t="shared" ref="I502" si="170">H502*E502</f>
        <v>0</v>
      </c>
      <c r="J502" s="10"/>
      <c r="K502" s="10">
        <f t="shared" ref="K502" si="171">J502*E502</f>
        <v>0</v>
      </c>
      <c r="L502" s="10">
        <f t="shared" ref="L502" si="172">K502+I502+G502</f>
        <v>0</v>
      </c>
    </row>
    <row r="503" spans="1:12" ht="28.8" x14ac:dyDescent="0.3">
      <c r="A503" s="2">
        <f>A496+1</f>
        <v>72</v>
      </c>
      <c r="B503" s="14" t="s">
        <v>153</v>
      </c>
      <c r="C503" s="2" t="s">
        <v>16</v>
      </c>
      <c r="D503" s="15"/>
      <c r="E503" s="15">
        <f>1815+215+215+300</f>
        <v>2545</v>
      </c>
      <c r="F503" s="10"/>
      <c r="G503" s="10">
        <f t="shared" si="145"/>
        <v>0</v>
      </c>
      <c r="H503" s="10"/>
      <c r="I503" s="10">
        <f t="shared" si="146"/>
        <v>0</v>
      </c>
      <c r="J503" s="10"/>
      <c r="K503" s="10">
        <f t="shared" si="147"/>
        <v>0</v>
      </c>
      <c r="L503" s="10">
        <f t="shared" si="148"/>
        <v>0</v>
      </c>
    </row>
    <row r="504" spans="1:12" x14ac:dyDescent="0.3">
      <c r="A504" s="2"/>
      <c r="B504" s="5" t="s">
        <v>13</v>
      </c>
      <c r="C504" s="1" t="s">
        <v>16</v>
      </c>
      <c r="D504" s="8">
        <v>1</v>
      </c>
      <c r="E504" s="8">
        <f>D504*E$503</f>
        <v>2545</v>
      </c>
      <c r="F504" s="10"/>
      <c r="G504" s="10">
        <f t="shared" si="145"/>
        <v>0</v>
      </c>
      <c r="H504" s="10"/>
      <c r="I504" s="10">
        <f t="shared" si="146"/>
        <v>0</v>
      </c>
      <c r="J504" s="10"/>
      <c r="K504" s="10">
        <f t="shared" si="147"/>
        <v>0</v>
      </c>
      <c r="L504" s="10">
        <f t="shared" si="148"/>
        <v>0</v>
      </c>
    </row>
    <row r="505" spans="1:12" x14ac:dyDescent="0.3">
      <c r="A505" s="2"/>
      <c r="B505" s="5" t="s">
        <v>118</v>
      </c>
      <c r="C505" s="1" t="s">
        <v>18</v>
      </c>
      <c r="D505" s="8">
        <f>0.15*1.02</f>
        <v>0.153</v>
      </c>
      <c r="E505" s="8">
        <f>D505*E$503</f>
        <v>389.38499999999999</v>
      </c>
      <c r="F505" s="10"/>
      <c r="G505" s="10">
        <f t="shared" si="145"/>
        <v>0</v>
      </c>
      <c r="H505" s="10"/>
      <c r="I505" s="10">
        <f t="shared" si="146"/>
        <v>0</v>
      </c>
      <c r="J505" s="10"/>
      <c r="K505" s="10">
        <f t="shared" si="147"/>
        <v>0</v>
      </c>
      <c r="L505" s="10">
        <f t="shared" si="148"/>
        <v>0</v>
      </c>
    </row>
    <row r="506" spans="1:12" x14ac:dyDescent="0.3">
      <c r="A506" s="2"/>
      <c r="B506" s="5" t="s">
        <v>19</v>
      </c>
      <c r="C506" s="1" t="s">
        <v>16</v>
      </c>
      <c r="D506" s="8">
        <v>1</v>
      </c>
      <c r="E506" s="8">
        <f>D506*E$503</f>
        <v>2545</v>
      </c>
      <c r="F506" s="10"/>
      <c r="G506" s="10">
        <f t="shared" si="145"/>
        <v>0</v>
      </c>
      <c r="H506" s="10"/>
      <c r="I506" s="10">
        <f t="shared" si="146"/>
        <v>0</v>
      </c>
      <c r="J506" s="10"/>
      <c r="K506" s="10">
        <f t="shared" si="147"/>
        <v>0</v>
      </c>
      <c r="L506" s="10">
        <f t="shared" si="148"/>
        <v>0</v>
      </c>
    </row>
    <row r="507" spans="1:12" x14ac:dyDescent="0.3">
      <c r="A507" s="2">
        <f>A503+1</f>
        <v>73</v>
      </c>
      <c r="B507" s="14" t="s">
        <v>162</v>
      </c>
      <c r="C507" s="2" t="s">
        <v>16</v>
      </c>
      <c r="D507" s="15"/>
      <c r="E507" s="15">
        <v>77</v>
      </c>
      <c r="F507" s="10"/>
      <c r="G507" s="10">
        <f t="shared" si="145"/>
        <v>0</v>
      </c>
      <c r="H507" s="10"/>
      <c r="I507" s="10">
        <f t="shared" si="146"/>
        <v>0</v>
      </c>
      <c r="J507" s="10"/>
      <c r="K507" s="10">
        <f t="shared" si="147"/>
        <v>0</v>
      </c>
      <c r="L507" s="10">
        <f t="shared" si="148"/>
        <v>0</v>
      </c>
    </row>
    <row r="508" spans="1:12" x14ac:dyDescent="0.3">
      <c r="A508" s="2"/>
      <c r="B508" s="5" t="s">
        <v>13</v>
      </c>
      <c r="C508" s="1" t="s">
        <v>16</v>
      </c>
      <c r="D508" s="8">
        <v>1</v>
      </c>
      <c r="E508" s="8">
        <f>D508*E507</f>
        <v>77</v>
      </c>
      <c r="F508" s="10"/>
      <c r="G508" s="10">
        <f t="shared" si="145"/>
        <v>0</v>
      </c>
      <c r="H508" s="10"/>
      <c r="I508" s="10">
        <f t="shared" si="146"/>
        <v>0</v>
      </c>
      <c r="J508" s="10"/>
      <c r="K508" s="10">
        <f t="shared" si="147"/>
        <v>0</v>
      </c>
      <c r="L508" s="10">
        <f t="shared" si="148"/>
        <v>0</v>
      </c>
    </row>
    <row r="509" spans="1:12" x14ac:dyDescent="0.3">
      <c r="A509" s="2"/>
      <c r="B509" s="5" t="s">
        <v>51</v>
      </c>
      <c r="C509" s="1" t="s">
        <v>16</v>
      </c>
      <c r="D509" s="8">
        <v>1</v>
      </c>
      <c r="E509" s="8">
        <f>D509*E507</f>
        <v>77</v>
      </c>
      <c r="F509" s="10"/>
      <c r="G509" s="10">
        <f t="shared" si="145"/>
        <v>0</v>
      </c>
      <c r="H509" s="10"/>
      <c r="I509" s="10">
        <f t="shared" si="146"/>
        <v>0</v>
      </c>
      <c r="J509" s="10"/>
      <c r="K509" s="10">
        <f t="shared" si="147"/>
        <v>0</v>
      </c>
      <c r="L509" s="10">
        <f t="shared" si="148"/>
        <v>0</v>
      </c>
    </row>
    <row r="510" spans="1:12" x14ac:dyDescent="0.3">
      <c r="A510" s="2">
        <f>A507+1</f>
        <v>74</v>
      </c>
      <c r="B510" s="14" t="s">
        <v>154</v>
      </c>
      <c r="C510" s="2" t="s">
        <v>16</v>
      </c>
      <c r="D510" s="15"/>
      <c r="E510" s="15">
        <f>2295-215</f>
        <v>2080</v>
      </c>
      <c r="F510" s="10"/>
      <c r="G510" s="10">
        <f t="shared" si="145"/>
        <v>0</v>
      </c>
      <c r="H510" s="10"/>
      <c r="I510" s="10">
        <f t="shared" si="146"/>
        <v>0</v>
      </c>
      <c r="J510" s="10"/>
      <c r="K510" s="10">
        <f t="shared" si="147"/>
        <v>0</v>
      </c>
      <c r="L510" s="10">
        <f t="shared" si="148"/>
        <v>0</v>
      </c>
    </row>
    <row r="511" spans="1:12" x14ac:dyDescent="0.3">
      <c r="A511" s="2"/>
      <c r="B511" s="5" t="s">
        <v>13</v>
      </c>
      <c r="C511" s="1" t="s">
        <v>16</v>
      </c>
      <c r="D511" s="8">
        <v>1</v>
      </c>
      <c r="E511" s="8">
        <f>D511*E$510</f>
        <v>2080</v>
      </c>
      <c r="F511" s="10"/>
      <c r="G511" s="10">
        <f t="shared" si="145"/>
        <v>0</v>
      </c>
      <c r="H511" s="10"/>
      <c r="I511" s="10">
        <f t="shared" si="146"/>
        <v>0</v>
      </c>
      <c r="J511" s="10"/>
      <c r="K511" s="10">
        <f t="shared" si="147"/>
        <v>0</v>
      </c>
      <c r="L511" s="10">
        <f t="shared" si="148"/>
        <v>0</v>
      </c>
    </row>
    <row r="512" spans="1:12" x14ac:dyDescent="0.3">
      <c r="A512" s="2"/>
      <c r="B512" s="5" t="s">
        <v>155</v>
      </c>
      <c r="C512" s="1" t="s">
        <v>16</v>
      </c>
      <c r="D512" s="8">
        <v>1.05</v>
      </c>
      <c r="E512" s="8">
        <f>D512*E$510</f>
        <v>2184</v>
      </c>
      <c r="F512" s="10"/>
      <c r="G512" s="10">
        <f t="shared" si="145"/>
        <v>0</v>
      </c>
      <c r="H512" s="10"/>
      <c r="I512" s="10">
        <f t="shared" si="146"/>
        <v>0</v>
      </c>
      <c r="J512" s="10"/>
      <c r="K512" s="10">
        <f t="shared" si="147"/>
        <v>0</v>
      </c>
      <c r="L512" s="10">
        <f t="shared" si="148"/>
        <v>0</v>
      </c>
    </row>
    <row r="513" spans="1:12" x14ac:dyDescent="0.3">
      <c r="A513" s="2"/>
      <c r="B513" s="5" t="s">
        <v>121</v>
      </c>
      <c r="C513" s="1" t="s">
        <v>47</v>
      </c>
      <c r="D513" s="8">
        <v>7</v>
      </c>
      <c r="E513" s="8">
        <f>D513*E$510</f>
        <v>14560</v>
      </c>
      <c r="F513" s="10"/>
      <c r="G513" s="10">
        <f t="shared" si="145"/>
        <v>0</v>
      </c>
      <c r="H513" s="10"/>
      <c r="I513" s="10">
        <f t="shared" si="146"/>
        <v>0</v>
      </c>
      <c r="J513" s="10"/>
      <c r="K513" s="10">
        <f t="shared" si="147"/>
        <v>0</v>
      </c>
      <c r="L513" s="10">
        <f t="shared" si="148"/>
        <v>0</v>
      </c>
    </row>
    <row r="514" spans="1:12" x14ac:dyDescent="0.3">
      <c r="A514" s="2"/>
      <c r="B514" s="5" t="s">
        <v>19</v>
      </c>
      <c r="C514" s="1" t="s">
        <v>16</v>
      </c>
      <c r="D514" s="8">
        <v>1</v>
      </c>
      <c r="E514" s="8">
        <f>D514*E$510</f>
        <v>2080</v>
      </c>
      <c r="F514" s="10"/>
      <c r="G514" s="10">
        <f t="shared" si="145"/>
        <v>0</v>
      </c>
      <c r="H514" s="10"/>
      <c r="I514" s="10">
        <f t="shared" si="146"/>
        <v>0</v>
      </c>
      <c r="J514" s="10"/>
      <c r="K514" s="10">
        <f t="shared" si="147"/>
        <v>0</v>
      </c>
      <c r="L514" s="10">
        <f t="shared" si="148"/>
        <v>0</v>
      </c>
    </row>
    <row r="515" spans="1:12" x14ac:dyDescent="0.3">
      <c r="A515" s="2">
        <f>A510+1</f>
        <v>75</v>
      </c>
      <c r="B515" s="14" t="s">
        <v>156</v>
      </c>
      <c r="C515" s="2" t="s">
        <v>12</v>
      </c>
      <c r="D515" s="15"/>
      <c r="E515" s="15">
        <v>375</v>
      </c>
      <c r="F515" s="10"/>
      <c r="G515" s="10">
        <f t="shared" si="145"/>
        <v>0</v>
      </c>
      <c r="H515" s="10"/>
      <c r="I515" s="10">
        <f t="shared" si="146"/>
        <v>0</v>
      </c>
      <c r="J515" s="10"/>
      <c r="K515" s="10">
        <f t="shared" si="147"/>
        <v>0</v>
      </c>
      <c r="L515" s="10">
        <f t="shared" si="148"/>
        <v>0</v>
      </c>
    </row>
    <row r="516" spans="1:12" x14ac:dyDescent="0.3">
      <c r="A516" s="2"/>
      <c r="B516" s="5" t="s">
        <v>13</v>
      </c>
      <c r="C516" s="1" t="s">
        <v>12</v>
      </c>
      <c r="D516" s="8">
        <v>1</v>
      </c>
      <c r="E516" s="8">
        <f>D516*E$515</f>
        <v>375</v>
      </c>
      <c r="F516" s="10"/>
      <c r="G516" s="10">
        <f t="shared" si="145"/>
        <v>0</v>
      </c>
      <c r="H516" s="10"/>
      <c r="I516" s="10">
        <f t="shared" si="146"/>
        <v>0</v>
      </c>
      <c r="J516" s="10"/>
      <c r="K516" s="10">
        <f t="shared" si="147"/>
        <v>0</v>
      </c>
      <c r="L516" s="10">
        <f t="shared" si="148"/>
        <v>0</v>
      </c>
    </row>
    <row r="517" spans="1:12" x14ac:dyDescent="0.3">
      <c r="A517" s="2"/>
      <c r="B517" s="5" t="s">
        <v>155</v>
      </c>
      <c r="C517" s="1" t="s">
        <v>12</v>
      </c>
      <c r="D517" s="8">
        <v>1.03</v>
      </c>
      <c r="E517" s="8">
        <f>D517*E$515</f>
        <v>386.25</v>
      </c>
      <c r="F517" s="10"/>
      <c r="G517" s="10">
        <f t="shared" si="145"/>
        <v>0</v>
      </c>
      <c r="H517" s="10"/>
      <c r="I517" s="10">
        <f t="shared" si="146"/>
        <v>0</v>
      </c>
      <c r="J517" s="10"/>
      <c r="K517" s="10">
        <f t="shared" si="147"/>
        <v>0</v>
      </c>
      <c r="L517" s="10">
        <f t="shared" si="148"/>
        <v>0</v>
      </c>
    </row>
    <row r="518" spans="1:12" x14ac:dyDescent="0.3">
      <c r="A518" s="2"/>
      <c r="B518" s="5" t="s">
        <v>121</v>
      </c>
      <c r="C518" s="1" t="s">
        <v>16</v>
      </c>
      <c r="D518" s="8">
        <f>1*0.1*7</f>
        <v>0.70000000000000007</v>
      </c>
      <c r="E518" s="8">
        <f>D518*E$515</f>
        <v>262.5</v>
      </c>
      <c r="F518" s="10"/>
      <c r="G518" s="10">
        <f t="shared" si="145"/>
        <v>0</v>
      </c>
      <c r="H518" s="10"/>
      <c r="I518" s="10">
        <f t="shared" si="146"/>
        <v>0</v>
      </c>
      <c r="J518" s="10"/>
      <c r="K518" s="10">
        <f t="shared" si="147"/>
        <v>0</v>
      </c>
      <c r="L518" s="10">
        <f t="shared" si="148"/>
        <v>0</v>
      </c>
    </row>
    <row r="519" spans="1:12" x14ac:dyDescent="0.3">
      <c r="A519" s="2"/>
      <c r="B519" s="5" t="s">
        <v>19</v>
      </c>
      <c r="C519" s="1" t="s">
        <v>16</v>
      </c>
      <c r="D519" s="8">
        <v>1</v>
      </c>
      <c r="E519" s="8">
        <f>D519*E$515</f>
        <v>375</v>
      </c>
      <c r="F519" s="10"/>
      <c r="G519" s="10">
        <f t="shared" si="145"/>
        <v>0</v>
      </c>
      <c r="H519" s="10"/>
      <c r="I519" s="10">
        <f t="shared" si="146"/>
        <v>0</v>
      </c>
      <c r="J519" s="10"/>
      <c r="K519" s="10">
        <f t="shared" si="147"/>
        <v>0</v>
      </c>
      <c r="L519" s="10">
        <f t="shared" si="148"/>
        <v>0</v>
      </c>
    </row>
    <row r="520" spans="1:12" x14ac:dyDescent="0.3">
      <c r="A520" s="2">
        <f>A515+1</f>
        <v>76</v>
      </c>
      <c r="B520" s="14" t="s">
        <v>157</v>
      </c>
      <c r="C520" s="2" t="s">
        <v>16</v>
      </c>
      <c r="D520" s="15"/>
      <c r="E520" s="15">
        <f>E503-E510</f>
        <v>465</v>
      </c>
      <c r="F520" s="10"/>
      <c r="G520" s="10">
        <f t="shared" si="145"/>
        <v>0</v>
      </c>
      <c r="H520" s="10"/>
      <c r="I520" s="10">
        <f t="shared" si="146"/>
        <v>0</v>
      </c>
      <c r="J520" s="10"/>
      <c r="K520" s="10">
        <f t="shared" si="147"/>
        <v>0</v>
      </c>
      <c r="L520" s="10">
        <f t="shared" si="148"/>
        <v>0</v>
      </c>
    </row>
    <row r="521" spans="1:12" x14ac:dyDescent="0.3">
      <c r="A521" s="2"/>
      <c r="B521" s="5" t="s">
        <v>13</v>
      </c>
      <c r="C521" s="1" t="s">
        <v>16</v>
      </c>
      <c r="D521" s="8">
        <v>1</v>
      </c>
      <c r="E521" s="8">
        <f>D521*E$520</f>
        <v>465</v>
      </c>
      <c r="F521" s="10"/>
      <c r="G521" s="10">
        <f t="shared" si="145"/>
        <v>0</v>
      </c>
      <c r="H521" s="10"/>
      <c r="I521" s="10">
        <f t="shared" si="146"/>
        <v>0</v>
      </c>
      <c r="J521" s="10"/>
      <c r="K521" s="10">
        <f t="shared" si="147"/>
        <v>0</v>
      </c>
      <c r="L521" s="10">
        <f t="shared" si="148"/>
        <v>0</v>
      </c>
    </row>
    <row r="522" spans="1:12" x14ac:dyDescent="0.3">
      <c r="A522" s="2"/>
      <c r="B522" s="5" t="s">
        <v>158</v>
      </c>
      <c r="C522" s="1" t="s">
        <v>16</v>
      </c>
      <c r="D522" s="8">
        <v>1.03</v>
      </c>
      <c r="E522" s="8">
        <f>D522*E$520</f>
        <v>478.95</v>
      </c>
      <c r="F522" s="10"/>
      <c r="G522" s="10">
        <f t="shared" ref="G522:G534" si="173">F522*E522</f>
        <v>0</v>
      </c>
      <c r="H522" s="10"/>
      <c r="I522" s="10">
        <f t="shared" ref="I522:I534" si="174">H522*E522</f>
        <v>0</v>
      </c>
      <c r="J522" s="10"/>
      <c r="K522" s="10">
        <f t="shared" ref="K522:K534" si="175">J522*E522</f>
        <v>0</v>
      </c>
      <c r="L522" s="10">
        <f t="shared" ref="L522:L534" si="176">K522+I522+G522</f>
        <v>0</v>
      </c>
    </row>
    <row r="523" spans="1:12" x14ac:dyDescent="0.3">
      <c r="A523" s="2"/>
      <c r="B523" s="5" t="s">
        <v>159</v>
      </c>
      <c r="C523" s="1" t="s">
        <v>16</v>
      </c>
      <c r="D523" s="8">
        <v>1.03</v>
      </c>
      <c r="E523" s="8">
        <f>D523*E$520</f>
        <v>478.95</v>
      </c>
      <c r="F523" s="10"/>
      <c r="G523" s="10">
        <f t="shared" si="173"/>
        <v>0</v>
      </c>
      <c r="H523" s="10"/>
      <c r="I523" s="10">
        <f t="shared" si="174"/>
        <v>0</v>
      </c>
      <c r="J523" s="10"/>
      <c r="K523" s="10">
        <f t="shared" si="175"/>
        <v>0</v>
      </c>
      <c r="L523" s="10">
        <f t="shared" si="176"/>
        <v>0</v>
      </c>
    </row>
    <row r="524" spans="1:12" x14ac:dyDescent="0.3">
      <c r="A524" s="2"/>
      <c r="B524" s="5" t="s">
        <v>19</v>
      </c>
      <c r="C524" s="1" t="s">
        <v>16</v>
      </c>
      <c r="D524" s="8">
        <v>1</v>
      </c>
      <c r="E524" s="8">
        <f>D524*E$520</f>
        <v>465</v>
      </c>
      <c r="F524" s="10"/>
      <c r="G524" s="10">
        <f t="shared" si="173"/>
        <v>0</v>
      </c>
      <c r="H524" s="10"/>
      <c r="I524" s="10">
        <f t="shared" si="174"/>
        <v>0</v>
      </c>
      <c r="J524" s="10"/>
      <c r="K524" s="10">
        <f t="shared" si="175"/>
        <v>0</v>
      </c>
      <c r="L524" s="10">
        <f t="shared" si="176"/>
        <v>0</v>
      </c>
    </row>
    <row r="525" spans="1:12" x14ac:dyDescent="0.3">
      <c r="A525" s="2">
        <f>A520+1</f>
        <v>77</v>
      </c>
      <c r="B525" s="14" t="s">
        <v>160</v>
      </c>
      <c r="C525" s="2" t="s">
        <v>12</v>
      </c>
      <c r="D525" s="15"/>
      <c r="E525" s="15">
        <v>390</v>
      </c>
      <c r="F525" s="10"/>
      <c r="G525" s="10">
        <f t="shared" si="173"/>
        <v>0</v>
      </c>
      <c r="H525" s="10"/>
      <c r="I525" s="10">
        <f t="shared" si="174"/>
        <v>0</v>
      </c>
      <c r="J525" s="10"/>
      <c r="K525" s="10">
        <f t="shared" si="175"/>
        <v>0</v>
      </c>
      <c r="L525" s="10">
        <f t="shared" si="176"/>
        <v>0</v>
      </c>
    </row>
    <row r="526" spans="1:12" x14ac:dyDescent="0.3">
      <c r="A526" s="2"/>
      <c r="B526" s="5" t="s">
        <v>13</v>
      </c>
      <c r="C526" s="1" t="s">
        <v>12</v>
      </c>
      <c r="D526" s="8">
        <v>1</v>
      </c>
      <c r="E526" s="8">
        <f>D526*E$525</f>
        <v>390</v>
      </c>
      <c r="F526" s="10"/>
      <c r="G526" s="10">
        <f t="shared" si="173"/>
        <v>0</v>
      </c>
      <c r="H526" s="10"/>
      <c r="I526" s="10">
        <f t="shared" si="174"/>
        <v>0</v>
      </c>
      <c r="J526" s="10"/>
      <c r="K526" s="10">
        <f t="shared" si="175"/>
        <v>0</v>
      </c>
      <c r="L526" s="10">
        <f t="shared" si="176"/>
        <v>0</v>
      </c>
    </row>
    <row r="527" spans="1:12" x14ac:dyDescent="0.3">
      <c r="A527" s="2"/>
      <c r="B527" s="5" t="s">
        <v>161</v>
      </c>
      <c r="C527" s="1" t="s">
        <v>12</v>
      </c>
      <c r="D527" s="8">
        <v>1.05</v>
      </c>
      <c r="E527" s="8">
        <f>D527*E$525</f>
        <v>409.5</v>
      </c>
      <c r="F527" s="10"/>
      <c r="G527" s="10">
        <f t="shared" si="173"/>
        <v>0</v>
      </c>
      <c r="H527" s="10"/>
      <c r="I527" s="10">
        <f t="shared" si="174"/>
        <v>0</v>
      </c>
      <c r="J527" s="10"/>
      <c r="K527" s="10">
        <f t="shared" si="175"/>
        <v>0</v>
      </c>
      <c r="L527" s="10">
        <f t="shared" si="176"/>
        <v>0</v>
      </c>
    </row>
    <row r="528" spans="1:12" x14ac:dyDescent="0.3">
      <c r="A528" s="2"/>
      <c r="B528" s="5" t="s">
        <v>19</v>
      </c>
      <c r="C528" s="1" t="s">
        <v>12</v>
      </c>
      <c r="D528" s="8">
        <v>1</v>
      </c>
      <c r="E528" s="8">
        <f>D528*E$525</f>
        <v>390</v>
      </c>
      <c r="F528" s="10"/>
      <c r="G528" s="10">
        <f t="shared" si="173"/>
        <v>0</v>
      </c>
      <c r="H528" s="10"/>
      <c r="I528" s="10">
        <f t="shared" si="174"/>
        <v>0</v>
      </c>
      <c r="J528" s="10"/>
      <c r="K528" s="10">
        <f t="shared" si="175"/>
        <v>0</v>
      </c>
      <c r="L528" s="10">
        <f t="shared" si="176"/>
        <v>0</v>
      </c>
    </row>
    <row r="529" spans="1:12" x14ac:dyDescent="0.3">
      <c r="A529" s="2">
        <f>A525+1</f>
        <v>78</v>
      </c>
      <c r="B529" s="14" t="s">
        <v>188</v>
      </c>
      <c r="C529" s="2" t="s">
        <v>16</v>
      </c>
      <c r="D529" s="15"/>
      <c r="E529" s="15">
        <f>(26*1*0.3+26*1*0.15+3)*2</f>
        <v>29.4</v>
      </c>
      <c r="F529" s="10"/>
      <c r="G529" s="10">
        <f t="shared" ref="G529:G533" si="177">F529*E529</f>
        <v>0</v>
      </c>
      <c r="H529" s="10"/>
      <c r="I529" s="10">
        <f t="shared" ref="I529:I533" si="178">H529*E529</f>
        <v>0</v>
      </c>
      <c r="J529" s="10"/>
      <c r="K529" s="10">
        <f t="shared" ref="K529:K533" si="179">J529*E529</f>
        <v>0</v>
      </c>
      <c r="L529" s="10">
        <f t="shared" ref="L529:L533" si="180">K529+I529+G529</f>
        <v>0</v>
      </c>
    </row>
    <row r="530" spans="1:12" x14ac:dyDescent="0.3">
      <c r="A530" s="2"/>
      <c r="B530" s="5" t="s">
        <v>13</v>
      </c>
      <c r="C530" s="1" t="s">
        <v>16</v>
      </c>
      <c r="D530" s="8">
        <v>1</v>
      </c>
      <c r="E530" s="8">
        <f>D530*E$529</f>
        <v>29.4</v>
      </c>
      <c r="F530" s="10"/>
      <c r="G530" s="10">
        <f t="shared" si="177"/>
        <v>0</v>
      </c>
      <c r="H530" s="10"/>
      <c r="I530" s="10">
        <f t="shared" si="178"/>
        <v>0</v>
      </c>
      <c r="J530" s="10"/>
      <c r="K530" s="10">
        <f t="shared" si="179"/>
        <v>0</v>
      </c>
      <c r="L530" s="10">
        <f t="shared" si="180"/>
        <v>0</v>
      </c>
    </row>
    <row r="531" spans="1:12" x14ac:dyDescent="0.3">
      <c r="A531" s="2"/>
      <c r="B531" s="5" t="s">
        <v>155</v>
      </c>
      <c r="C531" s="1" t="s">
        <v>16</v>
      </c>
      <c r="D531" s="8">
        <v>1.05</v>
      </c>
      <c r="E531" s="8">
        <f>D531*E$529</f>
        <v>30.87</v>
      </c>
      <c r="F531" s="10"/>
      <c r="G531" s="10">
        <f t="shared" si="177"/>
        <v>0</v>
      </c>
      <c r="H531" s="10"/>
      <c r="I531" s="10">
        <f t="shared" si="178"/>
        <v>0</v>
      </c>
      <c r="J531" s="10"/>
      <c r="K531" s="10">
        <f t="shared" si="179"/>
        <v>0</v>
      </c>
      <c r="L531" s="10">
        <f t="shared" si="180"/>
        <v>0</v>
      </c>
    </row>
    <row r="532" spans="1:12" x14ac:dyDescent="0.3">
      <c r="A532" s="2"/>
      <c r="B532" s="5" t="s">
        <v>121</v>
      </c>
      <c r="C532" s="1" t="s">
        <v>47</v>
      </c>
      <c r="D532" s="8">
        <v>7</v>
      </c>
      <c r="E532" s="8">
        <f>D532*E$529</f>
        <v>205.79999999999998</v>
      </c>
      <c r="F532" s="10"/>
      <c r="G532" s="10">
        <f t="shared" si="177"/>
        <v>0</v>
      </c>
      <c r="H532" s="10"/>
      <c r="I532" s="10">
        <f t="shared" si="178"/>
        <v>0</v>
      </c>
      <c r="J532" s="10"/>
      <c r="K532" s="10">
        <f t="shared" si="179"/>
        <v>0</v>
      </c>
      <c r="L532" s="10">
        <f t="shared" si="180"/>
        <v>0</v>
      </c>
    </row>
    <row r="533" spans="1:12" x14ac:dyDescent="0.3">
      <c r="A533" s="2"/>
      <c r="B533" s="5" t="s">
        <v>19</v>
      </c>
      <c r="C533" s="1" t="s">
        <v>16</v>
      </c>
      <c r="D533" s="8">
        <v>1</v>
      </c>
      <c r="E533" s="8">
        <f>D533*E$529</f>
        <v>29.4</v>
      </c>
      <c r="F533" s="10"/>
      <c r="G533" s="10">
        <f t="shared" si="177"/>
        <v>0</v>
      </c>
      <c r="H533" s="10"/>
      <c r="I533" s="10">
        <f t="shared" si="178"/>
        <v>0</v>
      </c>
      <c r="J533" s="10"/>
      <c r="K533" s="10">
        <f t="shared" si="179"/>
        <v>0</v>
      </c>
      <c r="L533" s="10">
        <f t="shared" si="180"/>
        <v>0</v>
      </c>
    </row>
    <row r="534" spans="1:12" x14ac:dyDescent="0.3">
      <c r="A534" s="20"/>
      <c r="B534" s="20" t="s">
        <v>163</v>
      </c>
      <c r="C534" s="21"/>
      <c r="D534" s="22"/>
      <c r="E534" s="22"/>
      <c r="F534" s="23"/>
      <c r="G534" s="23">
        <f t="shared" si="173"/>
        <v>0</v>
      </c>
      <c r="H534" s="23"/>
      <c r="I534" s="23">
        <f t="shared" si="174"/>
        <v>0</v>
      </c>
      <c r="J534" s="23"/>
      <c r="K534" s="23">
        <f t="shared" si="175"/>
        <v>0</v>
      </c>
      <c r="L534" s="23">
        <f t="shared" si="176"/>
        <v>0</v>
      </c>
    </row>
    <row r="535" spans="1:12" x14ac:dyDescent="0.3">
      <c r="A535" s="2">
        <f>A529+1</f>
        <v>79</v>
      </c>
      <c r="B535" s="14" t="s">
        <v>164</v>
      </c>
      <c r="C535" s="2" t="s">
        <v>16</v>
      </c>
      <c r="D535" s="15"/>
      <c r="E535" s="15">
        <v>620</v>
      </c>
      <c r="F535" s="10"/>
      <c r="G535" s="10">
        <f t="shared" ref="G535:G560" si="181">F535*E535</f>
        <v>0</v>
      </c>
      <c r="H535" s="10"/>
      <c r="I535" s="10">
        <f t="shared" ref="I535:I560" si="182">H535*E535</f>
        <v>0</v>
      </c>
      <c r="J535" s="10"/>
      <c r="K535" s="10">
        <f t="shared" ref="K535:K560" si="183">J535*E535</f>
        <v>0</v>
      </c>
      <c r="L535" s="10">
        <f t="shared" ref="L535:L560" si="184">K535+I535+G535</f>
        <v>0</v>
      </c>
    </row>
    <row r="536" spans="1:12" x14ac:dyDescent="0.3">
      <c r="A536" s="2"/>
      <c r="B536" s="5" t="s">
        <v>13</v>
      </c>
      <c r="C536" s="1" t="s">
        <v>16</v>
      </c>
      <c r="D536" s="8">
        <v>1</v>
      </c>
      <c r="E536" s="8">
        <f t="shared" ref="E536:E546" si="185">D536*E$535</f>
        <v>620</v>
      </c>
      <c r="F536" s="10"/>
      <c r="G536" s="10">
        <f t="shared" si="181"/>
        <v>0</v>
      </c>
      <c r="H536" s="10"/>
      <c r="I536" s="10">
        <f t="shared" si="182"/>
        <v>0</v>
      </c>
      <c r="J536" s="10"/>
      <c r="K536" s="10">
        <f t="shared" si="183"/>
        <v>0</v>
      </c>
      <c r="L536" s="10">
        <f t="shared" si="184"/>
        <v>0</v>
      </c>
    </row>
    <row r="537" spans="1:12" x14ac:dyDescent="0.3">
      <c r="A537" s="2"/>
      <c r="B537" s="5" t="s">
        <v>165</v>
      </c>
      <c r="C537" s="1" t="s">
        <v>16</v>
      </c>
      <c r="D537" s="8">
        <v>4</v>
      </c>
      <c r="E537" s="8">
        <f t="shared" si="185"/>
        <v>2480</v>
      </c>
      <c r="F537" s="10"/>
      <c r="G537" s="10">
        <f t="shared" si="181"/>
        <v>0</v>
      </c>
      <c r="H537" s="10"/>
      <c r="I537" s="10">
        <f t="shared" si="182"/>
        <v>0</v>
      </c>
      <c r="J537" s="10"/>
      <c r="K537" s="10">
        <f t="shared" si="183"/>
        <v>0</v>
      </c>
      <c r="L537" s="10">
        <f t="shared" si="184"/>
        <v>0</v>
      </c>
    </row>
    <row r="538" spans="1:12" x14ac:dyDescent="0.3">
      <c r="A538" s="2"/>
      <c r="B538" s="5" t="s">
        <v>166</v>
      </c>
      <c r="C538" s="1" t="s">
        <v>12</v>
      </c>
      <c r="D538" s="8">
        <v>0.7</v>
      </c>
      <c r="E538" s="8">
        <f t="shared" si="185"/>
        <v>434</v>
      </c>
      <c r="F538" s="10"/>
      <c r="G538" s="10">
        <f t="shared" si="181"/>
        <v>0</v>
      </c>
      <c r="H538" s="10"/>
      <c r="I538" s="10">
        <f t="shared" si="182"/>
        <v>0</v>
      </c>
      <c r="J538" s="10"/>
      <c r="K538" s="10">
        <f t="shared" si="183"/>
        <v>0</v>
      </c>
      <c r="L538" s="10">
        <f t="shared" si="184"/>
        <v>0</v>
      </c>
    </row>
    <row r="539" spans="1:12" x14ac:dyDescent="0.3">
      <c r="A539" s="2"/>
      <c r="B539" s="5" t="s">
        <v>167</v>
      </c>
      <c r="C539" s="1" t="s">
        <v>12</v>
      </c>
      <c r="D539" s="8">
        <v>2</v>
      </c>
      <c r="E539" s="8">
        <f t="shared" si="185"/>
        <v>1240</v>
      </c>
      <c r="F539" s="10"/>
      <c r="G539" s="10">
        <f t="shared" si="181"/>
        <v>0</v>
      </c>
      <c r="H539" s="10"/>
      <c r="I539" s="10">
        <f t="shared" si="182"/>
        <v>0</v>
      </c>
      <c r="J539" s="10"/>
      <c r="K539" s="10">
        <f t="shared" si="183"/>
        <v>0</v>
      </c>
      <c r="L539" s="10">
        <f t="shared" si="184"/>
        <v>0</v>
      </c>
    </row>
    <row r="540" spans="1:12" x14ac:dyDescent="0.3">
      <c r="A540" s="2"/>
      <c r="B540" s="5" t="s">
        <v>168</v>
      </c>
      <c r="C540" s="1" t="s">
        <v>72</v>
      </c>
      <c r="D540" s="8">
        <f>13+29</f>
        <v>42</v>
      </c>
      <c r="E540" s="8">
        <f t="shared" si="185"/>
        <v>26040</v>
      </c>
      <c r="F540" s="10"/>
      <c r="G540" s="10">
        <f t="shared" si="181"/>
        <v>0</v>
      </c>
      <c r="H540" s="10"/>
      <c r="I540" s="10">
        <f t="shared" si="182"/>
        <v>0</v>
      </c>
      <c r="J540" s="10"/>
      <c r="K540" s="10">
        <f t="shared" si="183"/>
        <v>0</v>
      </c>
      <c r="L540" s="10">
        <f t="shared" si="184"/>
        <v>0</v>
      </c>
    </row>
    <row r="541" spans="1:12" x14ac:dyDescent="0.3">
      <c r="A541" s="2"/>
      <c r="B541" s="5" t="s">
        <v>169</v>
      </c>
      <c r="C541" s="1" t="s">
        <v>47</v>
      </c>
      <c r="D541" s="8">
        <v>1</v>
      </c>
      <c r="E541" s="8">
        <f t="shared" si="185"/>
        <v>620</v>
      </c>
      <c r="F541" s="10"/>
      <c r="G541" s="10">
        <f t="shared" si="181"/>
        <v>0</v>
      </c>
      <c r="H541" s="10"/>
      <c r="I541" s="10">
        <f t="shared" si="182"/>
        <v>0</v>
      </c>
      <c r="J541" s="10"/>
      <c r="K541" s="10">
        <f t="shared" si="183"/>
        <v>0</v>
      </c>
      <c r="L541" s="10">
        <f t="shared" si="184"/>
        <v>0</v>
      </c>
    </row>
    <row r="542" spans="1:12" x14ac:dyDescent="0.3">
      <c r="A542" s="2"/>
      <c r="B542" s="5" t="s">
        <v>170</v>
      </c>
      <c r="C542" s="1" t="s">
        <v>12</v>
      </c>
      <c r="D542" s="8">
        <v>1.5</v>
      </c>
      <c r="E542" s="8">
        <f t="shared" si="185"/>
        <v>930</v>
      </c>
      <c r="F542" s="10"/>
      <c r="G542" s="10">
        <f t="shared" si="181"/>
        <v>0</v>
      </c>
      <c r="H542" s="10"/>
      <c r="I542" s="10">
        <f t="shared" si="182"/>
        <v>0</v>
      </c>
      <c r="J542" s="10"/>
      <c r="K542" s="10">
        <f t="shared" si="183"/>
        <v>0</v>
      </c>
      <c r="L542" s="10">
        <f t="shared" si="184"/>
        <v>0</v>
      </c>
    </row>
    <row r="543" spans="1:12" x14ac:dyDescent="0.3">
      <c r="A543" s="2"/>
      <c r="B543" s="5" t="s">
        <v>171</v>
      </c>
      <c r="C543" s="1" t="s">
        <v>72</v>
      </c>
      <c r="D543" s="8">
        <v>1.5</v>
      </c>
      <c r="E543" s="8">
        <f t="shared" si="185"/>
        <v>930</v>
      </c>
      <c r="F543" s="10"/>
      <c r="G543" s="10">
        <f t="shared" si="181"/>
        <v>0</v>
      </c>
      <c r="H543" s="10"/>
      <c r="I543" s="10">
        <f t="shared" si="182"/>
        <v>0</v>
      </c>
      <c r="J543" s="10"/>
      <c r="K543" s="10">
        <f t="shared" si="183"/>
        <v>0</v>
      </c>
      <c r="L543" s="10">
        <f t="shared" si="184"/>
        <v>0</v>
      </c>
    </row>
    <row r="544" spans="1:12" x14ac:dyDescent="0.3">
      <c r="A544" s="2"/>
      <c r="B544" s="5" t="s">
        <v>172</v>
      </c>
      <c r="C544" s="1" t="s">
        <v>12</v>
      </c>
      <c r="D544" s="8">
        <v>1.2</v>
      </c>
      <c r="E544" s="8">
        <f t="shared" si="185"/>
        <v>744</v>
      </c>
      <c r="F544" s="10"/>
      <c r="G544" s="10">
        <f t="shared" si="181"/>
        <v>0</v>
      </c>
      <c r="H544" s="10"/>
      <c r="I544" s="10">
        <f t="shared" si="182"/>
        <v>0</v>
      </c>
      <c r="J544" s="10"/>
      <c r="K544" s="10">
        <f t="shared" si="183"/>
        <v>0</v>
      </c>
      <c r="L544" s="10">
        <f t="shared" si="184"/>
        <v>0</v>
      </c>
    </row>
    <row r="545" spans="1:12" x14ac:dyDescent="0.3">
      <c r="A545" s="2"/>
      <c r="B545" s="5" t="s">
        <v>173</v>
      </c>
      <c r="C545" s="1" t="s">
        <v>25</v>
      </c>
      <c r="D545" s="8">
        <v>0.2</v>
      </c>
      <c r="E545" s="8">
        <f t="shared" si="185"/>
        <v>124</v>
      </c>
      <c r="F545" s="10"/>
      <c r="G545" s="10">
        <f t="shared" si="181"/>
        <v>0</v>
      </c>
      <c r="H545" s="10"/>
      <c r="I545" s="10">
        <f t="shared" si="182"/>
        <v>0</v>
      </c>
      <c r="J545" s="10"/>
      <c r="K545" s="10">
        <f t="shared" si="183"/>
        <v>0</v>
      </c>
      <c r="L545" s="10">
        <f t="shared" si="184"/>
        <v>0</v>
      </c>
    </row>
    <row r="546" spans="1:12" x14ac:dyDescent="0.3">
      <c r="A546" s="2"/>
      <c r="B546" s="5" t="s">
        <v>174</v>
      </c>
      <c r="C546" s="1" t="s">
        <v>16</v>
      </c>
      <c r="D546" s="8">
        <v>1</v>
      </c>
      <c r="E546" s="8">
        <f t="shared" si="185"/>
        <v>620</v>
      </c>
      <c r="F546" s="10"/>
      <c r="G546" s="10">
        <f t="shared" si="181"/>
        <v>0</v>
      </c>
      <c r="H546" s="10"/>
      <c r="I546" s="10">
        <f t="shared" si="182"/>
        <v>0</v>
      </c>
      <c r="J546" s="10"/>
      <c r="K546" s="10">
        <f t="shared" si="183"/>
        <v>0</v>
      </c>
      <c r="L546" s="10">
        <f t="shared" si="184"/>
        <v>0</v>
      </c>
    </row>
    <row r="547" spans="1:12" ht="28.8" x14ac:dyDescent="0.3">
      <c r="A547" s="2">
        <f>A535+1</f>
        <v>80</v>
      </c>
      <c r="B547" s="14" t="s">
        <v>426</v>
      </c>
      <c r="C547" s="2" t="s">
        <v>16</v>
      </c>
      <c r="D547" s="15"/>
      <c r="E547" s="15">
        <f>317+289</f>
        <v>606</v>
      </c>
      <c r="F547" s="10"/>
      <c r="G547" s="10">
        <f t="shared" si="181"/>
        <v>0</v>
      </c>
      <c r="H547" s="10"/>
      <c r="I547" s="10">
        <f t="shared" si="182"/>
        <v>0</v>
      </c>
      <c r="J547" s="10"/>
      <c r="K547" s="10">
        <f t="shared" si="183"/>
        <v>0</v>
      </c>
      <c r="L547" s="10">
        <f t="shared" si="184"/>
        <v>0</v>
      </c>
    </row>
    <row r="548" spans="1:12" x14ac:dyDescent="0.3">
      <c r="A548" s="2"/>
      <c r="B548" s="5" t="s">
        <v>13</v>
      </c>
      <c r="C548" s="1" t="s">
        <v>16</v>
      </c>
      <c r="D548" s="8">
        <v>1</v>
      </c>
      <c r="E548" s="8">
        <f t="shared" ref="E548:E558" si="186">D548*E$547</f>
        <v>606</v>
      </c>
      <c r="F548" s="10"/>
      <c r="G548" s="10">
        <f t="shared" si="181"/>
        <v>0</v>
      </c>
      <c r="H548" s="10"/>
      <c r="I548" s="10">
        <f t="shared" si="182"/>
        <v>0</v>
      </c>
      <c r="J548" s="10"/>
      <c r="K548" s="10">
        <f t="shared" si="183"/>
        <v>0</v>
      </c>
      <c r="L548" s="10">
        <f t="shared" si="184"/>
        <v>0</v>
      </c>
    </row>
    <row r="549" spans="1:12" x14ac:dyDescent="0.3">
      <c r="A549" s="2"/>
      <c r="B549" s="5" t="s">
        <v>175</v>
      </c>
      <c r="C549" s="1" t="s">
        <v>16</v>
      </c>
      <c r="D549" s="8">
        <v>4</v>
      </c>
      <c r="E549" s="8">
        <f t="shared" si="186"/>
        <v>2424</v>
      </c>
      <c r="F549" s="10"/>
      <c r="G549" s="10">
        <f t="shared" si="181"/>
        <v>0</v>
      </c>
      <c r="H549" s="10"/>
      <c r="I549" s="10">
        <f t="shared" si="182"/>
        <v>0</v>
      </c>
      <c r="J549" s="10"/>
      <c r="K549" s="10">
        <f t="shared" si="183"/>
        <v>0</v>
      </c>
      <c r="L549" s="10">
        <f t="shared" si="184"/>
        <v>0</v>
      </c>
    </row>
    <row r="550" spans="1:12" x14ac:dyDescent="0.3">
      <c r="A550" s="2"/>
      <c r="B550" s="5" t="s">
        <v>166</v>
      </c>
      <c r="C550" s="1" t="s">
        <v>12</v>
      </c>
      <c r="D550" s="8">
        <v>0.7</v>
      </c>
      <c r="E550" s="8">
        <f t="shared" si="186"/>
        <v>424.2</v>
      </c>
      <c r="F550" s="10"/>
      <c r="G550" s="10">
        <f t="shared" si="181"/>
        <v>0</v>
      </c>
      <c r="H550" s="10"/>
      <c r="I550" s="10">
        <f t="shared" si="182"/>
        <v>0</v>
      </c>
      <c r="J550" s="10"/>
      <c r="K550" s="10">
        <f t="shared" si="183"/>
        <v>0</v>
      </c>
      <c r="L550" s="10">
        <f t="shared" si="184"/>
        <v>0</v>
      </c>
    </row>
    <row r="551" spans="1:12" x14ac:dyDescent="0.3">
      <c r="A551" s="2"/>
      <c r="B551" s="5" t="s">
        <v>167</v>
      </c>
      <c r="C551" s="1" t="s">
        <v>12</v>
      </c>
      <c r="D551" s="8">
        <v>2</v>
      </c>
      <c r="E551" s="8">
        <f t="shared" si="186"/>
        <v>1212</v>
      </c>
      <c r="F551" s="10"/>
      <c r="G551" s="10">
        <f t="shared" si="181"/>
        <v>0</v>
      </c>
      <c r="H551" s="10"/>
      <c r="I551" s="10">
        <f t="shared" si="182"/>
        <v>0</v>
      </c>
      <c r="J551" s="10"/>
      <c r="K551" s="10">
        <f t="shared" si="183"/>
        <v>0</v>
      </c>
      <c r="L551" s="10">
        <f t="shared" si="184"/>
        <v>0</v>
      </c>
    </row>
    <row r="552" spans="1:12" x14ac:dyDescent="0.3">
      <c r="A552" s="2"/>
      <c r="B552" s="5" t="s">
        <v>168</v>
      </c>
      <c r="C552" s="1" t="s">
        <v>72</v>
      </c>
      <c r="D552" s="8">
        <f>13+29</f>
        <v>42</v>
      </c>
      <c r="E552" s="8">
        <f t="shared" si="186"/>
        <v>25452</v>
      </c>
      <c r="F552" s="10"/>
      <c r="G552" s="10">
        <f t="shared" si="181"/>
        <v>0</v>
      </c>
      <c r="H552" s="10"/>
      <c r="I552" s="10">
        <f t="shared" si="182"/>
        <v>0</v>
      </c>
      <c r="J552" s="10"/>
      <c r="K552" s="10">
        <f t="shared" si="183"/>
        <v>0</v>
      </c>
      <c r="L552" s="10">
        <f t="shared" si="184"/>
        <v>0</v>
      </c>
    </row>
    <row r="553" spans="1:12" x14ac:dyDescent="0.3">
      <c r="A553" s="2"/>
      <c r="B553" s="5" t="s">
        <v>169</v>
      </c>
      <c r="C553" s="1" t="s">
        <v>47</v>
      </c>
      <c r="D553" s="8">
        <v>1</v>
      </c>
      <c r="E553" s="8">
        <f t="shared" si="186"/>
        <v>606</v>
      </c>
      <c r="F553" s="10"/>
      <c r="G553" s="10">
        <f t="shared" si="181"/>
        <v>0</v>
      </c>
      <c r="H553" s="10"/>
      <c r="I553" s="10">
        <f t="shared" si="182"/>
        <v>0</v>
      </c>
      <c r="J553" s="10"/>
      <c r="K553" s="10">
        <f t="shared" si="183"/>
        <v>0</v>
      </c>
      <c r="L553" s="10">
        <f t="shared" si="184"/>
        <v>0</v>
      </c>
    </row>
    <row r="554" spans="1:12" x14ac:dyDescent="0.3">
      <c r="A554" s="2"/>
      <c r="B554" s="5" t="s">
        <v>170</v>
      </c>
      <c r="C554" s="1" t="s">
        <v>12</v>
      </c>
      <c r="D554" s="8">
        <v>1.5</v>
      </c>
      <c r="E554" s="8">
        <f t="shared" si="186"/>
        <v>909</v>
      </c>
      <c r="F554" s="10"/>
      <c r="G554" s="10">
        <f t="shared" si="181"/>
        <v>0</v>
      </c>
      <c r="H554" s="10"/>
      <c r="I554" s="10">
        <f t="shared" si="182"/>
        <v>0</v>
      </c>
      <c r="J554" s="10"/>
      <c r="K554" s="10">
        <f t="shared" si="183"/>
        <v>0</v>
      </c>
      <c r="L554" s="10">
        <f t="shared" si="184"/>
        <v>0</v>
      </c>
    </row>
    <row r="555" spans="1:12" x14ac:dyDescent="0.3">
      <c r="A555" s="2"/>
      <c r="B555" s="5" t="s">
        <v>171</v>
      </c>
      <c r="C555" s="1" t="s">
        <v>72</v>
      </c>
      <c r="D555" s="8">
        <v>1.5</v>
      </c>
      <c r="E555" s="8">
        <f t="shared" si="186"/>
        <v>909</v>
      </c>
      <c r="F555" s="10"/>
      <c r="G555" s="10">
        <f t="shared" si="181"/>
        <v>0</v>
      </c>
      <c r="H555" s="10"/>
      <c r="I555" s="10">
        <f t="shared" si="182"/>
        <v>0</v>
      </c>
      <c r="J555" s="10"/>
      <c r="K555" s="10">
        <f t="shared" si="183"/>
        <v>0</v>
      </c>
      <c r="L555" s="10">
        <f t="shared" si="184"/>
        <v>0</v>
      </c>
    </row>
    <row r="556" spans="1:12" x14ac:dyDescent="0.3">
      <c r="A556" s="2"/>
      <c r="B556" s="5" t="s">
        <v>172</v>
      </c>
      <c r="C556" s="1" t="s">
        <v>12</v>
      </c>
      <c r="D556" s="8">
        <v>1.2</v>
      </c>
      <c r="E556" s="8">
        <f t="shared" si="186"/>
        <v>727.19999999999993</v>
      </c>
      <c r="F556" s="10"/>
      <c r="G556" s="10">
        <f t="shared" si="181"/>
        <v>0</v>
      </c>
      <c r="H556" s="10"/>
      <c r="I556" s="10">
        <f t="shared" si="182"/>
        <v>0</v>
      </c>
      <c r="J556" s="10"/>
      <c r="K556" s="10">
        <f t="shared" si="183"/>
        <v>0</v>
      </c>
      <c r="L556" s="10">
        <f t="shared" si="184"/>
        <v>0</v>
      </c>
    </row>
    <row r="557" spans="1:12" x14ac:dyDescent="0.3">
      <c r="A557" s="2"/>
      <c r="B557" s="5" t="s">
        <v>173</v>
      </c>
      <c r="C557" s="1" t="s">
        <v>25</v>
      </c>
      <c r="D557" s="8">
        <v>0.2</v>
      </c>
      <c r="E557" s="8">
        <f t="shared" si="186"/>
        <v>121.2</v>
      </c>
      <c r="F557" s="10"/>
      <c r="G557" s="10">
        <f t="shared" si="181"/>
        <v>0</v>
      </c>
      <c r="H557" s="10"/>
      <c r="I557" s="10">
        <f t="shared" si="182"/>
        <v>0</v>
      </c>
      <c r="J557" s="10"/>
      <c r="K557" s="10">
        <f t="shared" si="183"/>
        <v>0</v>
      </c>
      <c r="L557" s="10">
        <f t="shared" si="184"/>
        <v>0</v>
      </c>
    </row>
    <row r="558" spans="1:12" x14ac:dyDescent="0.3">
      <c r="A558" s="2"/>
      <c r="B558" s="5" t="s">
        <v>174</v>
      </c>
      <c r="C558" s="1" t="s">
        <v>16</v>
      </c>
      <c r="D558" s="8">
        <v>1</v>
      </c>
      <c r="E558" s="8">
        <f t="shared" si="186"/>
        <v>606</v>
      </c>
      <c r="F558" s="10"/>
      <c r="G558" s="10">
        <f t="shared" si="181"/>
        <v>0</v>
      </c>
      <c r="H558" s="10"/>
      <c r="I558" s="10">
        <f t="shared" si="182"/>
        <v>0</v>
      </c>
      <c r="J558" s="10"/>
      <c r="K558" s="10">
        <f t="shared" si="183"/>
        <v>0</v>
      </c>
      <c r="L558" s="10">
        <f t="shared" si="184"/>
        <v>0</v>
      </c>
    </row>
    <row r="559" spans="1:12" x14ac:dyDescent="0.3">
      <c r="A559" s="2">
        <f>A547+1</f>
        <v>81</v>
      </c>
      <c r="B559" s="14" t="s">
        <v>176</v>
      </c>
      <c r="C559" s="2" t="s">
        <v>16</v>
      </c>
      <c r="D559" s="15"/>
      <c r="E559" s="15">
        <f>9.15*9.48</f>
        <v>86.742000000000004</v>
      </c>
      <c r="F559" s="10"/>
      <c r="G559" s="10">
        <f t="shared" si="181"/>
        <v>0</v>
      </c>
      <c r="H559" s="10"/>
      <c r="I559" s="10">
        <f t="shared" si="182"/>
        <v>0</v>
      </c>
      <c r="J559" s="10"/>
      <c r="K559" s="10">
        <f t="shared" si="183"/>
        <v>0</v>
      </c>
      <c r="L559" s="10">
        <f t="shared" si="184"/>
        <v>0</v>
      </c>
    </row>
    <row r="560" spans="1:12" x14ac:dyDescent="0.3">
      <c r="A560" s="2"/>
      <c r="B560" s="5" t="s">
        <v>13</v>
      </c>
      <c r="C560" s="1" t="s">
        <v>72</v>
      </c>
      <c r="D560" s="8">
        <v>12.5</v>
      </c>
      <c r="E560" s="8">
        <f>D560*E$559</f>
        <v>1084.2750000000001</v>
      </c>
      <c r="F560" s="10"/>
      <c r="G560" s="10">
        <f t="shared" si="181"/>
        <v>0</v>
      </c>
      <c r="H560" s="10"/>
      <c r="I560" s="10">
        <f t="shared" si="182"/>
        <v>0</v>
      </c>
      <c r="J560" s="10"/>
      <c r="K560" s="10">
        <f t="shared" si="183"/>
        <v>0</v>
      </c>
      <c r="L560" s="10">
        <f t="shared" si="184"/>
        <v>0</v>
      </c>
    </row>
    <row r="561" spans="1:12" x14ac:dyDescent="0.3">
      <c r="A561" s="2"/>
      <c r="B561" s="5" t="s">
        <v>177</v>
      </c>
      <c r="C561" s="1" t="s">
        <v>72</v>
      </c>
      <c r="D561" s="8">
        <v>12.5</v>
      </c>
      <c r="E561" s="8">
        <f>D561*E$559</f>
        <v>1084.2750000000001</v>
      </c>
      <c r="F561" s="10"/>
      <c r="G561" s="10">
        <f t="shared" ref="G561:G582" si="187">F561*E561</f>
        <v>0</v>
      </c>
      <c r="H561" s="10"/>
      <c r="I561" s="10">
        <f t="shared" ref="I561:I582" si="188">H561*E561</f>
        <v>0</v>
      </c>
      <c r="J561" s="10"/>
      <c r="K561" s="10">
        <f t="shared" ref="K561:K582" si="189">J561*E561</f>
        <v>0</v>
      </c>
      <c r="L561" s="10">
        <f t="shared" ref="L561:L582" si="190">K561+I561+G561</f>
        <v>0</v>
      </c>
    </row>
    <row r="562" spans="1:12" x14ac:dyDescent="0.3">
      <c r="A562" s="2"/>
      <c r="B562" s="5" t="s">
        <v>118</v>
      </c>
      <c r="C562" s="1" t="s">
        <v>18</v>
      </c>
      <c r="D562" s="8">
        <f>0.014*1.02</f>
        <v>1.4280000000000001E-2</v>
      </c>
      <c r="E562" s="8">
        <f>D562*E$559</f>
        <v>1.2386757600000002</v>
      </c>
      <c r="F562" s="10"/>
      <c r="G562" s="10">
        <f t="shared" si="187"/>
        <v>0</v>
      </c>
      <c r="H562" s="10"/>
      <c r="I562" s="10">
        <f t="shared" si="188"/>
        <v>0</v>
      </c>
      <c r="J562" s="10"/>
      <c r="K562" s="10">
        <f t="shared" si="189"/>
        <v>0</v>
      </c>
      <c r="L562" s="10">
        <f t="shared" si="190"/>
        <v>0</v>
      </c>
    </row>
    <row r="563" spans="1:12" x14ac:dyDescent="0.3">
      <c r="A563" s="2"/>
      <c r="B563" s="5" t="s">
        <v>19</v>
      </c>
      <c r="C563" s="1" t="s">
        <v>16</v>
      </c>
      <c r="D563" s="8">
        <v>1</v>
      </c>
      <c r="E563" s="8">
        <f>D563*E$559</f>
        <v>86.742000000000004</v>
      </c>
      <c r="F563" s="10"/>
      <c r="G563" s="10">
        <f t="shared" si="187"/>
        <v>0</v>
      </c>
      <c r="H563" s="10"/>
      <c r="I563" s="10">
        <f t="shared" si="188"/>
        <v>0</v>
      </c>
      <c r="J563" s="10"/>
      <c r="K563" s="10">
        <f t="shared" si="189"/>
        <v>0</v>
      </c>
      <c r="L563" s="10">
        <f t="shared" si="190"/>
        <v>0</v>
      </c>
    </row>
    <row r="564" spans="1:12" x14ac:dyDescent="0.3">
      <c r="A564" s="2">
        <f>A559+1</f>
        <v>82</v>
      </c>
      <c r="B564" s="14" t="s">
        <v>178</v>
      </c>
      <c r="C564" s="2" t="s">
        <v>16</v>
      </c>
      <c r="D564" s="15"/>
      <c r="E564" s="15">
        <f>7.5*9.48</f>
        <v>71.100000000000009</v>
      </c>
      <c r="F564" s="10"/>
      <c r="G564" s="10">
        <f t="shared" si="187"/>
        <v>0</v>
      </c>
      <c r="H564" s="10"/>
      <c r="I564" s="10">
        <f t="shared" si="188"/>
        <v>0</v>
      </c>
      <c r="J564" s="10"/>
      <c r="K564" s="10">
        <f t="shared" si="189"/>
        <v>0</v>
      </c>
      <c r="L564" s="10">
        <f t="shared" si="190"/>
        <v>0</v>
      </c>
    </row>
    <row r="565" spans="1:12" x14ac:dyDescent="0.3">
      <c r="A565" s="2"/>
      <c r="B565" s="5" t="s">
        <v>13</v>
      </c>
      <c r="C565" s="1" t="s">
        <v>72</v>
      </c>
      <c r="D565" s="8">
        <v>12.5</v>
      </c>
      <c r="E565" s="8">
        <f>D565*E$564</f>
        <v>888.75000000000011</v>
      </c>
      <c r="F565" s="10"/>
      <c r="G565" s="10">
        <f t="shared" si="187"/>
        <v>0</v>
      </c>
      <c r="H565" s="10"/>
      <c r="I565" s="10">
        <f t="shared" si="188"/>
        <v>0</v>
      </c>
      <c r="J565" s="10"/>
      <c r="K565" s="10">
        <f t="shared" si="189"/>
        <v>0</v>
      </c>
      <c r="L565" s="10">
        <f t="shared" si="190"/>
        <v>0</v>
      </c>
    </row>
    <row r="566" spans="1:12" x14ac:dyDescent="0.3">
      <c r="A566" s="2"/>
      <c r="B566" s="5" t="s">
        <v>179</v>
      </c>
      <c r="C566" s="1" t="s">
        <v>72</v>
      </c>
      <c r="D566" s="8">
        <v>12.5</v>
      </c>
      <c r="E566" s="8">
        <f>D566*E$564</f>
        <v>888.75000000000011</v>
      </c>
      <c r="F566" s="10"/>
      <c r="G566" s="10">
        <f t="shared" si="187"/>
        <v>0</v>
      </c>
      <c r="H566" s="10"/>
      <c r="I566" s="10">
        <f t="shared" si="188"/>
        <v>0</v>
      </c>
      <c r="J566" s="10"/>
      <c r="K566" s="10">
        <f t="shared" si="189"/>
        <v>0</v>
      </c>
      <c r="L566" s="10">
        <f t="shared" si="190"/>
        <v>0</v>
      </c>
    </row>
    <row r="567" spans="1:12" x14ac:dyDescent="0.3">
      <c r="A567" s="2"/>
      <c r="B567" s="5" t="s">
        <v>118</v>
      </c>
      <c r="C567" s="1" t="s">
        <v>18</v>
      </c>
      <c r="D567" s="8">
        <f>0.014*1.02</f>
        <v>1.4280000000000001E-2</v>
      </c>
      <c r="E567" s="8">
        <f>D567*E$564</f>
        <v>1.0153080000000001</v>
      </c>
      <c r="F567" s="10"/>
      <c r="G567" s="10">
        <f t="shared" si="187"/>
        <v>0</v>
      </c>
      <c r="H567" s="10"/>
      <c r="I567" s="10">
        <f t="shared" si="188"/>
        <v>0</v>
      </c>
      <c r="J567" s="10"/>
      <c r="K567" s="10">
        <f t="shared" si="189"/>
        <v>0</v>
      </c>
      <c r="L567" s="10">
        <f t="shared" si="190"/>
        <v>0</v>
      </c>
    </row>
    <row r="568" spans="1:12" x14ac:dyDescent="0.3">
      <c r="A568" s="2"/>
      <c r="B568" s="5" t="s">
        <v>19</v>
      </c>
      <c r="C568" s="1" t="s">
        <v>16</v>
      </c>
      <c r="D568" s="8">
        <v>1</v>
      </c>
      <c r="E568" s="8">
        <f>D568*E$564</f>
        <v>71.100000000000009</v>
      </c>
      <c r="F568" s="10"/>
      <c r="G568" s="10">
        <f t="shared" si="187"/>
        <v>0</v>
      </c>
      <c r="H568" s="10"/>
      <c r="I568" s="10">
        <f t="shared" si="188"/>
        <v>0</v>
      </c>
      <c r="J568" s="10"/>
      <c r="K568" s="10">
        <f t="shared" si="189"/>
        <v>0</v>
      </c>
      <c r="L568" s="10">
        <f t="shared" si="190"/>
        <v>0</v>
      </c>
    </row>
    <row r="569" spans="1:12" x14ac:dyDescent="0.3">
      <c r="A569" s="2">
        <f>A564+1</f>
        <v>83</v>
      </c>
      <c r="B569" s="14" t="s">
        <v>183</v>
      </c>
      <c r="C569" s="2" t="s">
        <v>16</v>
      </c>
      <c r="D569" s="15"/>
      <c r="E569" s="15">
        <f>E564*2+E559*2</f>
        <v>315.68400000000003</v>
      </c>
      <c r="F569" s="10"/>
      <c r="G569" s="10">
        <f>F569*E569</f>
        <v>0</v>
      </c>
      <c r="H569" s="10"/>
      <c r="I569" s="10">
        <f>H569*E569</f>
        <v>0</v>
      </c>
      <c r="J569" s="10"/>
      <c r="K569" s="10">
        <f>J569*E569</f>
        <v>0</v>
      </c>
      <c r="L569" s="10">
        <f>K569+I569+G569</f>
        <v>0</v>
      </c>
    </row>
    <row r="570" spans="1:12" x14ac:dyDescent="0.3">
      <c r="A570" s="2"/>
      <c r="B570" s="5" t="s">
        <v>13</v>
      </c>
      <c r="C570" s="1" t="s">
        <v>16</v>
      </c>
      <c r="D570" s="8">
        <v>1</v>
      </c>
      <c r="E570" s="8">
        <f>D570*E$569</f>
        <v>315.68400000000003</v>
      </c>
      <c r="F570" s="10"/>
      <c r="G570" s="10">
        <f>F570*E570</f>
        <v>0</v>
      </c>
      <c r="H570" s="10"/>
      <c r="I570" s="10">
        <f>H570*E570</f>
        <v>0</v>
      </c>
      <c r="J570" s="10"/>
      <c r="K570" s="10">
        <f>J570*E570</f>
        <v>0</v>
      </c>
      <c r="L570" s="10">
        <f>K570+I570+G570</f>
        <v>0</v>
      </c>
    </row>
    <row r="571" spans="1:12" x14ac:dyDescent="0.3">
      <c r="A571" s="2"/>
      <c r="B571" s="5" t="s">
        <v>118</v>
      </c>
      <c r="C571" s="1" t="s">
        <v>18</v>
      </c>
      <c r="D571" s="8">
        <f>0.03*1.02</f>
        <v>3.0599999999999999E-2</v>
      </c>
      <c r="E571" s="8">
        <f>D571*E$569</f>
        <v>9.6599304000000004</v>
      </c>
      <c r="F571" s="10"/>
      <c r="G571" s="10">
        <f>F571*E571</f>
        <v>0</v>
      </c>
      <c r="H571" s="10"/>
      <c r="I571" s="10">
        <f>H571*E571</f>
        <v>0</v>
      </c>
      <c r="J571" s="10"/>
      <c r="K571" s="10">
        <f>J571*E571</f>
        <v>0</v>
      </c>
      <c r="L571" s="10">
        <f>K571+I571+G571</f>
        <v>0</v>
      </c>
    </row>
    <row r="572" spans="1:12" x14ac:dyDescent="0.3">
      <c r="A572" s="2"/>
      <c r="B572" s="5" t="s">
        <v>19</v>
      </c>
      <c r="C572" s="1" t="s">
        <v>16</v>
      </c>
      <c r="D572" s="8">
        <v>1</v>
      </c>
      <c r="E572" s="8">
        <f>D572*E$569</f>
        <v>315.68400000000003</v>
      </c>
      <c r="F572" s="10"/>
      <c r="G572" s="10">
        <f>F572*E572</f>
        <v>0</v>
      </c>
      <c r="H572" s="10"/>
      <c r="I572" s="10">
        <f>H572*E572</f>
        <v>0</v>
      </c>
      <c r="J572" s="10"/>
      <c r="K572" s="10">
        <f>J572*E572</f>
        <v>0</v>
      </c>
      <c r="L572" s="10">
        <f>K572+I572+G572</f>
        <v>0</v>
      </c>
    </row>
    <row r="573" spans="1:12" x14ac:dyDescent="0.3">
      <c r="A573" s="2">
        <f>A569+1</f>
        <v>84</v>
      </c>
      <c r="B573" s="14" t="s">
        <v>180</v>
      </c>
      <c r="C573" s="2" t="s">
        <v>16</v>
      </c>
      <c r="D573" s="15"/>
      <c r="E573" s="15">
        <f>(24.3+27.7)*9.05+12.3*4.78</f>
        <v>529.39400000000001</v>
      </c>
      <c r="F573" s="10"/>
      <c r="G573" s="10">
        <f t="shared" si="187"/>
        <v>0</v>
      </c>
      <c r="H573" s="10"/>
      <c r="I573" s="10">
        <f t="shared" si="188"/>
        <v>0</v>
      </c>
      <c r="J573" s="10"/>
      <c r="K573" s="10">
        <f t="shared" si="189"/>
        <v>0</v>
      </c>
      <c r="L573" s="10">
        <f t="shared" si="190"/>
        <v>0</v>
      </c>
    </row>
    <row r="574" spans="1:12" x14ac:dyDescent="0.3">
      <c r="A574" s="2"/>
      <c r="B574" s="5" t="s">
        <v>13</v>
      </c>
      <c r="C574" s="1" t="s">
        <v>16</v>
      </c>
      <c r="D574" s="8">
        <v>1</v>
      </c>
      <c r="E574" s="8">
        <f>D574*E$573</f>
        <v>529.39400000000001</v>
      </c>
      <c r="F574" s="10"/>
      <c r="G574" s="10">
        <f t="shared" si="187"/>
        <v>0</v>
      </c>
      <c r="H574" s="10"/>
      <c r="I574" s="10">
        <f t="shared" si="188"/>
        <v>0</v>
      </c>
      <c r="J574" s="10"/>
      <c r="K574" s="10">
        <f t="shared" si="189"/>
        <v>0</v>
      </c>
      <c r="L574" s="10">
        <f t="shared" si="190"/>
        <v>0</v>
      </c>
    </row>
    <row r="575" spans="1:12" x14ac:dyDescent="0.3">
      <c r="A575" s="2"/>
      <c r="B575" s="5" t="s">
        <v>181</v>
      </c>
      <c r="C575" s="1" t="s">
        <v>16</v>
      </c>
      <c r="D575" s="8">
        <v>1.03</v>
      </c>
      <c r="E575" s="8">
        <f>D575*E$573</f>
        <v>545.27582000000007</v>
      </c>
      <c r="F575" s="10"/>
      <c r="G575" s="10">
        <f t="shared" si="187"/>
        <v>0</v>
      </c>
      <c r="H575" s="10"/>
      <c r="I575" s="10">
        <f t="shared" si="188"/>
        <v>0</v>
      </c>
      <c r="J575" s="10"/>
      <c r="K575" s="10">
        <f t="shared" si="189"/>
        <v>0</v>
      </c>
      <c r="L575" s="10">
        <f t="shared" si="190"/>
        <v>0</v>
      </c>
    </row>
    <row r="576" spans="1:12" x14ac:dyDescent="0.3">
      <c r="A576" s="2"/>
      <c r="B576" s="5" t="s">
        <v>19</v>
      </c>
      <c r="C576" s="1" t="s">
        <v>16</v>
      </c>
      <c r="D576" s="8">
        <v>1</v>
      </c>
      <c r="E576" s="8">
        <f>D576*E$573</f>
        <v>529.39400000000001</v>
      </c>
      <c r="F576" s="10"/>
      <c r="G576" s="10">
        <f t="shared" si="187"/>
        <v>0</v>
      </c>
      <c r="H576" s="10"/>
      <c r="I576" s="10">
        <f t="shared" si="188"/>
        <v>0</v>
      </c>
      <c r="J576" s="10"/>
      <c r="K576" s="10">
        <f t="shared" si="189"/>
        <v>0</v>
      </c>
      <c r="L576" s="10">
        <f t="shared" si="190"/>
        <v>0</v>
      </c>
    </row>
    <row r="577" spans="1:12" x14ac:dyDescent="0.3">
      <c r="A577" s="2">
        <f>A573+1</f>
        <v>85</v>
      </c>
      <c r="B577" s="14" t="s">
        <v>182</v>
      </c>
      <c r="C577" s="2" t="s">
        <v>16</v>
      </c>
      <c r="D577" s="15"/>
      <c r="E577" s="15">
        <f>E573</f>
        <v>529.39400000000001</v>
      </c>
      <c r="F577" s="10"/>
      <c r="G577" s="10">
        <f t="shared" si="187"/>
        <v>0</v>
      </c>
      <c r="H577" s="10"/>
      <c r="I577" s="10">
        <f t="shared" si="188"/>
        <v>0</v>
      </c>
      <c r="J577" s="10"/>
      <c r="K577" s="10">
        <f t="shared" si="189"/>
        <v>0</v>
      </c>
      <c r="L577" s="10">
        <f t="shared" si="190"/>
        <v>0</v>
      </c>
    </row>
    <row r="578" spans="1:12" x14ac:dyDescent="0.3">
      <c r="A578" s="2"/>
      <c r="B578" s="5" t="s">
        <v>13</v>
      </c>
      <c r="C578" s="1" t="s">
        <v>16</v>
      </c>
      <c r="D578" s="8">
        <v>1</v>
      </c>
      <c r="E578" s="8">
        <f>D578*E$577</f>
        <v>529.39400000000001</v>
      </c>
      <c r="F578" s="10"/>
      <c r="G578" s="10">
        <f t="shared" si="187"/>
        <v>0</v>
      </c>
      <c r="H578" s="10"/>
      <c r="I578" s="10">
        <f t="shared" si="188"/>
        <v>0</v>
      </c>
      <c r="J578" s="10"/>
      <c r="K578" s="10">
        <f t="shared" si="189"/>
        <v>0</v>
      </c>
      <c r="L578" s="10">
        <f t="shared" si="190"/>
        <v>0</v>
      </c>
    </row>
    <row r="579" spans="1:12" x14ac:dyDescent="0.3">
      <c r="A579" s="2"/>
      <c r="B579" s="5" t="s">
        <v>115</v>
      </c>
      <c r="C579" s="1" t="s">
        <v>16</v>
      </c>
      <c r="D579" s="8">
        <v>1</v>
      </c>
      <c r="E579" s="8">
        <f>D579*E$577</f>
        <v>529.39400000000001</v>
      </c>
      <c r="F579" s="10"/>
      <c r="G579" s="10">
        <f t="shared" si="187"/>
        <v>0</v>
      </c>
      <c r="H579" s="10"/>
      <c r="I579" s="10">
        <f t="shared" si="188"/>
        <v>0</v>
      </c>
      <c r="J579" s="10"/>
      <c r="K579" s="10">
        <f t="shared" si="189"/>
        <v>0</v>
      </c>
      <c r="L579" s="10">
        <f t="shared" si="190"/>
        <v>0</v>
      </c>
    </row>
    <row r="580" spans="1:12" x14ac:dyDescent="0.3">
      <c r="A580" s="2"/>
      <c r="B580" s="5" t="s">
        <v>19</v>
      </c>
      <c r="C580" s="1" t="s">
        <v>16</v>
      </c>
      <c r="D580" s="8">
        <v>1</v>
      </c>
      <c r="E580" s="8">
        <f>D580*E$577</f>
        <v>529.39400000000001</v>
      </c>
      <c r="F580" s="10"/>
      <c r="G580" s="10">
        <f t="shared" si="187"/>
        <v>0</v>
      </c>
      <c r="H580" s="10"/>
      <c r="I580" s="10">
        <f t="shared" si="188"/>
        <v>0</v>
      </c>
      <c r="J580" s="10"/>
      <c r="K580" s="10">
        <f t="shared" si="189"/>
        <v>0</v>
      </c>
      <c r="L580" s="10">
        <f t="shared" si="190"/>
        <v>0</v>
      </c>
    </row>
    <row r="581" spans="1:12" ht="49.8" customHeight="1" x14ac:dyDescent="0.3">
      <c r="A581" s="2">
        <f>A577+1</f>
        <v>86</v>
      </c>
      <c r="B581" s="14" t="s">
        <v>1043</v>
      </c>
      <c r="C581" s="2" t="s">
        <v>16</v>
      </c>
      <c r="D581" s="15"/>
      <c r="E581" s="15">
        <f>(102+78)*2</f>
        <v>360</v>
      </c>
      <c r="F581" s="10"/>
      <c r="G581" s="10">
        <f t="shared" si="187"/>
        <v>0</v>
      </c>
      <c r="H581" s="10"/>
      <c r="I581" s="10">
        <f t="shared" si="188"/>
        <v>0</v>
      </c>
      <c r="J581" s="10"/>
      <c r="K581" s="10">
        <f t="shared" si="189"/>
        <v>0</v>
      </c>
      <c r="L581" s="10">
        <f t="shared" si="190"/>
        <v>0</v>
      </c>
    </row>
    <row r="582" spans="1:12" x14ac:dyDescent="0.3">
      <c r="A582" s="2"/>
      <c r="B582" s="5" t="s">
        <v>13</v>
      </c>
      <c r="C582" s="1" t="s">
        <v>16</v>
      </c>
      <c r="D582" s="8">
        <v>1</v>
      </c>
      <c r="E582" s="8">
        <f>D582*E$581</f>
        <v>360</v>
      </c>
      <c r="F582" s="10"/>
      <c r="G582" s="10">
        <f t="shared" si="187"/>
        <v>0</v>
      </c>
      <c r="H582" s="10"/>
      <c r="I582" s="10">
        <f t="shared" si="188"/>
        <v>0</v>
      </c>
      <c r="J582" s="10"/>
      <c r="K582" s="10">
        <f t="shared" si="189"/>
        <v>0</v>
      </c>
      <c r="L582" s="10">
        <f t="shared" si="190"/>
        <v>0</v>
      </c>
    </row>
    <row r="583" spans="1:12" x14ac:dyDescent="0.3">
      <c r="A583" s="2"/>
      <c r="B583" s="5" t="s">
        <v>184</v>
      </c>
      <c r="C583" s="1" t="s">
        <v>16</v>
      </c>
      <c r="D583" s="8">
        <v>1.05</v>
      </c>
      <c r="E583" s="8">
        <f>D583*E$581</f>
        <v>378</v>
      </c>
      <c r="F583" s="10"/>
      <c r="G583" s="10">
        <f t="shared" ref="G583:G599" si="191">F583*E583</f>
        <v>0</v>
      </c>
      <c r="H583" s="10"/>
      <c r="I583" s="10">
        <f t="shared" ref="I583:I599" si="192">H583*E583</f>
        <v>0</v>
      </c>
      <c r="J583" s="10"/>
      <c r="K583" s="10">
        <f t="shared" ref="K583:K599" si="193">J583*E583</f>
        <v>0</v>
      </c>
      <c r="L583" s="10">
        <f t="shared" ref="L583:L599" si="194">K583+I583+G583</f>
        <v>0</v>
      </c>
    </row>
    <row r="584" spans="1:12" x14ac:dyDescent="0.3">
      <c r="A584" s="2"/>
      <c r="B584" s="5" t="s">
        <v>121</v>
      </c>
      <c r="C584" s="1" t="s">
        <v>47</v>
      </c>
      <c r="D584" s="8">
        <v>7</v>
      </c>
      <c r="E584" s="8">
        <f>D584*E$581</f>
        <v>2520</v>
      </c>
      <c r="F584" s="10"/>
      <c r="G584" s="10">
        <f t="shared" si="191"/>
        <v>0</v>
      </c>
      <c r="H584" s="10"/>
      <c r="I584" s="10">
        <f t="shared" si="192"/>
        <v>0</v>
      </c>
      <c r="J584" s="10"/>
      <c r="K584" s="10">
        <f t="shared" si="193"/>
        <v>0</v>
      </c>
      <c r="L584" s="10">
        <f t="shared" si="194"/>
        <v>0</v>
      </c>
    </row>
    <row r="585" spans="1:12" x14ac:dyDescent="0.3">
      <c r="A585" s="2"/>
      <c r="B585" s="5" t="s">
        <v>19</v>
      </c>
      <c r="C585" s="1" t="s">
        <v>16</v>
      </c>
      <c r="D585" s="8">
        <v>1</v>
      </c>
      <c r="E585" s="8">
        <f>D585*E$581</f>
        <v>360</v>
      </c>
      <c r="F585" s="10"/>
      <c r="G585" s="10">
        <f t="shared" si="191"/>
        <v>0</v>
      </c>
      <c r="H585" s="10"/>
      <c r="I585" s="10">
        <f t="shared" si="192"/>
        <v>0</v>
      </c>
      <c r="J585" s="10"/>
      <c r="K585" s="10">
        <f t="shared" si="193"/>
        <v>0</v>
      </c>
      <c r="L585" s="10">
        <f t="shared" si="194"/>
        <v>0</v>
      </c>
    </row>
    <row r="586" spans="1:12" x14ac:dyDescent="0.3">
      <c r="A586" s="2">
        <f>A581+1</f>
        <v>87</v>
      </c>
      <c r="B586" s="14" t="s">
        <v>185</v>
      </c>
      <c r="C586" s="2" t="s">
        <v>16</v>
      </c>
      <c r="D586" s="15"/>
      <c r="E586" s="15">
        <f>(E535*2+E547*2+E559*2+E564*2+22.7*9.38+18.9*6.48+25.3*8.75*2)-E581</f>
        <v>3185.8319999999999</v>
      </c>
      <c r="F586" s="10"/>
      <c r="G586" s="10">
        <f t="shared" si="191"/>
        <v>0</v>
      </c>
      <c r="H586" s="10"/>
      <c r="I586" s="10">
        <f t="shared" si="192"/>
        <v>0</v>
      </c>
      <c r="J586" s="10"/>
      <c r="K586" s="10">
        <f t="shared" si="193"/>
        <v>0</v>
      </c>
      <c r="L586" s="10">
        <f t="shared" si="194"/>
        <v>0</v>
      </c>
    </row>
    <row r="587" spans="1:12" x14ac:dyDescent="0.3">
      <c r="A587" s="2"/>
      <c r="B587" s="5" t="s">
        <v>13</v>
      </c>
      <c r="C587" s="1" t="s">
        <v>16</v>
      </c>
      <c r="D587" s="8">
        <v>1</v>
      </c>
      <c r="E587" s="8">
        <f>D587*E$586</f>
        <v>3185.8319999999999</v>
      </c>
      <c r="F587" s="10"/>
      <c r="G587" s="10">
        <f t="shared" si="191"/>
        <v>0</v>
      </c>
      <c r="H587" s="10"/>
      <c r="I587" s="10">
        <f t="shared" si="192"/>
        <v>0</v>
      </c>
      <c r="J587" s="10"/>
      <c r="K587" s="10">
        <f t="shared" si="193"/>
        <v>0</v>
      </c>
      <c r="L587" s="10">
        <f t="shared" si="194"/>
        <v>0</v>
      </c>
    </row>
    <row r="588" spans="1:12" x14ac:dyDescent="0.3">
      <c r="A588" s="2"/>
      <c r="B588" s="5" t="s">
        <v>107</v>
      </c>
      <c r="C588" s="1" t="s">
        <v>47</v>
      </c>
      <c r="D588" s="8">
        <v>0.39</v>
      </c>
      <c r="E588" s="8">
        <f>D588*E$586</f>
        <v>1242.4744800000001</v>
      </c>
      <c r="F588" s="10"/>
      <c r="G588" s="10">
        <f t="shared" si="191"/>
        <v>0</v>
      </c>
      <c r="H588" s="10"/>
      <c r="I588" s="10">
        <f t="shared" si="192"/>
        <v>0</v>
      </c>
      <c r="J588" s="10"/>
      <c r="K588" s="10">
        <f t="shared" si="193"/>
        <v>0</v>
      </c>
      <c r="L588" s="10">
        <f t="shared" si="194"/>
        <v>0</v>
      </c>
    </row>
    <row r="589" spans="1:12" x14ac:dyDescent="0.3">
      <c r="A589" s="2"/>
      <c r="B589" s="5" t="s">
        <v>186</v>
      </c>
      <c r="C589" s="1" t="s">
        <v>47</v>
      </c>
      <c r="D589" s="8">
        <v>0.79</v>
      </c>
      <c r="E589" s="8">
        <f>D589*E$586</f>
        <v>2516.80728</v>
      </c>
      <c r="F589" s="10"/>
      <c r="G589" s="10">
        <f t="shared" si="191"/>
        <v>0</v>
      </c>
      <c r="H589" s="10"/>
      <c r="I589" s="10">
        <f t="shared" si="192"/>
        <v>0</v>
      </c>
      <c r="J589" s="10"/>
      <c r="K589" s="10">
        <f t="shared" si="193"/>
        <v>0</v>
      </c>
      <c r="L589" s="10">
        <f t="shared" si="194"/>
        <v>0</v>
      </c>
    </row>
    <row r="590" spans="1:12" x14ac:dyDescent="0.3">
      <c r="A590" s="2"/>
      <c r="B590" s="5" t="s">
        <v>187</v>
      </c>
      <c r="C590" s="1" t="s">
        <v>16</v>
      </c>
      <c r="D590" s="8">
        <v>8.9999999999999993E-3</v>
      </c>
      <c r="E590" s="8">
        <f>D590*E$586</f>
        <v>28.672487999999998</v>
      </c>
      <c r="F590" s="10"/>
      <c r="G590" s="10">
        <f t="shared" si="191"/>
        <v>0</v>
      </c>
      <c r="H590" s="10"/>
      <c r="I590" s="10">
        <f t="shared" si="192"/>
        <v>0</v>
      </c>
      <c r="J590" s="10"/>
      <c r="K590" s="10">
        <f t="shared" si="193"/>
        <v>0</v>
      </c>
      <c r="L590" s="10">
        <f t="shared" si="194"/>
        <v>0</v>
      </c>
    </row>
    <row r="591" spans="1:12" x14ac:dyDescent="0.3">
      <c r="A591" s="2"/>
      <c r="B591" s="5" t="s">
        <v>19</v>
      </c>
      <c r="C591" s="1" t="s">
        <v>16</v>
      </c>
      <c r="D591" s="8">
        <v>1</v>
      </c>
      <c r="E591" s="8">
        <f>D591*E$586</f>
        <v>3185.8319999999999</v>
      </c>
      <c r="F591" s="10"/>
      <c r="G591" s="10">
        <f t="shared" si="191"/>
        <v>0</v>
      </c>
      <c r="H591" s="10"/>
      <c r="I591" s="10">
        <f t="shared" si="192"/>
        <v>0</v>
      </c>
      <c r="J591" s="10"/>
      <c r="K591" s="10">
        <f t="shared" si="193"/>
        <v>0</v>
      </c>
      <c r="L591" s="10">
        <f t="shared" si="194"/>
        <v>0</v>
      </c>
    </row>
    <row r="592" spans="1:12" x14ac:dyDescent="0.3">
      <c r="A592" s="20"/>
      <c r="B592" s="20" t="s">
        <v>189</v>
      </c>
      <c r="C592" s="21"/>
      <c r="D592" s="22"/>
      <c r="E592" s="22"/>
      <c r="F592" s="23"/>
      <c r="G592" s="23">
        <f t="shared" si="191"/>
        <v>0</v>
      </c>
      <c r="H592" s="23"/>
      <c r="I592" s="23">
        <f t="shared" si="192"/>
        <v>0</v>
      </c>
      <c r="J592" s="23"/>
      <c r="K592" s="23">
        <f t="shared" si="193"/>
        <v>0</v>
      </c>
      <c r="L592" s="23">
        <f t="shared" si="194"/>
        <v>0</v>
      </c>
    </row>
    <row r="593" spans="1:17" x14ac:dyDescent="0.3">
      <c r="A593" s="2">
        <f>A586+1</f>
        <v>88</v>
      </c>
      <c r="B593" s="14" t="s">
        <v>425</v>
      </c>
      <c r="C593" s="2" t="s">
        <v>16</v>
      </c>
      <c r="D593" s="15"/>
      <c r="E593" s="15">
        <f>1360+270</f>
        <v>1630</v>
      </c>
      <c r="F593" s="10"/>
      <c r="G593" s="10">
        <f t="shared" si="191"/>
        <v>0</v>
      </c>
      <c r="H593" s="10"/>
      <c r="I593" s="10">
        <f t="shared" si="192"/>
        <v>0</v>
      </c>
      <c r="J593" s="10"/>
      <c r="K593" s="10">
        <f t="shared" si="193"/>
        <v>0</v>
      </c>
      <c r="L593" s="10">
        <f t="shared" si="194"/>
        <v>0</v>
      </c>
      <c r="Q593" s="9"/>
    </row>
    <row r="594" spans="1:17" x14ac:dyDescent="0.3">
      <c r="A594" s="2"/>
      <c r="B594" s="5" t="s">
        <v>13</v>
      </c>
      <c r="C594" s="1" t="s">
        <v>16</v>
      </c>
      <c r="D594" s="8">
        <v>1</v>
      </c>
      <c r="E594" s="8">
        <f>D594*E$593</f>
        <v>1630</v>
      </c>
      <c r="F594" s="10"/>
      <c r="G594" s="10">
        <f t="shared" si="191"/>
        <v>0</v>
      </c>
      <c r="H594" s="10"/>
      <c r="I594" s="10">
        <f t="shared" si="192"/>
        <v>0</v>
      </c>
      <c r="J594" s="10"/>
      <c r="K594" s="10">
        <f t="shared" si="193"/>
        <v>0</v>
      </c>
      <c r="L594" s="10">
        <f t="shared" si="194"/>
        <v>0</v>
      </c>
    </row>
    <row r="595" spans="1:17" x14ac:dyDescent="0.3">
      <c r="A595" s="2"/>
      <c r="B595" s="5" t="s">
        <v>190</v>
      </c>
      <c r="C595" s="1" t="s">
        <v>16</v>
      </c>
      <c r="D595" s="8">
        <v>1.03</v>
      </c>
      <c r="E595" s="8">
        <f>D595*E$593</f>
        <v>1678.9</v>
      </c>
      <c r="F595" s="10"/>
      <c r="G595" s="10">
        <f t="shared" si="191"/>
        <v>0</v>
      </c>
      <c r="H595" s="10"/>
      <c r="I595" s="10">
        <f t="shared" si="192"/>
        <v>0</v>
      </c>
      <c r="J595" s="10"/>
      <c r="K595" s="10">
        <f t="shared" si="193"/>
        <v>0</v>
      </c>
      <c r="L595" s="10">
        <f t="shared" si="194"/>
        <v>0</v>
      </c>
    </row>
    <row r="596" spans="1:17" x14ac:dyDescent="0.3">
      <c r="A596" s="2"/>
      <c r="B596" s="5" t="s">
        <v>19</v>
      </c>
      <c r="C596" s="1" t="s">
        <v>16</v>
      </c>
      <c r="D596" s="8">
        <v>1</v>
      </c>
      <c r="E596" s="8">
        <f>D596*E$593</f>
        <v>1630</v>
      </c>
      <c r="F596" s="10"/>
      <c r="G596" s="10">
        <f t="shared" si="191"/>
        <v>0</v>
      </c>
      <c r="H596" s="10"/>
      <c r="I596" s="10">
        <f t="shared" si="192"/>
        <v>0</v>
      </c>
      <c r="J596" s="10"/>
      <c r="K596" s="10">
        <f t="shared" si="193"/>
        <v>0</v>
      </c>
      <c r="L596" s="10">
        <f t="shared" si="194"/>
        <v>0</v>
      </c>
    </row>
    <row r="597" spans="1:17" x14ac:dyDescent="0.3">
      <c r="A597" s="2"/>
      <c r="B597" s="5" t="s">
        <v>105</v>
      </c>
      <c r="C597" s="1" t="s">
        <v>30</v>
      </c>
      <c r="D597" s="8">
        <v>0.01</v>
      </c>
      <c r="E597" s="8">
        <f>D597*E$593</f>
        <v>16.3</v>
      </c>
      <c r="F597" s="10"/>
      <c r="G597" s="10">
        <f t="shared" si="191"/>
        <v>0</v>
      </c>
      <c r="H597" s="10"/>
      <c r="I597" s="10">
        <f t="shared" si="192"/>
        <v>0</v>
      </c>
      <c r="J597" s="10"/>
      <c r="K597" s="10">
        <f t="shared" si="193"/>
        <v>0</v>
      </c>
      <c r="L597" s="10">
        <f t="shared" si="194"/>
        <v>0</v>
      </c>
    </row>
    <row r="598" spans="1:17" x14ac:dyDescent="0.3">
      <c r="A598" s="2">
        <f>A593+1</f>
        <v>89</v>
      </c>
      <c r="B598" s="14" t="s">
        <v>191</v>
      </c>
      <c r="C598" s="2" t="s">
        <v>16</v>
      </c>
      <c r="D598" s="15"/>
      <c r="E598" s="15">
        <f>855-9.2-8.6-5.8-7.7-8.9-8.1-25.1-7.4-13.5-13.5-7.5-17.9-270</f>
        <v>451.79999999999995</v>
      </c>
      <c r="F598" s="10"/>
      <c r="G598" s="10">
        <f t="shared" si="191"/>
        <v>0</v>
      </c>
      <c r="H598" s="10"/>
      <c r="I598" s="10">
        <f t="shared" si="192"/>
        <v>0</v>
      </c>
      <c r="J598" s="10"/>
      <c r="K598" s="10">
        <f t="shared" si="193"/>
        <v>0</v>
      </c>
      <c r="L598" s="10">
        <f t="shared" si="194"/>
        <v>0</v>
      </c>
    </row>
    <row r="599" spans="1:17" x14ac:dyDescent="0.3">
      <c r="A599" s="2"/>
      <c r="B599" s="5" t="s">
        <v>13</v>
      </c>
      <c r="C599" s="1" t="s">
        <v>16</v>
      </c>
      <c r="D599" s="8">
        <v>1</v>
      </c>
      <c r="E599" s="8">
        <f t="shared" ref="E599:E610" si="195">D599*E$598</f>
        <v>451.79999999999995</v>
      </c>
      <c r="F599" s="10"/>
      <c r="G599" s="10">
        <f t="shared" si="191"/>
        <v>0</v>
      </c>
      <c r="H599" s="10"/>
      <c r="I599" s="10">
        <f t="shared" si="192"/>
        <v>0</v>
      </c>
      <c r="J599" s="10"/>
      <c r="K599" s="10">
        <f t="shared" si="193"/>
        <v>0</v>
      </c>
      <c r="L599" s="10">
        <f t="shared" si="194"/>
        <v>0</v>
      </c>
    </row>
    <row r="600" spans="1:17" x14ac:dyDescent="0.3">
      <c r="A600" s="2"/>
      <c r="B600" s="5" t="s">
        <v>165</v>
      </c>
      <c r="C600" s="1" t="s">
        <v>16</v>
      </c>
      <c r="D600" s="8">
        <v>1</v>
      </c>
      <c r="E600" s="8">
        <f t="shared" si="195"/>
        <v>451.79999999999995</v>
      </c>
      <c r="F600" s="10"/>
      <c r="G600" s="10">
        <f t="shared" ref="G600:G627" si="196">F600*E600</f>
        <v>0</v>
      </c>
      <c r="H600" s="10"/>
      <c r="I600" s="10">
        <f t="shared" ref="I600:I627" si="197">H600*E600</f>
        <v>0</v>
      </c>
      <c r="J600" s="10"/>
      <c r="K600" s="10">
        <f t="shared" ref="K600:K627" si="198">J600*E600</f>
        <v>0</v>
      </c>
      <c r="L600" s="10">
        <f t="shared" ref="L600:L627" si="199">K600+I600+G600</f>
        <v>0</v>
      </c>
    </row>
    <row r="601" spans="1:17" x14ac:dyDescent="0.3">
      <c r="A601" s="2"/>
      <c r="B601" s="5" t="s">
        <v>192</v>
      </c>
      <c r="C601" s="1" t="s">
        <v>12</v>
      </c>
      <c r="D601" s="8">
        <v>3.2</v>
      </c>
      <c r="E601" s="8">
        <f t="shared" si="195"/>
        <v>1445.76</v>
      </c>
      <c r="F601" s="10"/>
      <c r="G601" s="10">
        <f t="shared" si="196"/>
        <v>0</v>
      </c>
      <c r="H601" s="10"/>
      <c r="I601" s="10">
        <f t="shared" si="197"/>
        <v>0</v>
      </c>
      <c r="J601" s="10"/>
      <c r="K601" s="10">
        <f t="shared" si="198"/>
        <v>0</v>
      </c>
      <c r="L601" s="10">
        <f t="shared" si="199"/>
        <v>0</v>
      </c>
    </row>
    <row r="602" spans="1:17" x14ac:dyDescent="0.3">
      <c r="A602" s="2"/>
      <c r="B602" s="5" t="s">
        <v>193</v>
      </c>
      <c r="C602" s="1" t="s">
        <v>72</v>
      </c>
      <c r="D602" s="8">
        <v>0.6</v>
      </c>
      <c r="E602" s="8">
        <f t="shared" si="195"/>
        <v>271.08</v>
      </c>
      <c r="F602" s="10"/>
      <c r="G602" s="10">
        <f t="shared" si="196"/>
        <v>0</v>
      </c>
      <c r="H602" s="10"/>
      <c r="I602" s="10">
        <f t="shared" si="197"/>
        <v>0</v>
      </c>
      <c r="J602" s="10"/>
      <c r="K602" s="10">
        <f t="shared" si="198"/>
        <v>0</v>
      </c>
      <c r="L602" s="10">
        <f t="shared" si="199"/>
        <v>0</v>
      </c>
    </row>
    <row r="603" spans="1:17" x14ac:dyDescent="0.3">
      <c r="A603" s="2"/>
      <c r="B603" s="5" t="s">
        <v>194</v>
      </c>
      <c r="C603" s="1" t="s">
        <v>72</v>
      </c>
      <c r="D603" s="8">
        <v>2.2999999999999998</v>
      </c>
      <c r="E603" s="8">
        <f t="shared" si="195"/>
        <v>1039.1399999999999</v>
      </c>
      <c r="F603" s="10"/>
      <c r="G603" s="10">
        <f t="shared" si="196"/>
        <v>0</v>
      </c>
      <c r="H603" s="10"/>
      <c r="I603" s="10">
        <f t="shared" si="197"/>
        <v>0</v>
      </c>
      <c r="J603" s="10"/>
      <c r="K603" s="10">
        <f t="shared" si="198"/>
        <v>0</v>
      </c>
      <c r="L603" s="10">
        <f t="shared" si="199"/>
        <v>0</v>
      </c>
    </row>
    <row r="604" spans="1:17" x14ac:dyDescent="0.3">
      <c r="A604" s="2"/>
      <c r="B604" s="5" t="s">
        <v>195</v>
      </c>
      <c r="C604" s="1" t="s">
        <v>72</v>
      </c>
      <c r="D604" s="8">
        <v>1.3</v>
      </c>
      <c r="E604" s="8">
        <f t="shared" si="195"/>
        <v>587.33999999999992</v>
      </c>
      <c r="F604" s="10"/>
      <c r="G604" s="10">
        <f t="shared" si="196"/>
        <v>0</v>
      </c>
      <c r="H604" s="10"/>
      <c r="I604" s="10">
        <f t="shared" si="197"/>
        <v>0</v>
      </c>
      <c r="J604" s="10"/>
      <c r="K604" s="10">
        <f t="shared" si="198"/>
        <v>0</v>
      </c>
      <c r="L604" s="10">
        <f t="shared" si="199"/>
        <v>0</v>
      </c>
    </row>
    <row r="605" spans="1:17" x14ac:dyDescent="0.3">
      <c r="A605" s="2"/>
      <c r="B605" s="5" t="s">
        <v>196</v>
      </c>
      <c r="C605" s="1" t="s">
        <v>72</v>
      </c>
      <c r="D605" s="8">
        <v>1.3</v>
      </c>
      <c r="E605" s="8">
        <f t="shared" si="195"/>
        <v>587.33999999999992</v>
      </c>
      <c r="F605" s="10"/>
      <c r="G605" s="10">
        <f t="shared" si="196"/>
        <v>0</v>
      </c>
      <c r="H605" s="10"/>
      <c r="I605" s="10">
        <f t="shared" si="197"/>
        <v>0</v>
      </c>
      <c r="J605" s="10"/>
      <c r="K605" s="10">
        <f t="shared" si="198"/>
        <v>0</v>
      </c>
      <c r="L605" s="10">
        <f t="shared" si="199"/>
        <v>0</v>
      </c>
    </row>
    <row r="606" spans="1:17" x14ac:dyDescent="0.3">
      <c r="A606" s="2"/>
      <c r="B606" s="5" t="s">
        <v>168</v>
      </c>
      <c r="C606" s="1" t="s">
        <v>72</v>
      </c>
      <c r="D606" s="8">
        <f>2.6+17</f>
        <v>19.600000000000001</v>
      </c>
      <c r="E606" s="8">
        <f t="shared" si="195"/>
        <v>8855.2800000000007</v>
      </c>
      <c r="F606" s="10"/>
      <c r="G606" s="10">
        <f t="shared" si="196"/>
        <v>0</v>
      </c>
      <c r="H606" s="10"/>
      <c r="I606" s="10">
        <f t="shared" si="197"/>
        <v>0</v>
      </c>
      <c r="J606" s="10"/>
      <c r="K606" s="10">
        <f t="shared" si="198"/>
        <v>0</v>
      </c>
      <c r="L606" s="10">
        <f t="shared" si="199"/>
        <v>0</v>
      </c>
    </row>
    <row r="607" spans="1:17" x14ac:dyDescent="0.3">
      <c r="A607" s="2"/>
      <c r="B607" s="5" t="s">
        <v>197</v>
      </c>
      <c r="C607" s="1" t="s">
        <v>72</v>
      </c>
      <c r="D607" s="8">
        <v>1.3</v>
      </c>
      <c r="E607" s="8">
        <f t="shared" si="195"/>
        <v>587.33999999999992</v>
      </c>
      <c r="F607" s="10"/>
      <c r="G607" s="10">
        <f t="shared" si="196"/>
        <v>0</v>
      </c>
      <c r="H607" s="10"/>
      <c r="I607" s="10">
        <f t="shared" si="197"/>
        <v>0</v>
      </c>
      <c r="J607" s="10"/>
      <c r="K607" s="10">
        <f t="shared" si="198"/>
        <v>0</v>
      </c>
      <c r="L607" s="10">
        <f t="shared" si="199"/>
        <v>0</v>
      </c>
    </row>
    <row r="608" spans="1:17" x14ac:dyDescent="0.3">
      <c r="A608" s="2"/>
      <c r="B608" s="5" t="s">
        <v>170</v>
      </c>
      <c r="C608" s="1" t="s">
        <v>12</v>
      </c>
      <c r="D608" s="8">
        <v>1.2</v>
      </c>
      <c r="E608" s="8">
        <f t="shared" si="195"/>
        <v>542.16</v>
      </c>
      <c r="F608" s="10"/>
      <c r="G608" s="10">
        <f t="shared" si="196"/>
        <v>0</v>
      </c>
      <c r="H608" s="10"/>
      <c r="I608" s="10">
        <f t="shared" si="197"/>
        <v>0</v>
      </c>
      <c r="J608" s="10"/>
      <c r="K608" s="10">
        <f t="shared" si="198"/>
        <v>0</v>
      </c>
      <c r="L608" s="10">
        <f t="shared" si="199"/>
        <v>0</v>
      </c>
    </row>
    <row r="609" spans="1:12" x14ac:dyDescent="0.3">
      <c r="A609" s="2"/>
      <c r="B609" s="5" t="s">
        <v>169</v>
      </c>
      <c r="C609" s="1" t="s">
        <v>47</v>
      </c>
      <c r="D609" s="8">
        <v>0.4</v>
      </c>
      <c r="E609" s="8">
        <f t="shared" si="195"/>
        <v>180.72</v>
      </c>
      <c r="F609" s="10"/>
      <c r="G609" s="10">
        <f t="shared" si="196"/>
        <v>0</v>
      </c>
      <c r="H609" s="10"/>
      <c r="I609" s="10">
        <f t="shared" si="197"/>
        <v>0</v>
      </c>
      <c r="J609" s="10"/>
      <c r="K609" s="10">
        <f t="shared" si="198"/>
        <v>0</v>
      </c>
      <c r="L609" s="10">
        <f t="shared" si="199"/>
        <v>0</v>
      </c>
    </row>
    <row r="610" spans="1:12" x14ac:dyDescent="0.3">
      <c r="A610" s="2"/>
      <c r="B610" s="5" t="s">
        <v>173</v>
      </c>
      <c r="C610" s="1" t="s">
        <v>25</v>
      </c>
      <c r="D610" s="8">
        <v>0.1</v>
      </c>
      <c r="E610" s="8">
        <f t="shared" si="195"/>
        <v>45.18</v>
      </c>
      <c r="F610" s="10"/>
      <c r="G610" s="10">
        <f t="shared" si="196"/>
        <v>0</v>
      </c>
      <c r="H610" s="10"/>
      <c r="I610" s="10">
        <f t="shared" si="197"/>
        <v>0</v>
      </c>
      <c r="J610" s="10"/>
      <c r="K610" s="10">
        <f t="shared" si="198"/>
        <v>0</v>
      </c>
      <c r="L610" s="10">
        <f t="shared" si="199"/>
        <v>0</v>
      </c>
    </row>
    <row r="611" spans="1:12" ht="28.8" x14ac:dyDescent="0.3">
      <c r="A611" s="2">
        <f>A598+1</f>
        <v>90</v>
      </c>
      <c r="B611" s="14" t="s">
        <v>198</v>
      </c>
      <c r="C611" s="2" t="s">
        <v>16</v>
      </c>
      <c r="D611" s="15"/>
      <c r="E611" s="15">
        <v>133.19999999999999</v>
      </c>
      <c r="F611" s="10"/>
      <c r="G611" s="10">
        <f t="shared" si="196"/>
        <v>0</v>
      </c>
      <c r="H611" s="10"/>
      <c r="I611" s="10">
        <f t="shared" si="197"/>
        <v>0</v>
      </c>
      <c r="J611" s="10"/>
      <c r="K611" s="10">
        <f t="shared" si="198"/>
        <v>0</v>
      </c>
      <c r="L611" s="10">
        <f t="shared" si="199"/>
        <v>0</v>
      </c>
    </row>
    <row r="612" spans="1:12" x14ac:dyDescent="0.3">
      <c r="A612" s="2"/>
      <c r="B612" s="5" t="s">
        <v>13</v>
      </c>
      <c r="C612" s="1" t="s">
        <v>16</v>
      </c>
      <c r="D612" s="8">
        <v>1</v>
      </c>
      <c r="E612" s="8">
        <f t="shared" ref="E612:E623" si="200">D612*E$611</f>
        <v>133.19999999999999</v>
      </c>
      <c r="F612" s="10"/>
      <c r="G612" s="10">
        <f t="shared" si="196"/>
        <v>0</v>
      </c>
      <c r="H612" s="10"/>
      <c r="I612" s="10">
        <f t="shared" si="197"/>
        <v>0</v>
      </c>
      <c r="J612" s="10"/>
      <c r="K612" s="10">
        <f t="shared" si="198"/>
        <v>0</v>
      </c>
      <c r="L612" s="10">
        <f t="shared" si="199"/>
        <v>0</v>
      </c>
    </row>
    <row r="613" spans="1:12" x14ac:dyDescent="0.3">
      <c r="A613" s="2"/>
      <c r="B613" s="5" t="s">
        <v>175</v>
      </c>
      <c r="C613" s="1" t="s">
        <v>16</v>
      </c>
      <c r="D613" s="8">
        <v>1</v>
      </c>
      <c r="E613" s="8">
        <f t="shared" si="200"/>
        <v>133.19999999999999</v>
      </c>
      <c r="F613" s="10"/>
      <c r="G613" s="10">
        <f t="shared" si="196"/>
        <v>0</v>
      </c>
      <c r="H613" s="10"/>
      <c r="I613" s="10">
        <f t="shared" si="197"/>
        <v>0</v>
      </c>
      <c r="J613" s="10"/>
      <c r="K613" s="10">
        <f t="shared" si="198"/>
        <v>0</v>
      </c>
      <c r="L613" s="10">
        <f t="shared" si="199"/>
        <v>0</v>
      </c>
    </row>
    <row r="614" spans="1:12" x14ac:dyDescent="0.3">
      <c r="A614" s="2"/>
      <c r="B614" s="5" t="s">
        <v>192</v>
      </c>
      <c r="C614" s="1" t="s">
        <v>12</v>
      </c>
      <c r="D614" s="8">
        <v>3.2</v>
      </c>
      <c r="E614" s="8">
        <f t="shared" si="200"/>
        <v>426.24</v>
      </c>
      <c r="F614" s="10"/>
      <c r="G614" s="10">
        <f t="shared" si="196"/>
        <v>0</v>
      </c>
      <c r="H614" s="10"/>
      <c r="I614" s="10">
        <f t="shared" si="197"/>
        <v>0</v>
      </c>
      <c r="J614" s="10"/>
      <c r="K614" s="10">
        <f t="shared" si="198"/>
        <v>0</v>
      </c>
      <c r="L614" s="10">
        <f t="shared" si="199"/>
        <v>0</v>
      </c>
    </row>
    <row r="615" spans="1:12" x14ac:dyDescent="0.3">
      <c r="A615" s="2"/>
      <c r="B615" s="5" t="s">
        <v>193</v>
      </c>
      <c r="C615" s="1" t="s">
        <v>72</v>
      </c>
      <c r="D615" s="8">
        <v>0.6</v>
      </c>
      <c r="E615" s="8">
        <f t="shared" si="200"/>
        <v>79.919999999999987</v>
      </c>
      <c r="F615" s="10"/>
      <c r="G615" s="10">
        <f t="shared" si="196"/>
        <v>0</v>
      </c>
      <c r="H615" s="10"/>
      <c r="I615" s="10">
        <f t="shared" si="197"/>
        <v>0</v>
      </c>
      <c r="J615" s="10"/>
      <c r="K615" s="10">
        <f t="shared" si="198"/>
        <v>0</v>
      </c>
      <c r="L615" s="10">
        <f t="shared" si="199"/>
        <v>0</v>
      </c>
    </row>
    <row r="616" spans="1:12" x14ac:dyDescent="0.3">
      <c r="A616" s="2"/>
      <c r="B616" s="5" t="s">
        <v>194</v>
      </c>
      <c r="C616" s="1" t="s">
        <v>72</v>
      </c>
      <c r="D616" s="8">
        <v>2.2999999999999998</v>
      </c>
      <c r="E616" s="8">
        <f t="shared" si="200"/>
        <v>306.35999999999996</v>
      </c>
      <c r="F616" s="10"/>
      <c r="G616" s="10">
        <f t="shared" si="196"/>
        <v>0</v>
      </c>
      <c r="H616" s="10"/>
      <c r="I616" s="10">
        <f t="shared" si="197"/>
        <v>0</v>
      </c>
      <c r="J616" s="10"/>
      <c r="K616" s="10">
        <f t="shared" si="198"/>
        <v>0</v>
      </c>
      <c r="L616" s="10">
        <f t="shared" si="199"/>
        <v>0</v>
      </c>
    </row>
    <row r="617" spans="1:12" x14ac:dyDescent="0.3">
      <c r="A617" s="2"/>
      <c r="B617" s="5" t="s">
        <v>195</v>
      </c>
      <c r="C617" s="1" t="s">
        <v>72</v>
      </c>
      <c r="D617" s="8">
        <v>1.3</v>
      </c>
      <c r="E617" s="8">
        <f t="shared" si="200"/>
        <v>173.16</v>
      </c>
      <c r="F617" s="10"/>
      <c r="G617" s="10">
        <f t="shared" si="196"/>
        <v>0</v>
      </c>
      <c r="H617" s="10"/>
      <c r="I617" s="10">
        <f t="shared" si="197"/>
        <v>0</v>
      </c>
      <c r="J617" s="10"/>
      <c r="K617" s="10">
        <f t="shared" si="198"/>
        <v>0</v>
      </c>
      <c r="L617" s="10">
        <f t="shared" si="199"/>
        <v>0</v>
      </c>
    </row>
    <row r="618" spans="1:12" x14ac:dyDescent="0.3">
      <c r="A618" s="2"/>
      <c r="B618" s="5" t="s">
        <v>196</v>
      </c>
      <c r="C618" s="1" t="s">
        <v>72</v>
      </c>
      <c r="D618" s="8">
        <v>1.3</v>
      </c>
      <c r="E618" s="8">
        <f t="shared" si="200"/>
        <v>173.16</v>
      </c>
      <c r="F618" s="10"/>
      <c r="G618" s="10">
        <f t="shared" si="196"/>
        <v>0</v>
      </c>
      <c r="H618" s="10"/>
      <c r="I618" s="10">
        <f t="shared" si="197"/>
        <v>0</v>
      </c>
      <c r="J618" s="10"/>
      <c r="K618" s="10">
        <f t="shared" si="198"/>
        <v>0</v>
      </c>
      <c r="L618" s="10">
        <f t="shared" si="199"/>
        <v>0</v>
      </c>
    </row>
    <row r="619" spans="1:12" x14ac:dyDescent="0.3">
      <c r="A619" s="2"/>
      <c r="B619" s="5" t="s">
        <v>168</v>
      </c>
      <c r="C619" s="1" t="s">
        <v>72</v>
      </c>
      <c r="D619" s="8">
        <f>2.6+17</f>
        <v>19.600000000000001</v>
      </c>
      <c r="E619" s="8">
        <f t="shared" si="200"/>
        <v>2610.7199999999998</v>
      </c>
      <c r="F619" s="10"/>
      <c r="G619" s="10">
        <f t="shared" si="196"/>
        <v>0</v>
      </c>
      <c r="H619" s="10"/>
      <c r="I619" s="10">
        <f t="shared" si="197"/>
        <v>0</v>
      </c>
      <c r="J619" s="10"/>
      <c r="K619" s="10">
        <f t="shared" si="198"/>
        <v>0</v>
      </c>
      <c r="L619" s="10">
        <f t="shared" si="199"/>
        <v>0</v>
      </c>
    </row>
    <row r="620" spans="1:12" x14ac:dyDescent="0.3">
      <c r="A620" s="2"/>
      <c r="B620" s="5" t="s">
        <v>197</v>
      </c>
      <c r="C620" s="1" t="s">
        <v>72</v>
      </c>
      <c r="D620" s="8">
        <v>1.3</v>
      </c>
      <c r="E620" s="8">
        <f t="shared" si="200"/>
        <v>173.16</v>
      </c>
      <c r="F620" s="10"/>
      <c r="G620" s="10">
        <f t="shared" si="196"/>
        <v>0</v>
      </c>
      <c r="H620" s="10"/>
      <c r="I620" s="10">
        <f t="shared" si="197"/>
        <v>0</v>
      </c>
      <c r="J620" s="10"/>
      <c r="K620" s="10">
        <f t="shared" si="198"/>
        <v>0</v>
      </c>
      <c r="L620" s="10">
        <f t="shared" si="199"/>
        <v>0</v>
      </c>
    </row>
    <row r="621" spans="1:12" x14ac:dyDescent="0.3">
      <c r="A621" s="2"/>
      <c r="B621" s="5" t="s">
        <v>170</v>
      </c>
      <c r="C621" s="1" t="s">
        <v>12</v>
      </c>
      <c r="D621" s="8">
        <v>1.2</v>
      </c>
      <c r="E621" s="8">
        <f t="shared" si="200"/>
        <v>159.83999999999997</v>
      </c>
      <c r="F621" s="10"/>
      <c r="G621" s="10">
        <f t="shared" si="196"/>
        <v>0</v>
      </c>
      <c r="H621" s="10"/>
      <c r="I621" s="10">
        <f t="shared" si="197"/>
        <v>0</v>
      </c>
      <c r="J621" s="10"/>
      <c r="K621" s="10">
        <f t="shared" si="198"/>
        <v>0</v>
      </c>
      <c r="L621" s="10">
        <f t="shared" si="199"/>
        <v>0</v>
      </c>
    </row>
    <row r="622" spans="1:12" x14ac:dyDescent="0.3">
      <c r="A622" s="2"/>
      <c r="B622" s="5" t="s">
        <v>169</v>
      </c>
      <c r="C622" s="1" t="s">
        <v>47</v>
      </c>
      <c r="D622" s="8">
        <v>0.4</v>
      </c>
      <c r="E622" s="8">
        <f t="shared" si="200"/>
        <v>53.28</v>
      </c>
      <c r="F622" s="10"/>
      <c r="G622" s="10">
        <f t="shared" si="196"/>
        <v>0</v>
      </c>
      <c r="H622" s="10"/>
      <c r="I622" s="10">
        <f t="shared" si="197"/>
        <v>0</v>
      </c>
      <c r="J622" s="10"/>
      <c r="K622" s="10">
        <f t="shared" si="198"/>
        <v>0</v>
      </c>
      <c r="L622" s="10">
        <f t="shared" si="199"/>
        <v>0</v>
      </c>
    </row>
    <row r="623" spans="1:12" x14ac:dyDescent="0.3">
      <c r="A623" s="2"/>
      <c r="B623" s="5" t="s">
        <v>173</v>
      </c>
      <c r="C623" s="1" t="s">
        <v>25</v>
      </c>
      <c r="D623" s="8">
        <v>0.1</v>
      </c>
      <c r="E623" s="8">
        <f t="shared" si="200"/>
        <v>13.32</v>
      </c>
      <c r="F623" s="10"/>
      <c r="G623" s="10">
        <f t="shared" si="196"/>
        <v>0</v>
      </c>
      <c r="H623" s="10"/>
      <c r="I623" s="10">
        <f t="shared" si="197"/>
        <v>0</v>
      </c>
      <c r="J623" s="10"/>
      <c r="K623" s="10">
        <f t="shared" si="198"/>
        <v>0</v>
      </c>
      <c r="L623" s="10">
        <f t="shared" si="199"/>
        <v>0</v>
      </c>
    </row>
    <row r="624" spans="1:12" x14ac:dyDescent="0.3">
      <c r="A624" s="2">
        <f>A611+1</f>
        <v>91</v>
      </c>
      <c r="B624" s="14" t="s">
        <v>199</v>
      </c>
      <c r="C624" s="2" t="s">
        <v>16</v>
      </c>
      <c r="D624" s="15"/>
      <c r="E624" s="15">
        <f>E611+E598</f>
        <v>585</v>
      </c>
      <c r="F624" s="10"/>
      <c r="G624" s="10">
        <f t="shared" si="196"/>
        <v>0</v>
      </c>
      <c r="H624" s="10"/>
      <c r="I624" s="10">
        <f t="shared" si="197"/>
        <v>0</v>
      </c>
      <c r="J624" s="10"/>
      <c r="K624" s="10">
        <f t="shared" si="198"/>
        <v>0</v>
      </c>
      <c r="L624" s="10">
        <f t="shared" si="199"/>
        <v>0</v>
      </c>
    </row>
    <row r="625" spans="1:12" x14ac:dyDescent="0.3">
      <c r="A625" s="2"/>
      <c r="B625" s="5" t="s">
        <v>13</v>
      </c>
      <c r="C625" s="1" t="s">
        <v>16</v>
      </c>
      <c r="D625" s="8">
        <v>1</v>
      </c>
      <c r="E625" s="8">
        <f>D625*E$624</f>
        <v>585</v>
      </c>
      <c r="F625" s="10"/>
      <c r="G625" s="10">
        <f t="shared" si="196"/>
        <v>0</v>
      </c>
      <c r="H625" s="10"/>
      <c r="I625" s="10">
        <f t="shared" si="197"/>
        <v>0</v>
      </c>
      <c r="J625" s="10"/>
      <c r="K625" s="10">
        <f t="shared" si="198"/>
        <v>0</v>
      </c>
      <c r="L625" s="10">
        <f t="shared" si="199"/>
        <v>0</v>
      </c>
    </row>
    <row r="626" spans="1:12" x14ac:dyDescent="0.3">
      <c r="A626" s="2"/>
      <c r="B626" s="5" t="s">
        <v>107</v>
      </c>
      <c r="C626" s="1" t="s">
        <v>47</v>
      </c>
      <c r="D626" s="8">
        <v>0.39</v>
      </c>
      <c r="E626" s="8">
        <f>D626*E$624</f>
        <v>228.15</v>
      </c>
      <c r="F626" s="10"/>
      <c r="G626" s="10">
        <f t="shared" si="196"/>
        <v>0</v>
      </c>
      <c r="H626" s="10"/>
      <c r="I626" s="10">
        <f t="shared" si="197"/>
        <v>0</v>
      </c>
      <c r="J626" s="10"/>
      <c r="K626" s="10">
        <f t="shared" si="198"/>
        <v>0</v>
      </c>
      <c r="L626" s="10">
        <f t="shared" si="199"/>
        <v>0</v>
      </c>
    </row>
    <row r="627" spans="1:12" x14ac:dyDescent="0.3">
      <c r="A627" s="2"/>
      <c r="B627" s="5" t="s">
        <v>186</v>
      </c>
      <c r="C627" s="1" t="s">
        <v>47</v>
      </c>
      <c r="D627" s="8">
        <v>0.79</v>
      </c>
      <c r="E627" s="8">
        <f>D627*E$624</f>
        <v>462.15000000000003</v>
      </c>
      <c r="F627" s="10"/>
      <c r="G627" s="10">
        <f t="shared" si="196"/>
        <v>0</v>
      </c>
      <c r="H627" s="10"/>
      <c r="I627" s="10">
        <f t="shared" si="197"/>
        <v>0</v>
      </c>
      <c r="J627" s="10"/>
      <c r="K627" s="10">
        <f t="shared" si="198"/>
        <v>0</v>
      </c>
      <c r="L627" s="10">
        <f t="shared" si="199"/>
        <v>0</v>
      </c>
    </row>
    <row r="628" spans="1:12" x14ac:dyDescent="0.3">
      <c r="A628" s="2"/>
      <c r="B628" s="5" t="s">
        <v>187</v>
      </c>
      <c r="C628" s="1" t="s">
        <v>16</v>
      </c>
      <c r="D628" s="8">
        <v>8.9999999999999993E-3</v>
      </c>
      <c r="E628" s="8">
        <f>D628*E$624</f>
        <v>5.2649999999999997</v>
      </c>
      <c r="F628" s="10"/>
      <c r="G628" s="10">
        <f t="shared" ref="G628:G642" si="201">F628*E628</f>
        <v>0</v>
      </c>
      <c r="H628" s="10"/>
      <c r="I628" s="10">
        <f t="shared" ref="I628:I642" si="202">H628*E628</f>
        <v>0</v>
      </c>
      <c r="J628" s="10"/>
      <c r="K628" s="10">
        <f t="shared" ref="K628:K642" si="203">J628*E628</f>
        <v>0</v>
      </c>
      <c r="L628" s="10">
        <f t="shared" ref="L628:L642" si="204">K628+I628+G628</f>
        <v>0</v>
      </c>
    </row>
    <row r="629" spans="1:12" x14ac:dyDescent="0.3">
      <c r="A629" s="2"/>
      <c r="B629" s="5" t="s">
        <v>19</v>
      </c>
      <c r="C629" s="1" t="s">
        <v>16</v>
      </c>
      <c r="D629" s="8">
        <v>1</v>
      </c>
      <c r="E629" s="8">
        <f>D629*E$624</f>
        <v>585</v>
      </c>
      <c r="F629" s="10"/>
      <c r="G629" s="10">
        <f t="shared" si="201"/>
        <v>0</v>
      </c>
      <c r="H629" s="10"/>
      <c r="I629" s="10">
        <f t="shared" si="202"/>
        <v>0</v>
      </c>
      <c r="J629" s="10"/>
      <c r="K629" s="10">
        <f t="shared" si="203"/>
        <v>0</v>
      </c>
      <c r="L629" s="10">
        <f t="shared" si="204"/>
        <v>0</v>
      </c>
    </row>
    <row r="630" spans="1:12" x14ac:dyDescent="0.3">
      <c r="A630" s="11"/>
      <c r="B630" s="11" t="s">
        <v>213</v>
      </c>
      <c r="C630" s="4"/>
      <c r="D630" s="12"/>
      <c r="E630" s="12"/>
      <c r="F630" s="13"/>
      <c r="G630" s="13">
        <f t="shared" si="201"/>
        <v>0</v>
      </c>
      <c r="H630" s="13"/>
      <c r="I630" s="13">
        <f t="shared" si="202"/>
        <v>0</v>
      </c>
      <c r="J630" s="13"/>
      <c r="K630" s="13">
        <f t="shared" si="203"/>
        <v>0</v>
      </c>
      <c r="L630" s="13">
        <f t="shared" si="204"/>
        <v>0</v>
      </c>
    </row>
    <row r="631" spans="1:12" x14ac:dyDescent="0.3">
      <c r="A631" s="2">
        <f>A624+1</f>
        <v>92</v>
      </c>
      <c r="B631" s="14" t="s">
        <v>200</v>
      </c>
      <c r="C631" s="2" t="s">
        <v>16</v>
      </c>
      <c r="D631" s="15"/>
      <c r="E631" s="15">
        <f>2.2*0.98*2+2.2*0.98*1+2.2*1*1+2.2*1.6+2.2*1*1*2</f>
        <v>16.588000000000001</v>
      </c>
      <c r="F631" s="10"/>
      <c r="G631" s="10">
        <f t="shared" si="201"/>
        <v>0</v>
      </c>
      <c r="H631" s="10"/>
      <c r="I631" s="10">
        <f t="shared" si="202"/>
        <v>0</v>
      </c>
      <c r="J631" s="10"/>
      <c r="K631" s="10">
        <f t="shared" si="203"/>
        <v>0</v>
      </c>
      <c r="L631" s="10">
        <f t="shared" si="204"/>
        <v>0</v>
      </c>
    </row>
    <row r="632" spans="1:12" x14ac:dyDescent="0.3">
      <c r="A632" s="2">
        <f>A631+1</f>
        <v>93</v>
      </c>
      <c r="B632" s="14" t="s">
        <v>203</v>
      </c>
      <c r="C632" s="2" t="s">
        <v>16</v>
      </c>
      <c r="D632" s="15"/>
      <c r="E632" s="15">
        <f>2.2*0.7*1+1*3*2+1*6.5*10+3.6*1*4+6.55*1*2+6.26*1*2+0.35*0.3*2+0.98*8.73*1+8.73*1.4*2+8.73*0.7*4+8.73*1.14*1+10.634*3.92+10.634*3.92+11*1.9+5.642*2.2</f>
        <v>296.84855999999996</v>
      </c>
      <c r="F632" s="10"/>
      <c r="G632" s="10">
        <f>F632*E632</f>
        <v>0</v>
      </c>
      <c r="H632" s="10"/>
      <c r="I632" s="10">
        <f>H632*E632</f>
        <v>0</v>
      </c>
      <c r="J632" s="10"/>
      <c r="K632" s="10">
        <f>J632*E632</f>
        <v>0</v>
      </c>
      <c r="L632" s="10">
        <f>K632+I632+G632</f>
        <v>0</v>
      </c>
    </row>
    <row r="633" spans="1:12" x14ac:dyDescent="0.3">
      <c r="A633" s="2">
        <f>A632+1</f>
        <v>94</v>
      </c>
      <c r="B633" s="14" t="s">
        <v>1075</v>
      </c>
      <c r="C633" s="2" t="s">
        <v>16</v>
      </c>
      <c r="D633" s="15"/>
      <c r="E633" s="15">
        <f>SUM(E635:E636)</f>
        <v>75.99199999999999</v>
      </c>
      <c r="F633" s="10"/>
      <c r="G633" s="10">
        <f t="shared" si="201"/>
        <v>0</v>
      </c>
      <c r="H633" s="10"/>
      <c r="I633" s="10">
        <f t="shared" si="202"/>
        <v>0</v>
      </c>
      <c r="J633" s="10"/>
      <c r="K633" s="10">
        <f t="shared" si="203"/>
        <v>0</v>
      </c>
      <c r="L633" s="10">
        <f t="shared" si="204"/>
        <v>0</v>
      </c>
    </row>
    <row r="634" spans="1:12" x14ac:dyDescent="0.3">
      <c r="A634" s="2"/>
      <c r="B634" s="5" t="s">
        <v>13</v>
      </c>
      <c r="C634" s="1" t="s">
        <v>16</v>
      </c>
      <c r="D634" s="8">
        <v>1</v>
      </c>
      <c r="E634" s="8">
        <f>D634*E633</f>
        <v>75.99199999999999</v>
      </c>
      <c r="F634" s="10"/>
      <c r="G634" s="10">
        <f t="shared" si="201"/>
        <v>0</v>
      </c>
      <c r="H634" s="10"/>
      <c r="I634" s="10">
        <f t="shared" si="202"/>
        <v>0</v>
      </c>
      <c r="J634" s="10"/>
      <c r="K634" s="10">
        <f t="shared" si="203"/>
        <v>0</v>
      </c>
      <c r="L634" s="10">
        <f t="shared" si="204"/>
        <v>0</v>
      </c>
    </row>
    <row r="635" spans="1:12" x14ac:dyDescent="0.3">
      <c r="A635" s="2"/>
      <c r="B635" s="5" t="s">
        <v>202</v>
      </c>
      <c r="C635" s="1" t="s">
        <v>16</v>
      </c>
      <c r="D635" s="8"/>
      <c r="E635" s="8">
        <f>2.8*2.5*3</f>
        <v>21</v>
      </c>
      <c r="F635" s="10"/>
      <c r="G635" s="10">
        <f t="shared" si="201"/>
        <v>0</v>
      </c>
      <c r="H635" s="10"/>
      <c r="I635" s="10">
        <f t="shared" si="202"/>
        <v>0</v>
      </c>
      <c r="J635" s="10"/>
      <c r="K635" s="10">
        <f t="shared" si="203"/>
        <v>0</v>
      </c>
      <c r="L635" s="10">
        <f t="shared" si="204"/>
        <v>0</v>
      </c>
    </row>
    <row r="636" spans="1:12" x14ac:dyDescent="0.3">
      <c r="A636" s="2"/>
      <c r="B636" s="5" t="s">
        <v>1078</v>
      </c>
      <c r="C636" s="1" t="s">
        <v>16</v>
      </c>
      <c r="D636" s="8"/>
      <c r="E636" s="8">
        <f>11.2*4.91</f>
        <v>54.991999999999997</v>
      </c>
      <c r="F636" s="10"/>
      <c r="G636" s="10">
        <f t="shared" si="201"/>
        <v>0</v>
      </c>
      <c r="H636" s="10"/>
      <c r="I636" s="10">
        <f t="shared" si="202"/>
        <v>0</v>
      </c>
      <c r="J636" s="10"/>
      <c r="K636" s="10">
        <f t="shared" si="203"/>
        <v>0</v>
      </c>
      <c r="L636" s="10">
        <f t="shared" si="204"/>
        <v>0</v>
      </c>
    </row>
    <row r="637" spans="1:12" x14ac:dyDescent="0.3">
      <c r="A637" s="2"/>
      <c r="B637" s="5" t="s">
        <v>19</v>
      </c>
      <c r="C637" s="1" t="s">
        <v>16</v>
      </c>
      <c r="D637" s="8">
        <v>1</v>
      </c>
      <c r="E637" s="8">
        <f>D637*E633</f>
        <v>75.99199999999999</v>
      </c>
      <c r="F637" s="10"/>
      <c r="G637" s="10">
        <f t="shared" si="201"/>
        <v>0</v>
      </c>
      <c r="H637" s="10"/>
      <c r="I637" s="10">
        <f t="shared" si="202"/>
        <v>0</v>
      </c>
      <c r="J637" s="10"/>
      <c r="K637" s="10">
        <f t="shared" si="203"/>
        <v>0</v>
      </c>
      <c r="L637" s="10">
        <f t="shared" si="204"/>
        <v>0</v>
      </c>
    </row>
    <row r="638" spans="1:12" x14ac:dyDescent="0.3">
      <c r="A638" s="2">
        <f>A633+1</f>
        <v>95</v>
      </c>
      <c r="B638" s="14" t="s">
        <v>204</v>
      </c>
      <c r="C638" s="2" t="s">
        <v>16</v>
      </c>
      <c r="D638" s="15"/>
      <c r="E638" s="15">
        <f>E640</f>
        <v>49</v>
      </c>
      <c r="F638" s="10"/>
      <c r="G638" s="10">
        <f t="shared" si="201"/>
        <v>0</v>
      </c>
      <c r="H638" s="10"/>
      <c r="I638" s="10">
        <f t="shared" si="202"/>
        <v>0</v>
      </c>
      <c r="J638" s="10"/>
      <c r="K638" s="10">
        <f t="shared" si="203"/>
        <v>0</v>
      </c>
      <c r="L638" s="10">
        <f t="shared" si="204"/>
        <v>0</v>
      </c>
    </row>
    <row r="639" spans="1:12" x14ac:dyDescent="0.3">
      <c r="A639" s="2"/>
      <c r="B639" s="5" t="s">
        <v>13</v>
      </c>
      <c r="C639" s="1" t="s">
        <v>16</v>
      </c>
      <c r="D639" s="8">
        <v>1</v>
      </c>
      <c r="E639" s="8">
        <f>D639*E638</f>
        <v>49</v>
      </c>
      <c r="F639" s="10"/>
      <c r="G639" s="10">
        <f t="shared" si="201"/>
        <v>0</v>
      </c>
      <c r="H639" s="10"/>
      <c r="I639" s="10">
        <f t="shared" si="202"/>
        <v>0</v>
      </c>
      <c r="J639" s="10"/>
      <c r="K639" s="10">
        <f t="shared" si="203"/>
        <v>0</v>
      </c>
      <c r="L639" s="10">
        <f t="shared" si="204"/>
        <v>0</v>
      </c>
    </row>
    <row r="640" spans="1:12" x14ac:dyDescent="0.3">
      <c r="A640" s="2"/>
      <c r="B640" s="5" t="s">
        <v>201</v>
      </c>
      <c r="C640" s="1" t="s">
        <v>16</v>
      </c>
      <c r="D640" s="8"/>
      <c r="E640" s="8">
        <f>2.8*2.5*7</f>
        <v>49</v>
      </c>
      <c r="F640" s="10"/>
      <c r="G640" s="10">
        <f t="shared" si="201"/>
        <v>0</v>
      </c>
      <c r="H640" s="10"/>
      <c r="I640" s="10">
        <f t="shared" si="202"/>
        <v>0</v>
      </c>
      <c r="J640" s="10"/>
      <c r="K640" s="10">
        <f t="shared" si="203"/>
        <v>0</v>
      </c>
      <c r="L640" s="10">
        <f t="shared" si="204"/>
        <v>0</v>
      </c>
    </row>
    <row r="641" spans="1:12" x14ac:dyDescent="0.3">
      <c r="A641" s="2"/>
      <c r="B641" s="5" t="s">
        <v>19</v>
      </c>
      <c r="C641" s="1" t="s">
        <v>16</v>
      </c>
      <c r="D641" s="8">
        <v>1</v>
      </c>
      <c r="E641" s="8">
        <f>D641*E638</f>
        <v>49</v>
      </c>
      <c r="F641" s="10"/>
      <c r="G641" s="10">
        <f t="shared" si="201"/>
        <v>0</v>
      </c>
      <c r="H641" s="10"/>
      <c r="I641" s="10">
        <f t="shared" si="202"/>
        <v>0</v>
      </c>
      <c r="J641" s="10"/>
      <c r="K641" s="10">
        <f t="shared" si="203"/>
        <v>0</v>
      </c>
      <c r="L641" s="10">
        <f t="shared" si="204"/>
        <v>0</v>
      </c>
    </row>
    <row r="642" spans="1:12" x14ac:dyDescent="0.3">
      <c r="A642" s="2">
        <f>A638+1</f>
        <v>96</v>
      </c>
      <c r="B642" s="14" t="s">
        <v>205</v>
      </c>
      <c r="C642" s="2" t="s">
        <v>16</v>
      </c>
      <c r="D642" s="15"/>
      <c r="E642" s="15">
        <f>SUM(E644:E645)</f>
        <v>110.88000000000001</v>
      </c>
      <c r="F642" s="10"/>
      <c r="G642" s="10">
        <f t="shared" si="201"/>
        <v>0</v>
      </c>
      <c r="H642" s="10"/>
      <c r="I642" s="10">
        <f t="shared" si="202"/>
        <v>0</v>
      </c>
      <c r="J642" s="10"/>
      <c r="K642" s="10">
        <f t="shared" si="203"/>
        <v>0</v>
      </c>
      <c r="L642" s="10">
        <f t="shared" si="204"/>
        <v>0</v>
      </c>
    </row>
    <row r="643" spans="1:12" x14ac:dyDescent="0.3">
      <c r="A643" s="2"/>
      <c r="B643" s="5" t="s">
        <v>13</v>
      </c>
      <c r="C643" s="1" t="s">
        <v>16</v>
      </c>
      <c r="D643" s="8">
        <v>1</v>
      </c>
      <c r="E643" s="8">
        <f>D643*E642</f>
        <v>110.88000000000001</v>
      </c>
      <c r="F643" s="10"/>
      <c r="G643" s="10">
        <f t="shared" ref="G643:G688" si="205">F643*E643</f>
        <v>0</v>
      </c>
      <c r="H643" s="10"/>
      <c r="I643" s="10">
        <f t="shared" ref="I643:I688" si="206">H643*E643</f>
        <v>0</v>
      </c>
      <c r="J643" s="10"/>
      <c r="K643" s="10">
        <f t="shared" ref="K643:K688" si="207">J643*E643</f>
        <v>0</v>
      </c>
      <c r="L643" s="10">
        <f t="shared" ref="L643:L688" si="208">K643+I643+G643</f>
        <v>0</v>
      </c>
    </row>
    <row r="644" spans="1:12" x14ac:dyDescent="0.3">
      <c r="A644" s="2"/>
      <c r="B644" s="5" t="s">
        <v>206</v>
      </c>
      <c r="C644" s="1" t="s">
        <v>16</v>
      </c>
      <c r="D644" s="8">
        <v>6</v>
      </c>
      <c r="E644" s="8">
        <f>1.5*2.2*D644</f>
        <v>19.8</v>
      </c>
      <c r="F644" s="10"/>
      <c r="G644" s="10">
        <f t="shared" si="205"/>
        <v>0</v>
      </c>
      <c r="H644" s="10"/>
      <c r="I644" s="10">
        <f t="shared" si="206"/>
        <v>0</v>
      </c>
      <c r="J644" s="10"/>
      <c r="K644" s="10">
        <f t="shared" si="207"/>
        <v>0</v>
      </c>
      <c r="L644" s="10">
        <f t="shared" si="208"/>
        <v>0</v>
      </c>
    </row>
    <row r="645" spans="1:12" x14ac:dyDescent="0.3">
      <c r="A645" s="2"/>
      <c r="B645" s="5" t="s">
        <v>207</v>
      </c>
      <c r="C645" s="1" t="s">
        <v>16</v>
      </c>
      <c r="D645" s="8">
        <v>46</v>
      </c>
      <c r="E645" s="8">
        <f>0.9*2.2*D645</f>
        <v>91.080000000000013</v>
      </c>
      <c r="F645" s="10"/>
      <c r="G645" s="10">
        <f t="shared" si="205"/>
        <v>0</v>
      </c>
      <c r="H645" s="10"/>
      <c r="I645" s="10">
        <f t="shared" si="206"/>
        <v>0</v>
      </c>
      <c r="J645" s="10"/>
      <c r="K645" s="10">
        <f t="shared" si="207"/>
        <v>0</v>
      </c>
      <c r="L645" s="10">
        <f t="shared" si="208"/>
        <v>0</v>
      </c>
    </row>
    <row r="646" spans="1:12" x14ac:dyDescent="0.3">
      <c r="A646" s="2"/>
      <c r="B646" s="5" t="s">
        <v>19</v>
      </c>
      <c r="C646" s="1" t="s">
        <v>16</v>
      </c>
      <c r="D646" s="8">
        <v>1</v>
      </c>
      <c r="E646" s="8">
        <f>D646*E642</f>
        <v>110.88000000000001</v>
      </c>
      <c r="F646" s="10"/>
      <c r="G646" s="10">
        <f t="shared" si="205"/>
        <v>0</v>
      </c>
      <c r="H646" s="10"/>
      <c r="I646" s="10">
        <f t="shared" si="206"/>
        <v>0</v>
      </c>
      <c r="J646" s="10"/>
      <c r="K646" s="10">
        <f t="shared" si="207"/>
        <v>0</v>
      </c>
      <c r="L646" s="10">
        <f t="shared" si="208"/>
        <v>0</v>
      </c>
    </row>
    <row r="647" spans="1:12" x14ac:dyDescent="0.3">
      <c r="A647" s="2">
        <f>A642+1</f>
        <v>97</v>
      </c>
      <c r="B647" s="14" t="s">
        <v>209</v>
      </c>
      <c r="C647" s="2" t="s">
        <v>72</v>
      </c>
      <c r="D647" s="15"/>
      <c r="E647" s="15">
        <v>6</v>
      </c>
      <c r="F647" s="10"/>
      <c r="G647" s="10">
        <f t="shared" si="205"/>
        <v>0</v>
      </c>
      <c r="H647" s="10"/>
      <c r="I647" s="10">
        <f t="shared" si="206"/>
        <v>0</v>
      </c>
      <c r="J647" s="10"/>
      <c r="K647" s="10">
        <f t="shared" si="207"/>
        <v>0</v>
      </c>
      <c r="L647" s="10">
        <f t="shared" si="208"/>
        <v>0</v>
      </c>
    </row>
    <row r="648" spans="1:12" x14ac:dyDescent="0.3">
      <c r="A648" s="2">
        <f>A647+1</f>
        <v>98</v>
      </c>
      <c r="B648" s="14" t="s">
        <v>1076</v>
      </c>
      <c r="C648" s="2" t="s">
        <v>72</v>
      </c>
      <c r="D648" s="15"/>
      <c r="E648" s="15">
        <v>1</v>
      </c>
      <c r="F648" s="10"/>
      <c r="G648" s="10">
        <f t="shared" ref="G648" si="209">F648*E648</f>
        <v>0</v>
      </c>
      <c r="H648" s="10"/>
      <c r="I648" s="10">
        <f t="shared" ref="I648" si="210">H648*E648</f>
        <v>0</v>
      </c>
      <c r="J648" s="10"/>
      <c r="K648" s="10">
        <f t="shared" ref="K648" si="211">J648*E648</f>
        <v>0</v>
      </c>
      <c r="L648" s="10">
        <f t="shared" ref="L648" si="212">K648+I648+G648</f>
        <v>0</v>
      </c>
    </row>
    <row r="649" spans="1:12" x14ac:dyDescent="0.3">
      <c r="A649" s="2">
        <f>A648+1</f>
        <v>99</v>
      </c>
      <c r="B649" s="14" t="s">
        <v>1090</v>
      </c>
      <c r="C649" s="2" t="s">
        <v>18</v>
      </c>
      <c r="D649" s="15"/>
      <c r="E649" s="15">
        <v>4.72</v>
      </c>
      <c r="F649" s="10"/>
      <c r="G649" s="10">
        <f t="shared" ref="G649:G659" si="213">F649*E649</f>
        <v>0</v>
      </c>
      <c r="H649" s="10"/>
      <c r="I649" s="10">
        <f t="shared" ref="I649:I659" si="214">H649*E649</f>
        <v>0</v>
      </c>
      <c r="J649" s="10"/>
      <c r="K649" s="10">
        <f t="shared" ref="K649:K659" si="215">J649*E649</f>
        <v>0</v>
      </c>
      <c r="L649" s="10">
        <f t="shared" ref="L649:L659" si="216">K649+I649+G649</f>
        <v>0</v>
      </c>
    </row>
    <row r="650" spans="1:12" x14ac:dyDescent="0.3">
      <c r="A650" s="2"/>
      <c r="B650" s="17" t="s">
        <v>13</v>
      </c>
      <c r="C650" s="18" t="s">
        <v>18</v>
      </c>
      <c r="D650" s="19">
        <v>1</v>
      </c>
      <c r="E650" s="19">
        <f>D650*E$649</f>
        <v>4.72</v>
      </c>
      <c r="F650" s="10"/>
      <c r="G650" s="10">
        <f t="shared" si="213"/>
        <v>0</v>
      </c>
      <c r="H650" s="10"/>
      <c r="I650" s="10">
        <f t="shared" si="214"/>
        <v>0</v>
      </c>
      <c r="J650" s="10"/>
      <c r="K650" s="10">
        <f t="shared" si="215"/>
        <v>0</v>
      </c>
      <c r="L650" s="10">
        <f t="shared" si="216"/>
        <v>0</v>
      </c>
    </row>
    <row r="651" spans="1:12" x14ac:dyDescent="0.3">
      <c r="A651" s="2"/>
      <c r="B651" s="17" t="s">
        <v>39</v>
      </c>
      <c r="C651" s="18" t="s">
        <v>38</v>
      </c>
      <c r="D651" s="19">
        <v>1.05</v>
      </c>
      <c r="E651" s="19">
        <f>(98.6+234.4)/1000*1.05</f>
        <v>0.34965000000000002</v>
      </c>
      <c r="F651" s="10"/>
      <c r="G651" s="10">
        <f t="shared" si="213"/>
        <v>0</v>
      </c>
      <c r="H651" s="10"/>
      <c r="I651" s="10">
        <f t="shared" si="214"/>
        <v>0</v>
      </c>
      <c r="J651" s="10"/>
      <c r="K651" s="10">
        <f t="shared" si="215"/>
        <v>0</v>
      </c>
      <c r="L651" s="10">
        <f t="shared" si="216"/>
        <v>0</v>
      </c>
    </row>
    <row r="652" spans="1:12" x14ac:dyDescent="0.3">
      <c r="A652" s="2"/>
      <c r="B652" s="17" t="s">
        <v>40</v>
      </c>
      <c r="C652" s="18" t="s">
        <v>38</v>
      </c>
      <c r="D652" s="19">
        <v>1.05</v>
      </c>
      <c r="E652" s="19">
        <f>46.3/1000*1.05</f>
        <v>4.8614999999999998E-2</v>
      </c>
      <c r="F652" s="10"/>
      <c r="G652" s="10">
        <f t="shared" si="213"/>
        <v>0</v>
      </c>
      <c r="H652" s="10"/>
      <c r="I652" s="10">
        <f t="shared" si="214"/>
        <v>0</v>
      </c>
      <c r="J652" s="10"/>
      <c r="K652" s="10">
        <f t="shared" si="215"/>
        <v>0</v>
      </c>
      <c r="L652" s="10">
        <f t="shared" si="216"/>
        <v>0</v>
      </c>
    </row>
    <row r="653" spans="1:12" x14ac:dyDescent="0.3">
      <c r="A653" s="2"/>
      <c r="B653" s="17" t="s">
        <v>41</v>
      </c>
      <c r="C653" s="18" t="s">
        <v>16</v>
      </c>
      <c r="D653" s="19">
        <f>7.54/100</f>
        <v>7.5399999999999995E-2</v>
      </c>
      <c r="E653" s="19">
        <f>D653*E$649</f>
        <v>0.35588799999999998</v>
      </c>
      <c r="F653" s="10"/>
      <c r="G653" s="10">
        <f t="shared" si="213"/>
        <v>0</v>
      </c>
      <c r="H653" s="10"/>
      <c r="I653" s="10">
        <f t="shared" si="214"/>
        <v>0</v>
      </c>
      <c r="J653" s="10"/>
      <c r="K653" s="10">
        <f t="shared" si="215"/>
        <v>0</v>
      </c>
      <c r="L653" s="10">
        <f t="shared" si="216"/>
        <v>0</v>
      </c>
    </row>
    <row r="654" spans="1:12" x14ac:dyDescent="0.3">
      <c r="A654" s="2"/>
      <c r="B654" s="17" t="s">
        <v>42</v>
      </c>
      <c r="C654" s="18" t="s">
        <v>18</v>
      </c>
      <c r="D654" s="27">
        <f>0.08/100</f>
        <v>8.0000000000000004E-4</v>
      </c>
      <c r="E654" s="27">
        <f>D654*E$649</f>
        <v>3.7759999999999998E-3</v>
      </c>
      <c r="F654" s="10"/>
      <c r="G654" s="10">
        <f t="shared" si="213"/>
        <v>0</v>
      </c>
      <c r="H654" s="10"/>
      <c r="I654" s="10">
        <f t="shared" si="214"/>
        <v>0</v>
      </c>
      <c r="J654" s="10"/>
      <c r="K654" s="10">
        <f t="shared" si="215"/>
        <v>0</v>
      </c>
      <c r="L654" s="10">
        <f t="shared" si="216"/>
        <v>0</v>
      </c>
    </row>
    <row r="655" spans="1:12" x14ac:dyDescent="0.3">
      <c r="A655" s="2"/>
      <c r="B655" s="17" t="s">
        <v>43</v>
      </c>
      <c r="C655" s="18" t="s">
        <v>47</v>
      </c>
      <c r="D655" s="19">
        <f>0.032</f>
        <v>3.2000000000000001E-2</v>
      </c>
      <c r="E655" s="19">
        <f>D655*E$649</f>
        <v>0.15104000000000001</v>
      </c>
      <c r="F655" s="10"/>
      <c r="G655" s="10">
        <f t="shared" si="213"/>
        <v>0</v>
      </c>
      <c r="H655" s="10"/>
      <c r="I655" s="10">
        <f t="shared" si="214"/>
        <v>0</v>
      </c>
      <c r="J655" s="10"/>
      <c r="K655" s="10">
        <f t="shared" si="215"/>
        <v>0</v>
      </c>
      <c r="L655" s="10">
        <f t="shared" si="216"/>
        <v>0</v>
      </c>
    </row>
    <row r="656" spans="1:12" x14ac:dyDescent="0.3">
      <c r="A656" s="2"/>
      <c r="B656" s="17" t="s">
        <v>44</v>
      </c>
      <c r="C656" s="18" t="s">
        <v>47</v>
      </c>
      <c r="D656" s="19">
        <v>0.21</v>
      </c>
      <c r="E656" s="19">
        <f>D656*E$649</f>
        <v>0.99119999999999986</v>
      </c>
      <c r="F656" s="10"/>
      <c r="G656" s="10">
        <f t="shared" si="213"/>
        <v>0</v>
      </c>
      <c r="H656" s="10"/>
      <c r="I656" s="10">
        <f t="shared" si="214"/>
        <v>0</v>
      </c>
      <c r="J656" s="10"/>
      <c r="K656" s="10">
        <f t="shared" si="215"/>
        <v>0</v>
      </c>
      <c r="L656" s="10">
        <f t="shared" si="216"/>
        <v>0</v>
      </c>
    </row>
    <row r="657" spans="1:12" x14ac:dyDescent="0.3">
      <c r="A657" s="2"/>
      <c r="B657" s="17" t="s">
        <v>19</v>
      </c>
      <c r="C657" s="18" t="s">
        <v>18</v>
      </c>
      <c r="D657" s="19">
        <f>7/100</f>
        <v>7.0000000000000007E-2</v>
      </c>
      <c r="E657" s="19">
        <f>D657*E$649</f>
        <v>0.33040000000000003</v>
      </c>
      <c r="F657" s="10"/>
      <c r="G657" s="10">
        <f t="shared" si="213"/>
        <v>0</v>
      </c>
      <c r="H657" s="10"/>
      <c r="I657" s="10">
        <f t="shared" si="214"/>
        <v>0</v>
      </c>
      <c r="J657" s="10"/>
      <c r="K657" s="10">
        <f t="shared" si="215"/>
        <v>0</v>
      </c>
      <c r="L657" s="10">
        <f t="shared" si="216"/>
        <v>0</v>
      </c>
    </row>
    <row r="658" spans="1:12" x14ac:dyDescent="0.3">
      <c r="A658" s="2"/>
      <c r="B658" s="17" t="s">
        <v>45</v>
      </c>
      <c r="C658" s="18" t="s">
        <v>18</v>
      </c>
      <c r="D658" s="19">
        <f>77/100</f>
        <v>0.77</v>
      </c>
      <c r="E658" s="19">
        <f>D658*E$649</f>
        <v>3.6343999999999999</v>
      </c>
      <c r="F658" s="10"/>
      <c r="G658" s="10">
        <f t="shared" si="213"/>
        <v>0</v>
      </c>
      <c r="H658" s="10"/>
      <c r="I658" s="10">
        <f t="shared" si="214"/>
        <v>0</v>
      </c>
      <c r="J658" s="10"/>
      <c r="K658" s="10">
        <f t="shared" si="215"/>
        <v>0</v>
      </c>
      <c r="L658" s="10">
        <f t="shared" si="216"/>
        <v>0</v>
      </c>
    </row>
    <row r="659" spans="1:12" x14ac:dyDescent="0.3">
      <c r="A659" s="2">
        <f>A649+1</f>
        <v>100</v>
      </c>
      <c r="B659" s="14" t="s">
        <v>1091</v>
      </c>
      <c r="C659" s="2" t="s">
        <v>72</v>
      </c>
      <c r="D659" s="15"/>
      <c r="E659" s="15">
        <f>2+3+2</f>
        <v>7</v>
      </c>
      <c r="F659" s="10"/>
      <c r="G659" s="10">
        <f t="shared" si="213"/>
        <v>0</v>
      </c>
      <c r="H659" s="10"/>
      <c r="I659" s="10">
        <f t="shared" si="214"/>
        <v>0</v>
      </c>
      <c r="J659" s="10"/>
      <c r="K659" s="10">
        <f t="shared" si="215"/>
        <v>0</v>
      </c>
      <c r="L659" s="10">
        <f t="shared" si="216"/>
        <v>0</v>
      </c>
    </row>
    <row r="660" spans="1:12" x14ac:dyDescent="0.3">
      <c r="A660" s="2"/>
      <c r="B660" s="17" t="s">
        <v>13</v>
      </c>
      <c r="C660" s="18" t="s">
        <v>72</v>
      </c>
      <c r="D660" s="19">
        <v>1</v>
      </c>
      <c r="E660" s="19">
        <f>D660*E659</f>
        <v>7</v>
      </c>
      <c r="F660" s="10"/>
      <c r="G660" s="10">
        <f t="shared" ref="G660:G664" si="217">F660*E660</f>
        <v>0</v>
      </c>
      <c r="H660" s="10"/>
      <c r="I660" s="10">
        <f t="shared" ref="I660:I664" si="218">H660*E660</f>
        <v>0</v>
      </c>
      <c r="J660" s="10"/>
      <c r="K660" s="10">
        <f t="shared" ref="K660:K664" si="219">J660*E660</f>
        <v>0</v>
      </c>
      <c r="L660" s="10">
        <f t="shared" ref="L660:L664" si="220">K660+I660+G660</f>
        <v>0</v>
      </c>
    </row>
    <row r="661" spans="1:12" x14ac:dyDescent="0.3">
      <c r="A661" s="2"/>
      <c r="B661" s="17" t="s">
        <v>39</v>
      </c>
      <c r="C661" s="18" t="s">
        <v>38</v>
      </c>
      <c r="D661" s="19">
        <v>1.05</v>
      </c>
      <c r="E661" s="19">
        <f>(2.72*2+0.72*3+0.72*2)/1000*1.05</f>
        <v>9.4920000000000022E-3</v>
      </c>
      <c r="F661" s="10"/>
      <c r="G661" s="10">
        <f t="shared" ref="G661" si="221">F661*E661</f>
        <v>0</v>
      </c>
      <c r="H661" s="10"/>
      <c r="I661" s="10">
        <f t="shared" ref="I661" si="222">H661*E661</f>
        <v>0</v>
      </c>
      <c r="J661" s="10"/>
      <c r="K661" s="10">
        <f t="shared" ref="K661" si="223">J661*E661</f>
        <v>0</v>
      </c>
      <c r="L661" s="10">
        <f t="shared" ref="L661" si="224">K661+I661+G661</f>
        <v>0</v>
      </c>
    </row>
    <row r="662" spans="1:12" x14ac:dyDescent="0.3">
      <c r="A662" s="2"/>
      <c r="B662" s="17" t="s">
        <v>1088</v>
      </c>
      <c r="C662" s="18" t="s">
        <v>38</v>
      </c>
      <c r="D662" s="19">
        <v>1.05</v>
      </c>
      <c r="E662" s="19">
        <f>45.2*2/1000*1.05</f>
        <v>9.4920000000000018E-2</v>
      </c>
      <c r="F662" s="10"/>
      <c r="G662" s="10">
        <f t="shared" si="217"/>
        <v>0</v>
      </c>
      <c r="H662" s="10"/>
      <c r="I662" s="10">
        <f t="shared" si="218"/>
        <v>0</v>
      </c>
      <c r="J662" s="10"/>
      <c r="K662" s="10">
        <f t="shared" si="219"/>
        <v>0</v>
      </c>
      <c r="L662" s="10">
        <f t="shared" si="220"/>
        <v>0</v>
      </c>
    </row>
    <row r="663" spans="1:12" x14ac:dyDescent="0.3">
      <c r="A663" s="2"/>
      <c r="B663" s="17" t="s">
        <v>1089</v>
      </c>
      <c r="C663" s="18" t="s">
        <v>38</v>
      </c>
      <c r="D663" s="19">
        <v>1.05</v>
      </c>
      <c r="E663" s="19">
        <f>(3.14*2+6.28*3)/1000*1.05</f>
        <v>2.6376E-2</v>
      </c>
      <c r="F663" s="10"/>
      <c r="G663" s="10">
        <f t="shared" si="217"/>
        <v>0</v>
      </c>
      <c r="H663" s="10"/>
      <c r="I663" s="10">
        <f t="shared" si="218"/>
        <v>0</v>
      </c>
      <c r="J663" s="10"/>
      <c r="K663" s="10">
        <f t="shared" si="219"/>
        <v>0</v>
      </c>
      <c r="L663" s="10">
        <f t="shared" si="220"/>
        <v>0</v>
      </c>
    </row>
    <row r="664" spans="1:12" x14ac:dyDescent="0.3">
      <c r="A664" s="2"/>
      <c r="B664" s="17" t="s">
        <v>19</v>
      </c>
      <c r="C664" s="18" t="s">
        <v>72</v>
      </c>
      <c r="D664" s="19">
        <v>1</v>
      </c>
      <c r="E664" s="19">
        <f>D664*E659</f>
        <v>7</v>
      </c>
      <c r="F664" s="10"/>
      <c r="G664" s="10">
        <f t="shared" si="217"/>
        <v>0</v>
      </c>
      <c r="H664" s="10"/>
      <c r="I664" s="10">
        <f t="shared" si="218"/>
        <v>0</v>
      </c>
      <c r="J664" s="10"/>
      <c r="K664" s="10">
        <f t="shared" si="219"/>
        <v>0</v>
      </c>
      <c r="L664" s="10">
        <f t="shared" si="220"/>
        <v>0</v>
      </c>
    </row>
    <row r="665" spans="1:12" x14ac:dyDescent="0.3">
      <c r="A665" s="2">
        <f>A659+1</f>
        <v>101</v>
      </c>
      <c r="B665" s="14" t="s">
        <v>1086</v>
      </c>
      <c r="C665" s="2" t="s">
        <v>38</v>
      </c>
      <c r="D665" s="15"/>
      <c r="E665" s="15">
        <v>4.29</v>
      </c>
      <c r="F665" s="10"/>
      <c r="G665" s="10">
        <f t="shared" si="205"/>
        <v>0</v>
      </c>
      <c r="H665" s="10"/>
      <c r="I665" s="10">
        <f t="shared" si="206"/>
        <v>0</v>
      </c>
      <c r="J665" s="10"/>
      <c r="K665" s="10">
        <f t="shared" si="207"/>
        <v>0</v>
      </c>
      <c r="L665" s="10">
        <f t="shared" si="208"/>
        <v>0</v>
      </c>
    </row>
    <row r="666" spans="1:12" x14ac:dyDescent="0.3">
      <c r="A666" s="2"/>
      <c r="B666" s="17" t="s">
        <v>13</v>
      </c>
      <c r="C666" s="18" t="s">
        <v>38</v>
      </c>
      <c r="D666" s="19">
        <v>1</v>
      </c>
      <c r="E666" s="19">
        <f>D666*E$665</f>
        <v>4.29</v>
      </c>
      <c r="F666" s="10"/>
      <c r="G666" s="10">
        <f t="shared" ref="G666" si="225">F666*E666</f>
        <v>0</v>
      </c>
      <c r="H666" s="10"/>
      <c r="I666" s="10">
        <f t="shared" ref="I666" si="226">H666*E666</f>
        <v>0</v>
      </c>
      <c r="J666" s="10"/>
      <c r="K666" s="10">
        <f t="shared" ref="K666" si="227">J666*E666</f>
        <v>0</v>
      </c>
      <c r="L666" s="10">
        <f t="shared" ref="L666" si="228">K666+I666+G666</f>
        <v>0</v>
      </c>
    </row>
    <row r="667" spans="1:12" x14ac:dyDescent="0.3">
      <c r="A667" s="2"/>
      <c r="B667" s="17" t="s">
        <v>1087</v>
      </c>
      <c r="C667" s="18" t="s">
        <v>38</v>
      </c>
      <c r="D667" s="19">
        <v>1.05</v>
      </c>
      <c r="E667" s="19">
        <f>D667*E$665</f>
        <v>4.5045000000000002</v>
      </c>
      <c r="F667" s="10"/>
      <c r="G667" s="10">
        <f t="shared" ref="G667:G672" si="229">F667*E667</f>
        <v>0</v>
      </c>
      <c r="H667" s="10"/>
      <c r="I667" s="10">
        <f t="shared" ref="I667:I672" si="230">H667*E667</f>
        <v>0</v>
      </c>
      <c r="J667" s="10"/>
      <c r="K667" s="10">
        <f t="shared" ref="K667:K672" si="231">J667*E667</f>
        <v>0</v>
      </c>
      <c r="L667" s="10">
        <f t="shared" ref="L667:L672" si="232">K667+I667+G667</f>
        <v>0</v>
      </c>
    </row>
    <row r="668" spans="1:12" x14ac:dyDescent="0.3">
      <c r="A668" s="2"/>
      <c r="B668" s="17" t="s">
        <v>102</v>
      </c>
      <c r="C668" s="18" t="s">
        <v>47</v>
      </c>
      <c r="D668" s="19">
        <v>7</v>
      </c>
      <c r="E668" s="19">
        <f>D668*E$665</f>
        <v>30.03</v>
      </c>
      <c r="F668" s="10"/>
      <c r="G668" s="10">
        <f t="shared" si="229"/>
        <v>0</v>
      </c>
      <c r="H668" s="10"/>
      <c r="I668" s="10">
        <f t="shared" si="230"/>
        <v>0</v>
      </c>
      <c r="J668" s="10"/>
      <c r="K668" s="10">
        <f t="shared" si="231"/>
        <v>0</v>
      </c>
      <c r="L668" s="10">
        <f t="shared" si="232"/>
        <v>0</v>
      </c>
    </row>
    <row r="669" spans="1:12" x14ac:dyDescent="0.3">
      <c r="A669" s="2"/>
      <c r="B669" s="17" t="s">
        <v>103</v>
      </c>
      <c r="C669" s="18" t="s">
        <v>72</v>
      </c>
      <c r="D669" s="19">
        <v>12</v>
      </c>
      <c r="E669" s="19">
        <f>D669*E$665</f>
        <v>51.480000000000004</v>
      </c>
      <c r="F669" s="10"/>
      <c r="G669" s="10">
        <f t="shared" si="229"/>
        <v>0</v>
      </c>
      <c r="H669" s="10"/>
      <c r="I669" s="10">
        <f t="shared" si="230"/>
        <v>0</v>
      </c>
      <c r="J669" s="10"/>
      <c r="K669" s="10">
        <f t="shared" si="231"/>
        <v>0</v>
      </c>
      <c r="L669" s="10">
        <f t="shared" si="232"/>
        <v>0</v>
      </c>
    </row>
    <row r="670" spans="1:12" x14ac:dyDescent="0.3">
      <c r="A670" s="2"/>
      <c r="B670" s="17" t="s">
        <v>104</v>
      </c>
      <c r="C670" s="18" t="s">
        <v>30</v>
      </c>
      <c r="D670" s="19">
        <v>0.5</v>
      </c>
      <c r="E670" s="19">
        <f>D670*E$665</f>
        <v>2.145</v>
      </c>
      <c r="F670" s="10"/>
      <c r="G670" s="10">
        <f t="shared" si="229"/>
        <v>0</v>
      </c>
      <c r="H670" s="10"/>
      <c r="I670" s="10">
        <f t="shared" si="230"/>
        <v>0</v>
      </c>
      <c r="J670" s="10"/>
      <c r="K670" s="10">
        <f t="shared" si="231"/>
        <v>0</v>
      </c>
      <c r="L670" s="10">
        <f t="shared" si="232"/>
        <v>0</v>
      </c>
    </row>
    <row r="671" spans="1:12" x14ac:dyDescent="0.3">
      <c r="A671" s="2"/>
      <c r="B671" s="17" t="s">
        <v>105</v>
      </c>
      <c r="C671" s="18" t="s">
        <v>30</v>
      </c>
      <c r="D671" s="19">
        <f>D670*2</f>
        <v>1</v>
      </c>
      <c r="E671" s="19">
        <f>D671*E$665</f>
        <v>4.29</v>
      </c>
      <c r="F671" s="10"/>
      <c r="G671" s="10">
        <f t="shared" si="229"/>
        <v>0</v>
      </c>
      <c r="H671" s="10"/>
      <c r="I671" s="10">
        <f t="shared" si="230"/>
        <v>0</v>
      </c>
      <c r="J671" s="10"/>
      <c r="K671" s="10">
        <f t="shared" si="231"/>
        <v>0</v>
      </c>
      <c r="L671" s="10">
        <f t="shared" si="232"/>
        <v>0</v>
      </c>
    </row>
    <row r="672" spans="1:12" x14ac:dyDescent="0.3">
      <c r="A672" s="2"/>
      <c r="B672" s="17" t="s">
        <v>19</v>
      </c>
      <c r="C672" s="18" t="s">
        <v>38</v>
      </c>
      <c r="D672" s="19">
        <v>1</v>
      </c>
      <c r="E672" s="19">
        <f>D672*E$665</f>
        <v>4.29</v>
      </c>
      <c r="F672" s="10"/>
      <c r="G672" s="10">
        <f t="shared" si="229"/>
        <v>0</v>
      </c>
      <c r="H672" s="10"/>
      <c r="I672" s="10">
        <f t="shared" si="230"/>
        <v>0</v>
      </c>
      <c r="J672" s="10"/>
      <c r="K672" s="10">
        <f t="shared" si="231"/>
        <v>0</v>
      </c>
      <c r="L672" s="10">
        <f t="shared" si="232"/>
        <v>0</v>
      </c>
    </row>
    <row r="673" spans="1:18" x14ac:dyDescent="0.3">
      <c r="A673" s="2">
        <f>A665+1</f>
        <v>102</v>
      </c>
      <c r="B673" s="14" t="s">
        <v>210</v>
      </c>
      <c r="C673" s="2" t="s">
        <v>12</v>
      </c>
      <c r="D673" s="15"/>
      <c r="E673" s="15">
        <v>12</v>
      </c>
      <c r="F673" s="10"/>
      <c r="G673" s="10">
        <f t="shared" si="205"/>
        <v>0</v>
      </c>
      <c r="H673" s="10"/>
      <c r="I673" s="10">
        <f t="shared" si="206"/>
        <v>0</v>
      </c>
      <c r="J673" s="10"/>
      <c r="K673" s="10">
        <f t="shared" si="207"/>
        <v>0</v>
      </c>
      <c r="L673" s="10">
        <f t="shared" si="208"/>
        <v>0</v>
      </c>
    </row>
    <row r="674" spans="1:18" x14ac:dyDescent="0.3">
      <c r="A674" s="2">
        <f t="shared" ref="A674:A677" si="233">A673+1</f>
        <v>103</v>
      </c>
      <c r="B674" s="14" t="s">
        <v>224</v>
      </c>
      <c r="C674" s="2" t="s">
        <v>12</v>
      </c>
      <c r="D674" s="15"/>
      <c r="E674" s="15">
        <f>(67.6*2)+17.3*2+13.9*2+5.6+3.4+5.8+14.2*2+8.4*4+7.3*2+6.4+22.8</f>
        <v>318.20000000000005</v>
      </c>
      <c r="F674" s="10"/>
      <c r="G674" s="10">
        <f t="shared" ref="G674" si="234">F674*E674</f>
        <v>0</v>
      </c>
      <c r="H674" s="10"/>
      <c r="I674" s="10">
        <f t="shared" ref="I674" si="235">H674*E674</f>
        <v>0</v>
      </c>
      <c r="J674" s="10"/>
      <c r="K674" s="10">
        <f t="shared" ref="K674" si="236">J674*E674</f>
        <v>0</v>
      </c>
      <c r="L674" s="10">
        <f t="shared" ref="L674" si="237">K674+I674+G674</f>
        <v>0</v>
      </c>
    </row>
    <row r="675" spans="1:18" x14ac:dyDescent="0.3">
      <c r="A675" s="2">
        <f t="shared" si="233"/>
        <v>104</v>
      </c>
      <c r="B675" s="14" t="s">
        <v>225</v>
      </c>
      <c r="C675" s="2" t="s">
        <v>12</v>
      </c>
      <c r="D675" s="15"/>
      <c r="E675" s="15">
        <f>(13+8.5)*1.5*2</f>
        <v>64.5</v>
      </c>
      <c r="F675" s="10"/>
      <c r="G675" s="10">
        <f t="shared" ref="G675" si="238">F675*E675</f>
        <v>0</v>
      </c>
      <c r="H675" s="10"/>
      <c r="I675" s="10">
        <f t="shared" ref="I675" si="239">H675*E675</f>
        <v>0</v>
      </c>
      <c r="J675" s="10"/>
      <c r="K675" s="10">
        <f t="shared" ref="K675" si="240">J675*E675</f>
        <v>0</v>
      </c>
      <c r="L675" s="10">
        <f t="shared" ref="L675" si="241">K675+I675+G675</f>
        <v>0</v>
      </c>
    </row>
    <row r="676" spans="1:18" x14ac:dyDescent="0.3">
      <c r="A676" s="2">
        <f t="shared" si="233"/>
        <v>105</v>
      </c>
      <c r="B676" s="14" t="s">
        <v>233</v>
      </c>
      <c r="C676" s="2" t="s">
        <v>12</v>
      </c>
      <c r="D676" s="15"/>
      <c r="E676" s="15">
        <v>8.8000000000000007</v>
      </c>
      <c r="F676" s="10"/>
      <c r="G676" s="10">
        <f t="shared" ref="G676" si="242">F676*E676</f>
        <v>0</v>
      </c>
      <c r="H676" s="10"/>
      <c r="I676" s="10">
        <f t="shared" ref="I676" si="243">H676*E676</f>
        <v>0</v>
      </c>
      <c r="J676" s="10"/>
      <c r="K676" s="10">
        <f t="shared" ref="K676" si="244">J676*E676</f>
        <v>0</v>
      </c>
      <c r="L676" s="10">
        <f t="shared" ref="L676" si="245">K676+I676+G676</f>
        <v>0</v>
      </c>
    </row>
    <row r="677" spans="1:18" x14ac:dyDescent="0.3">
      <c r="A677" s="2">
        <f t="shared" si="233"/>
        <v>106</v>
      </c>
      <c r="B677" s="14" t="s">
        <v>211</v>
      </c>
      <c r="C677" s="2" t="s">
        <v>16</v>
      </c>
      <c r="D677" s="15"/>
      <c r="E677" s="15">
        <f>220*1.5</f>
        <v>330</v>
      </c>
      <c r="F677" s="10"/>
      <c r="G677" s="10">
        <f t="shared" si="205"/>
        <v>0</v>
      </c>
      <c r="H677" s="10"/>
      <c r="I677" s="10">
        <f t="shared" si="206"/>
        <v>0</v>
      </c>
      <c r="J677" s="10"/>
      <c r="K677" s="10">
        <f t="shared" si="207"/>
        <v>0</v>
      </c>
      <c r="L677" s="10">
        <f t="shared" si="208"/>
        <v>0</v>
      </c>
    </row>
    <row r="678" spans="1:18" x14ac:dyDescent="0.3">
      <c r="A678" s="2"/>
      <c r="B678" s="5" t="s">
        <v>13</v>
      </c>
      <c r="C678" s="1" t="s">
        <v>16</v>
      </c>
      <c r="D678" s="8">
        <v>1</v>
      </c>
      <c r="E678" s="8">
        <f>D678*E$677</f>
        <v>330</v>
      </c>
      <c r="F678" s="10"/>
      <c r="G678" s="10">
        <f t="shared" si="205"/>
        <v>0</v>
      </c>
      <c r="H678" s="10"/>
      <c r="I678" s="10">
        <f t="shared" si="206"/>
        <v>0</v>
      </c>
      <c r="J678" s="10"/>
      <c r="K678" s="10">
        <f t="shared" si="207"/>
        <v>0</v>
      </c>
      <c r="L678" s="10">
        <f t="shared" si="208"/>
        <v>0</v>
      </c>
    </row>
    <row r="679" spans="1:18" x14ac:dyDescent="0.3">
      <c r="A679" s="2"/>
      <c r="B679" s="5" t="s">
        <v>37</v>
      </c>
      <c r="C679" s="1" t="s">
        <v>18</v>
      </c>
      <c r="D679" s="8">
        <f>0.15*1.02</f>
        <v>0.153</v>
      </c>
      <c r="E679" s="8">
        <f>D679*E$677</f>
        <v>50.49</v>
      </c>
      <c r="F679" s="10"/>
      <c r="G679" s="10">
        <f t="shared" si="205"/>
        <v>0</v>
      </c>
      <c r="H679" s="10"/>
      <c r="I679" s="10">
        <f t="shared" si="206"/>
        <v>0</v>
      </c>
      <c r="J679" s="10"/>
      <c r="K679" s="10">
        <f t="shared" si="207"/>
        <v>0</v>
      </c>
      <c r="L679" s="10">
        <f t="shared" si="208"/>
        <v>0</v>
      </c>
    </row>
    <row r="680" spans="1:18" x14ac:dyDescent="0.3">
      <c r="A680" s="2"/>
      <c r="B680" s="5" t="s">
        <v>212</v>
      </c>
      <c r="C680" s="1" t="s">
        <v>16</v>
      </c>
      <c r="D680" s="8">
        <v>1.05</v>
      </c>
      <c r="E680" s="8">
        <f>D680*E$677</f>
        <v>346.5</v>
      </c>
      <c r="F680" s="10"/>
      <c r="G680" s="10">
        <f t="shared" si="205"/>
        <v>0</v>
      </c>
      <c r="H680" s="10"/>
      <c r="I680" s="10">
        <f t="shared" si="206"/>
        <v>0</v>
      </c>
      <c r="J680" s="10"/>
      <c r="K680" s="10">
        <f t="shared" si="207"/>
        <v>0</v>
      </c>
      <c r="L680" s="10">
        <f t="shared" si="208"/>
        <v>0</v>
      </c>
    </row>
    <row r="681" spans="1:18" x14ac:dyDescent="0.3">
      <c r="A681" s="2"/>
      <c r="B681" s="5" t="s">
        <v>19</v>
      </c>
      <c r="C681" s="1" t="s">
        <v>16</v>
      </c>
      <c r="D681" s="8">
        <v>1</v>
      </c>
      <c r="E681" s="8">
        <f>D681*E$677</f>
        <v>330</v>
      </c>
      <c r="F681" s="10"/>
      <c r="G681" s="10">
        <f t="shared" si="205"/>
        <v>0</v>
      </c>
      <c r="H681" s="10"/>
      <c r="I681" s="10">
        <f t="shared" si="206"/>
        <v>0</v>
      </c>
      <c r="J681" s="10"/>
      <c r="K681" s="10">
        <f t="shared" si="207"/>
        <v>0</v>
      </c>
      <c r="L681" s="10">
        <f t="shared" si="208"/>
        <v>0</v>
      </c>
    </row>
    <row r="682" spans="1:18" x14ac:dyDescent="0.3">
      <c r="A682" s="2"/>
      <c r="B682" s="5" t="s">
        <v>45</v>
      </c>
      <c r="C682" s="1" t="s">
        <v>16</v>
      </c>
      <c r="D682" s="8">
        <v>1</v>
      </c>
      <c r="E682" s="8">
        <f>D682*E$677</f>
        <v>330</v>
      </c>
      <c r="F682" s="10"/>
      <c r="G682" s="10">
        <f t="shared" si="205"/>
        <v>0</v>
      </c>
      <c r="H682" s="10"/>
      <c r="I682" s="10">
        <f t="shared" si="206"/>
        <v>0</v>
      </c>
      <c r="J682" s="10"/>
      <c r="K682" s="10">
        <f t="shared" si="207"/>
        <v>0</v>
      </c>
      <c r="L682" s="10">
        <f t="shared" si="208"/>
        <v>0</v>
      </c>
    </row>
    <row r="683" spans="1:18" x14ac:dyDescent="0.3">
      <c r="A683" s="11"/>
      <c r="B683" s="11" t="s">
        <v>214</v>
      </c>
      <c r="C683" s="4"/>
      <c r="D683" s="12"/>
      <c r="E683" s="12"/>
      <c r="F683" s="13"/>
      <c r="G683" s="13">
        <f t="shared" si="205"/>
        <v>0</v>
      </c>
      <c r="H683" s="13"/>
      <c r="I683" s="13">
        <f t="shared" si="206"/>
        <v>0</v>
      </c>
      <c r="J683" s="13"/>
      <c r="K683" s="13">
        <f t="shared" si="207"/>
        <v>0</v>
      </c>
      <c r="L683" s="13">
        <f t="shared" si="208"/>
        <v>0</v>
      </c>
    </row>
    <row r="684" spans="1:18" x14ac:dyDescent="0.3">
      <c r="A684" s="2">
        <f>A677+1</f>
        <v>107</v>
      </c>
      <c r="B684" s="14" t="s">
        <v>215</v>
      </c>
      <c r="C684" s="2" t="s">
        <v>216</v>
      </c>
      <c r="D684" s="15"/>
      <c r="E684" s="15">
        <f>4*12*26</f>
        <v>1248</v>
      </c>
      <c r="F684" s="10"/>
      <c r="G684" s="10">
        <f t="shared" si="205"/>
        <v>0</v>
      </c>
      <c r="H684" s="10"/>
      <c r="I684" s="10">
        <f t="shared" si="206"/>
        <v>0</v>
      </c>
      <c r="J684" s="10"/>
      <c r="K684" s="10">
        <f t="shared" si="207"/>
        <v>0</v>
      </c>
      <c r="L684" s="10">
        <f t="shared" si="208"/>
        <v>0</v>
      </c>
      <c r="R684" s="38"/>
    </row>
    <row r="685" spans="1:18" x14ac:dyDescent="0.3">
      <c r="A685" s="2">
        <f>A684+1</f>
        <v>108</v>
      </c>
      <c r="B685" s="14" t="s">
        <v>268</v>
      </c>
      <c r="C685" s="2" t="s">
        <v>16</v>
      </c>
      <c r="D685" s="15"/>
      <c r="E685" s="15">
        <f>E404+E421</f>
        <v>1193.962</v>
      </c>
      <c r="F685" s="10"/>
      <c r="G685" s="10">
        <f t="shared" ref="G685" si="246">F685*E685</f>
        <v>0</v>
      </c>
      <c r="H685" s="10"/>
      <c r="I685" s="10">
        <f t="shared" ref="I685" si="247">H685*E685</f>
        <v>0</v>
      </c>
      <c r="J685" s="10"/>
      <c r="K685" s="10">
        <f t="shared" ref="K685" si="248">J685*E685</f>
        <v>0</v>
      </c>
      <c r="L685" s="10">
        <f t="shared" ref="L685" si="249">K685+I685+G685</f>
        <v>0</v>
      </c>
    </row>
    <row r="686" spans="1:18" x14ac:dyDescent="0.3">
      <c r="A686" s="2">
        <f>A685+1</f>
        <v>109</v>
      </c>
      <c r="B686" s="14" t="s">
        <v>217</v>
      </c>
      <c r="C686" s="2" t="s">
        <v>30</v>
      </c>
      <c r="D686" s="15"/>
      <c r="E686" s="15">
        <v>30</v>
      </c>
      <c r="F686" s="10"/>
      <c r="G686" s="10">
        <f t="shared" si="205"/>
        <v>0</v>
      </c>
      <c r="H686" s="10"/>
      <c r="I686" s="10">
        <f t="shared" si="206"/>
        <v>0</v>
      </c>
      <c r="J686" s="10"/>
      <c r="K686" s="10">
        <f t="shared" si="207"/>
        <v>0</v>
      </c>
      <c r="L686" s="10">
        <f t="shared" si="208"/>
        <v>0</v>
      </c>
      <c r="R686" s="38"/>
    </row>
    <row r="687" spans="1:18" x14ac:dyDescent="0.3">
      <c r="A687" s="2">
        <f>A686+1</f>
        <v>110</v>
      </c>
      <c r="B687" s="14" t="s">
        <v>218</v>
      </c>
      <c r="C687" s="2" t="s">
        <v>30</v>
      </c>
      <c r="D687" s="15"/>
      <c r="E687" s="15">
        <v>30</v>
      </c>
      <c r="F687" s="10"/>
      <c r="G687" s="10">
        <f t="shared" si="205"/>
        <v>0</v>
      </c>
      <c r="H687" s="10"/>
      <c r="I687" s="10">
        <f t="shared" si="206"/>
        <v>0</v>
      </c>
      <c r="J687" s="10"/>
      <c r="K687" s="10">
        <f t="shared" si="207"/>
        <v>0</v>
      </c>
      <c r="L687" s="10">
        <f t="shared" si="208"/>
        <v>0</v>
      </c>
    </row>
    <row r="688" spans="1:18" x14ac:dyDescent="0.3">
      <c r="A688" s="2">
        <f>A687+1</f>
        <v>111</v>
      </c>
      <c r="B688" s="14" t="s">
        <v>219</v>
      </c>
      <c r="C688" s="2" t="s">
        <v>220</v>
      </c>
      <c r="D688" s="15"/>
      <c r="E688" s="15">
        <v>16</v>
      </c>
      <c r="F688" s="10"/>
      <c r="G688" s="10">
        <f t="shared" si="205"/>
        <v>0</v>
      </c>
      <c r="H688" s="10"/>
      <c r="I688" s="10">
        <f t="shared" si="206"/>
        <v>0</v>
      </c>
      <c r="J688" s="10"/>
      <c r="K688" s="10">
        <f t="shared" si="207"/>
        <v>0</v>
      </c>
      <c r="L688" s="10">
        <f t="shared" si="208"/>
        <v>0</v>
      </c>
    </row>
    <row r="689" spans="1:12" x14ac:dyDescent="0.3">
      <c r="A689" s="3"/>
      <c r="B689" s="3" t="s">
        <v>7</v>
      </c>
      <c r="C689" s="3"/>
      <c r="D689" s="24"/>
      <c r="E689" s="24"/>
      <c r="F689" s="25"/>
      <c r="G689" s="25">
        <f>SUM(G10:G688)</f>
        <v>0</v>
      </c>
      <c r="H689" s="25"/>
      <c r="I689" s="25">
        <f>SUM(I10:I688)</f>
        <v>0</v>
      </c>
      <c r="J689" s="25"/>
      <c r="K689" s="25">
        <f>SUM(K10:K688)</f>
        <v>0</v>
      </c>
      <c r="L689" s="25">
        <f>SUM(L10:L688)</f>
        <v>0</v>
      </c>
    </row>
    <row r="690" spans="1:12" x14ac:dyDescent="0.3">
      <c r="A690" s="2"/>
      <c r="B690" s="5" t="s">
        <v>226</v>
      </c>
      <c r="C690" s="1"/>
      <c r="D690" s="8"/>
      <c r="E690" s="26">
        <v>0.03</v>
      </c>
      <c r="F690" s="10"/>
      <c r="G690" s="10"/>
      <c r="H690" s="10"/>
      <c r="I690" s="10"/>
      <c r="J690" s="10"/>
      <c r="K690" s="10"/>
      <c r="L690" s="10">
        <f>G689*E690</f>
        <v>0</v>
      </c>
    </row>
    <row r="691" spans="1:12" x14ac:dyDescent="0.3">
      <c r="A691" s="2"/>
      <c r="B691" s="2" t="s">
        <v>7</v>
      </c>
      <c r="C691" s="1"/>
      <c r="D691" s="8"/>
      <c r="E691" s="26"/>
      <c r="F691" s="10"/>
      <c r="G691" s="10"/>
      <c r="H691" s="10"/>
      <c r="I691" s="10"/>
      <c r="J691" s="10"/>
      <c r="K691" s="10"/>
      <c r="L691" s="10">
        <f>L690+L689</f>
        <v>0</v>
      </c>
    </row>
    <row r="692" spans="1:12" x14ac:dyDescent="0.3">
      <c r="A692" s="2"/>
      <c r="B692" s="5" t="s">
        <v>227</v>
      </c>
      <c r="C692" s="1"/>
      <c r="D692" s="8"/>
      <c r="E692" s="26">
        <v>0.1</v>
      </c>
      <c r="F692" s="10"/>
      <c r="G692" s="10"/>
      <c r="H692" s="10"/>
      <c r="I692" s="10"/>
      <c r="J692" s="10"/>
      <c r="K692" s="10"/>
      <c r="L692" s="10">
        <f>L691*E692</f>
        <v>0</v>
      </c>
    </row>
    <row r="693" spans="1:12" x14ac:dyDescent="0.3">
      <c r="A693" s="2"/>
      <c r="B693" s="2" t="s">
        <v>7</v>
      </c>
      <c r="C693" s="1"/>
      <c r="D693" s="8"/>
      <c r="E693" s="26"/>
      <c r="F693" s="10"/>
      <c r="G693" s="10"/>
      <c r="H693" s="10"/>
      <c r="I693" s="10"/>
      <c r="J693" s="10"/>
      <c r="K693" s="10"/>
      <c r="L693" s="10">
        <f>L692+L691</f>
        <v>0</v>
      </c>
    </row>
    <row r="694" spans="1:12" x14ac:dyDescent="0.3">
      <c r="A694" s="2"/>
      <c r="B694" s="5" t="s">
        <v>228</v>
      </c>
      <c r="C694" s="1"/>
      <c r="D694" s="8"/>
      <c r="E694" s="26">
        <v>0.01</v>
      </c>
      <c r="F694" s="10"/>
      <c r="G694" s="10"/>
      <c r="H694" s="10"/>
      <c r="I694" s="10"/>
      <c r="J694" s="10"/>
      <c r="K694" s="10"/>
      <c r="L694" s="10">
        <f>L693*E694</f>
        <v>0</v>
      </c>
    </row>
    <row r="695" spans="1:12" x14ac:dyDescent="0.3">
      <c r="A695" s="2"/>
      <c r="B695" s="2" t="s">
        <v>7</v>
      </c>
      <c r="C695" s="1"/>
      <c r="D695" s="8"/>
      <c r="E695" s="26"/>
      <c r="F695" s="10"/>
      <c r="G695" s="10"/>
      <c r="H695" s="10"/>
      <c r="I695" s="10"/>
      <c r="J695" s="10"/>
      <c r="K695" s="10"/>
      <c r="L695" s="10">
        <f>L694+L693</f>
        <v>0</v>
      </c>
    </row>
    <row r="696" spans="1:12" x14ac:dyDescent="0.3">
      <c r="A696" s="2"/>
      <c r="B696" s="5" t="s">
        <v>229</v>
      </c>
      <c r="C696" s="1"/>
      <c r="D696" s="8"/>
      <c r="E696" s="26">
        <v>0.08</v>
      </c>
      <c r="F696" s="10"/>
      <c r="G696" s="10"/>
      <c r="H696" s="10"/>
      <c r="I696" s="10"/>
      <c r="J696" s="10"/>
      <c r="K696" s="10"/>
      <c r="L696" s="10">
        <f>L695*E696</f>
        <v>0</v>
      </c>
    </row>
    <row r="697" spans="1:12" x14ac:dyDescent="0.3">
      <c r="A697" s="2"/>
      <c r="B697" s="2" t="s">
        <v>7</v>
      </c>
      <c r="C697" s="1"/>
      <c r="D697" s="8"/>
      <c r="E697" s="26"/>
      <c r="F697" s="10"/>
      <c r="G697" s="10"/>
      <c r="H697" s="10"/>
      <c r="I697" s="10"/>
      <c r="J697" s="10"/>
      <c r="K697" s="10"/>
      <c r="L697" s="10">
        <f>L696+L695</f>
        <v>0</v>
      </c>
    </row>
    <row r="698" spans="1:12" x14ac:dyDescent="0.3">
      <c r="A698" s="2"/>
      <c r="B698" s="5" t="s">
        <v>230</v>
      </c>
      <c r="C698" s="1"/>
      <c r="D698" s="8"/>
      <c r="E698" s="26">
        <v>0.03</v>
      </c>
      <c r="F698" s="10"/>
      <c r="G698" s="10"/>
      <c r="H698" s="10"/>
      <c r="I698" s="10"/>
      <c r="J698" s="10"/>
      <c r="K698" s="10"/>
      <c r="L698" s="10">
        <f>L697*E698</f>
        <v>0</v>
      </c>
    </row>
    <row r="699" spans="1:12" x14ac:dyDescent="0.3">
      <c r="A699" s="2"/>
      <c r="B699" s="2" t="s">
        <v>7</v>
      </c>
      <c r="C699" s="1"/>
      <c r="D699" s="8"/>
      <c r="E699" s="26"/>
      <c r="F699" s="10"/>
      <c r="G699" s="10"/>
      <c r="H699" s="10"/>
      <c r="I699" s="10"/>
      <c r="J699" s="10"/>
      <c r="K699" s="10"/>
      <c r="L699" s="10">
        <f>L698+L697</f>
        <v>0</v>
      </c>
    </row>
    <row r="700" spans="1:12" x14ac:dyDescent="0.3">
      <c r="A700" s="2"/>
      <c r="B700" s="5" t="s">
        <v>231</v>
      </c>
      <c r="C700" s="1"/>
      <c r="D700" s="8"/>
      <c r="E700" s="26">
        <v>0.18</v>
      </c>
      <c r="F700" s="10"/>
      <c r="G700" s="10"/>
      <c r="H700" s="10"/>
      <c r="I700" s="10"/>
      <c r="J700" s="10"/>
      <c r="K700" s="10"/>
      <c r="L700" s="10">
        <f>L699*E700</f>
        <v>0</v>
      </c>
    </row>
    <row r="701" spans="1:12" x14ac:dyDescent="0.3">
      <c r="A701" s="3"/>
      <c r="B701" s="3" t="s">
        <v>232</v>
      </c>
      <c r="C701" s="3"/>
      <c r="D701" s="24"/>
      <c r="E701" s="24"/>
      <c r="F701" s="25"/>
      <c r="G701" s="25"/>
      <c r="H701" s="25"/>
      <c r="I701" s="25"/>
      <c r="J701" s="25"/>
      <c r="K701" s="25"/>
      <c r="L701" s="25">
        <f>L700+L699</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56"/>
  <sheetViews>
    <sheetView zoomScale="85" zoomScaleNormal="85" workbookViewId="0">
      <selection activeCell="L5" sqref="L5"/>
    </sheetView>
  </sheetViews>
  <sheetFormatPr defaultRowHeight="14.4" x14ac:dyDescent="0.3"/>
  <cols>
    <col min="1" max="1" width="8.88671875" style="7"/>
    <col min="2" max="2" width="73.33203125"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9.5546875" style="38" bestFit="1" customWidth="1"/>
    <col min="15" max="15" width="8.88671875" style="38"/>
    <col min="16" max="16" width="9.5546875" style="38" bestFit="1" customWidth="1"/>
    <col min="18" max="18" width="10.5546875" bestFit="1" customWidth="1"/>
  </cols>
  <sheetData>
    <row r="2" spans="1:12" x14ac:dyDescent="0.3">
      <c r="A2" s="40" t="s">
        <v>1036</v>
      </c>
      <c r="B2" s="40"/>
      <c r="C2" s="40"/>
      <c r="D2" s="40"/>
      <c r="E2" s="40"/>
      <c r="F2" s="40"/>
      <c r="G2" s="40"/>
      <c r="H2" s="40"/>
      <c r="I2" s="40"/>
      <c r="J2" s="40"/>
      <c r="K2" s="40"/>
      <c r="L2" s="40"/>
    </row>
    <row r="3" spans="1:12" x14ac:dyDescent="0.3">
      <c r="A3" s="40" t="s">
        <v>1037</v>
      </c>
      <c r="B3" s="40"/>
      <c r="C3" s="40"/>
      <c r="D3" s="40"/>
      <c r="E3" s="40"/>
      <c r="F3" s="40"/>
      <c r="G3" s="40"/>
      <c r="H3" s="40"/>
      <c r="I3" s="40"/>
      <c r="J3" s="40"/>
      <c r="K3" s="40"/>
      <c r="L3" s="40"/>
    </row>
    <row r="4" spans="1:12" x14ac:dyDescent="0.3">
      <c r="A4" s="36" t="s">
        <v>1046</v>
      </c>
      <c r="K4" s="33" t="s">
        <v>1038</v>
      </c>
      <c r="L4" s="34" t="str">
        <f>'2000 მ²'!L4</f>
        <v>001</v>
      </c>
    </row>
    <row r="5" spans="1:12" x14ac:dyDescent="0.3">
      <c r="A5" s="36" t="s">
        <v>1044</v>
      </c>
      <c r="K5" s="33" t="s">
        <v>1040</v>
      </c>
      <c r="L5" s="35">
        <f>'2000 მ²'!L5</f>
        <v>45887</v>
      </c>
    </row>
    <row r="6" spans="1:12" ht="28.8" customHeight="1" x14ac:dyDescent="0.3">
      <c r="A6" s="43" t="s">
        <v>0</v>
      </c>
      <c r="B6" s="43" t="s">
        <v>1</v>
      </c>
      <c r="C6" s="43" t="s">
        <v>2</v>
      </c>
      <c r="D6" s="45" t="s">
        <v>9</v>
      </c>
      <c r="E6" s="45" t="s">
        <v>3</v>
      </c>
      <c r="F6" s="41" t="s">
        <v>4</v>
      </c>
      <c r="G6" s="42"/>
      <c r="H6" s="41" t="s">
        <v>5</v>
      </c>
      <c r="I6" s="42"/>
      <c r="J6" s="41" t="s">
        <v>6</v>
      </c>
      <c r="K6" s="42"/>
      <c r="L6" s="43" t="s">
        <v>7</v>
      </c>
    </row>
    <row r="7" spans="1:12" ht="23.4" customHeight="1" x14ac:dyDescent="0.3">
      <c r="A7" s="44"/>
      <c r="B7" s="44"/>
      <c r="C7" s="44"/>
      <c r="D7" s="46"/>
      <c r="E7" s="46"/>
      <c r="F7" s="3" t="s">
        <v>8</v>
      </c>
      <c r="G7" s="3" t="s">
        <v>7</v>
      </c>
      <c r="H7" s="3" t="s">
        <v>8</v>
      </c>
      <c r="I7" s="3" t="s">
        <v>7</v>
      </c>
      <c r="J7" s="3" t="s">
        <v>8</v>
      </c>
      <c r="K7" s="3" t="s">
        <v>7</v>
      </c>
      <c r="L7" s="44"/>
    </row>
    <row r="8" spans="1:12" x14ac:dyDescent="0.3">
      <c r="A8" s="3">
        <v>1</v>
      </c>
      <c r="B8" s="3">
        <v>2</v>
      </c>
      <c r="C8" s="3">
        <v>3</v>
      </c>
      <c r="D8" s="3">
        <v>4</v>
      </c>
      <c r="E8" s="3">
        <v>5</v>
      </c>
      <c r="F8" s="3">
        <v>6</v>
      </c>
      <c r="G8" s="3">
        <v>7</v>
      </c>
      <c r="H8" s="3">
        <v>8</v>
      </c>
      <c r="I8" s="3">
        <v>9</v>
      </c>
      <c r="J8" s="3">
        <v>10</v>
      </c>
      <c r="K8" s="3">
        <v>11</v>
      </c>
      <c r="L8" s="3">
        <v>12</v>
      </c>
    </row>
    <row r="9" spans="1:12" x14ac:dyDescent="0.3">
      <c r="A9" s="11"/>
      <c r="B9" s="11" t="s">
        <v>26</v>
      </c>
      <c r="C9" s="4"/>
      <c r="D9" s="12"/>
      <c r="E9" s="12"/>
      <c r="F9" s="13"/>
      <c r="G9" s="13"/>
      <c r="H9" s="13"/>
      <c r="I9" s="13"/>
      <c r="J9" s="13"/>
      <c r="K9" s="13"/>
      <c r="L9" s="13"/>
    </row>
    <row r="10" spans="1:12" x14ac:dyDescent="0.3">
      <c r="A10" s="2">
        <v>1</v>
      </c>
      <c r="B10" s="14" t="s">
        <v>239</v>
      </c>
      <c r="C10" s="2" t="s">
        <v>18</v>
      </c>
      <c r="D10" s="15"/>
      <c r="E10" s="15">
        <f>30*15*0.6</f>
        <v>270</v>
      </c>
      <c r="F10" s="10"/>
      <c r="G10" s="10">
        <f t="shared" ref="G10:G66" si="0">F10*E10</f>
        <v>0</v>
      </c>
      <c r="H10" s="10"/>
      <c r="I10" s="10">
        <f t="shared" ref="I10:I66" si="1">H10*E10</f>
        <v>0</v>
      </c>
      <c r="J10" s="10"/>
      <c r="K10" s="10">
        <f t="shared" ref="K10:K66" si="2">J10*E10</f>
        <v>0</v>
      </c>
      <c r="L10" s="10">
        <f t="shared" ref="L10:L66" si="3">K10+I10+G10</f>
        <v>0</v>
      </c>
    </row>
    <row r="11" spans="1:12" x14ac:dyDescent="0.3">
      <c r="A11" s="2">
        <f>A10+1</f>
        <v>2</v>
      </c>
      <c r="B11" s="14" t="s">
        <v>240</v>
      </c>
      <c r="C11" s="2" t="s">
        <v>18</v>
      </c>
      <c r="D11" s="15"/>
      <c r="E11" s="15">
        <f>400*1.9</f>
        <v>760</v>
      </c>
      <c r="F11" s="10"/>
      <c r="G11" s="10">
        <f t="shared" si="0"/>
        <v>0</v>
      </c>
      <c r="H11" s="10"/>
      <c r="I11" s="10">
        <f t="shared" si="1"/>
        <v>0</v>
      </c>
      <c r="J11" s="10"/>
      <c r="K11" s="10">
        <f t="shared" si="2"/>
        <v>0</v>
      </c>
      <c r="L11" s="10">
        <f t="shared" si="3"/>
        <v>0</v>
      </c>
    </row>
    <row r="12" spans="1:12" x14ac:dyDescent="0.3">
      <c r="A12" s="2"/>
      <c r="B12" s="17" t="s">
        <v>241</v>
      </c>
      <c r="C12" s="18" t="s">
        <v>30</v>
      </c>
      <c r="D12" s="27">
        <v>1.5E-3</v>
      </c>
      <c r="E12" s="19">
        <f>D12*E$11</f>
        <v>1.1400000000000001</v>
      </c>
      <c r="F12" s="10"/>
      <c r="G12" s="10">
        <f t="shared" si="0"/>
        <v>0</v>
      </c>
      <c r="H12" s="10"/>
      <c r="I12" s="10">
        <f t="shared" si="1"/>
        <v>0</v>
      </c>
      <c r="J12" s="10"/>
      <c r="K12" s="10">
        <f t="shared" si="2"/>
        <v>0</v>
      </c>
      <c r="L12" s="10">
        <f t="shared" si="3"/>
        <v>0</v>
      </c>
    </row>
    <row r="13" spans="1:12" x14ac:dyDescent="0.3">
      <c r="A13" s="2"/>
      <c r="B13" s="17" t="s">
        <v>31</v>
      </c>
      <c r="C13" s="18" t="s">
        <v>30</v>
      </c>
      <c r="D13" s="27">
        <f>D12*2</f>
        <v>3.0000000000000001E-3</v>
      </c>
      <c r="E13" s="19">
        <f>D13*E$11</f>
        <v>2.2800000000000002</v>
      </c>
      <c r="F13" s="10"/>
      <c r="G13" s="10">
        <f t="shared" si="0"/>
        <v>0</v>
      </c>
      <c r="H13" s="10"/>
      <c r="I13" s="10">
        <f t="shared" si="1"/>
        <v>0</v>
      </c>
      <c r="J13" s="10"/>
      <c r="K13" s="10">
        <f t="shared" si="2"/>
        <v>0</v>
      </c>
      <c r="L13" s="10">
        <f t="shared" si="3"/>
        <v>0</v>
      </c>
    </row>
    <row r="14" spans="1:12" x14ac:dyDescent="0.3">
      <c r="A14" s="2">
        <f>A11+1</f>
        <v>3</v>
      </c>
      <c r="B14" s="14" t="s">
        <v>242</v>
      </c>
      <c r="C14" s="2" t="s">
        <v>16</v>
      </c>
      <c r="D14" s="15"/>
      <c r="E14" s="15">
        <v>400</v>
      </c>
      <c r="F14" s="10"/>
      <c r="G14" s="10">
        <f t="shared" si="0"/>
        <v>0</v>
      </c>
      <c r="H14" s="10"/>
      <c r="I14" s="10">
        <f t="shared" si="1"/>
        <v>0</v>
      </c>
      <c r="J14" s="10"/>
      <c r="K14" s="10">
        <f t="shared" si="2"/>
        <v>0</v>
      </c>
      <c r="L14" s="10">
        <f t="shared" si="3"/>
        <v>0</v>
      </c>
    </row>
    <row r="15" spans="1:12" x14ac:dyDescent="0.3">
      <c r="A15" s="2"/>
      <c r="B15" s="17" t="s">
        <v>32</v>
      </c>
      <c r="C15" s="18" t="s">
        <v>30</v>
      </c>
      <c r="D15" s="19">
        <v>5.0000000000000001E-3</v>
      </c>
      <c r="E15" s="19">
        <f>D15*E$14</f>
        <v>2</v>
      </c>
      <c r="F15" s="10"/>
      <c r="G15" s="10">
        <f t="shared" si="0"/>
        <v>0</v>
      </c>
      <c r="H15" s="10"/>
      <c r="I15" s="10">
        <f t="shared" si="1"/>
        <v>0</v>
      </c>
      <c r="J15" s="10"/>
      <c r="K15" s="10">
        <f t="shared" si="2"/>
        <v>0</v>
      </c>
      <c r="L15" s="10">
        <f t="shared" si="3"/>
        <v>0</v>
      </c>
    </row>
    <row r="16" spans="1:12" x14ac:dyDescent="0.3">
      <c r="A16" s="2"/>
      <c r="B16" s="17" t="s">
        <v>33</v>
      </c>
      <c r="C16" s="18" t="s">
        <v>30</v>
      </c>
      <c r="D16" s="19">
        <v>5.0000000000000001E-3</v>
      </c>
      <c r="E16" s="19">
        <f>D16*E$14</f>
        <v>2</v>
      </c>
      <c r="F16" s="10"/>
      <c r="G16" s="10">
        <f t="shared" si="0"/>
        <v>0</v>
      </c>
      <c r="H16" s="10"/>
      <c r="I16" s="10">
        <f t="shared" si="1"/>
        <v>0</v>
      </c>
      <c r="J16" s="10"/>
      <c r="K16" s="10">
        <f t="shared" si="2"/>
        <v>0</v>
      </c>
      <c r="L16" s="10">
        <f t="shared" si="3"/>
        <v>0</v>
      </c>
    </row>
    <row r="17" spans="1:12" x14ac:dyDescent="0.3">
      <c r="A17" s="2">
        <f>A14+1</f>
        <v>4</v>
      </c>
      <c r="B17" s="14" t="s">
        <v>243</v>
      </c>
      <c r="C17" s="2" t="s">
        <v>18</v>
      </c>
      <c r="D17" s="15"/>
      <c r="E17" s="15">
        <f>250*0.8</f>
        <v>200</v>
      </c>
      <c r="F17" s="10"/>
      <c r="G17" s="10">
        <f t="shared" si="0"/>
        <v>0</v>
      </c>
      <c r="H17" s="10"/>
      <c r="I17" s="10">
        <f t="shared" si="1"/>
        <v>0</v>
      </c>
      <c r="J17" s="10"/>
      <c r="K17" s="10">
        <f t="shared" si="2"/>
        <v>0</v>
      </c>
      <c r="L17" s="10">
        <f t="shared" si="3"/>
        <v>0</v>
      </c>
    </row>
    <row r="18" spans="1:12" x14ac:dyDescent="0.3">
      <c r="A18" s="2"/>
      <c r="B18" s="17" t="s">
        <v>32</v>
      </c>
      <c r="C18" s="18" t="s">
        <v>30</v>
      </c>
      <c r="D18" s="19">
        <v>0.01</v>
      </c>
      <c r="E18" s="19">
        <f>D18*E$17</f>
        <v>2</v>
      </c>
      <c r="F18" s="10"/>
      <c r="G18" s="10">
        <f t="shared" si="0"/>
        <v>0</v>
      </c>
      <c r="H18" s="10"/>
      <c r="I18" s="10">
        <f t="shared" si="1"/>
        <v>0</v>
      </c>
      <c r="J18" s="10"/>
      <c r="K18" s="10">
        <f t="shared" si="2"/>
        <v>0</v>
      </c>
      <c r="L18" s="10">
        <f t="shared" si="3"/>
        <v>0</v>
      </c>
    </row>
    <row r="19" spans="1:12" x14ac:dyDescent="0.3">
      <c r="A19" s="2"/>
      <c r="B19" s="17" t="s">
        <v>33</v>
      </c>
      <c r="C19" s="18" t="s">
        <v>30</v>
      </c>
      <c r="D19" s="19">
        <v>0.01</v>
      </c>
      <c r="E19" s="19">
        <f>D19*E$17</f>
        <v>2</v>
      </c>
      <c r="F19" s="10"/>
      <c r="G19" s="10">
        <f t="shared" si="0"/>
        <v>0</v>
      </c>
      <c r="H19" s="10"/>
      <c r="I19" s="10">
        <f t="shared" si="1"/>
        <v>0</v>
      </c>
      <c r="J19" s="10"/>
      <c r="K19" s="10">
        <f t="shared" si="2"/>
        <v>0</v>
      </c>
      <c r="L19" s="10">
        <f t="shared" si="3"/>
        <v>0</v>
      </c>
    </row>
    <row r="20" spans="1:12" x14ac:dyDescent="0.3">
      <c r="A20" s="2">
        <f>A17+1</f>
        <v>5</v>
      </c>
      <c r="B20" s="14" t="s">
        <v>244</v>
      </c>
      <c r="C20" s="2" t="s">
        <v>16</v>
      </c>
      <c r="D20" s="15"/>
      <c r="E20" s="15">
        <v>185</v>
      </c>
      <c r="F20" s="10"/>
      <c r="G20" s="10">
        <f t="shared" si="0"/>
        <v>0</v>
      </c>
      <c r="H20" s="10"/>
      <c r="I20" s="10">
        <f t="shared" si="1"/>
        <v>0</v>
      </c>
      <c r="J20" s="10"/>
      <c r="K20" s="10">
        <f t="shared" si="2"/>
        <v>0</v>
      </c>
      <c r="L20" s="10">
        <f t="shared" si="3"/>
        <v>0</v>
      </c>
    </row>
    <row r="21" spans="1:12" x14ac:dyDescent="0.3">
      <c r="A21" s="2"/>
      <c r="B21" s="17" t="s">
        <v>13</v>
      </c>
      <c r="C21" s="18" t="s">
        <v>16</v>
      </c>
      <c r="D21" s="19">
        <v>1</v>
      </c>
      <c r="E21" s="19">
        <f>D21*E$20</f>
        <v>185</v>
      </c>
      <c r="F21" s="10"/>
      <c r="G21" s="10">
        <f t="shared" si="0"/>
        <v>0</v>
      </c>
      <c r="H21" s="10"/>
      <c r="I21" s="10">
        <f t="shared" si="1"/>
        <v>0</v>
      </c>
      <c r="J21" s="10"/>
      <c r="K21" s="10">
        <f t="shared" si="2"/>
        <v>0</v>
      </c>
      <c r="L21" s="10">
        <f t="shared" si="3"/>
        <v>0</v>
      </c>
    </row>
    <row r="22" spans="1:12" x14ac:dyDescent="0.3">
      <c r="A22" s="2"/>
      <c r="B22" s="17" t="s">
        <v>36</v>
      </c>
      <c r="C22" s="18" t="s">
        <v>18</v>
      </c>
      <c r="D22" s="19">
        <f>0.1*1.02</f>
        <v>0.10200000000000001</v>
      </c>
      <c r="E22" s="19">
        <f>D22*E$20</f>
        <v>18.87</v>
      </c>
      <c r="F22" s="10"/>
      <c r="G22" s="10">
        <f t="shared" si="0"/>
        <v>0</v>
      </c>
      <c r="H22" s="10"/>
      <c r="I22" s="10">
        <f t="shared" si="1"/>
        <v>0</v>
      </c>
      <c r="J22" s="10"/>
      <c r="K22" s="10">
        <f t="shared" si="2"/>
        <v>0</v>
      </c>
      <c r="L22" s="10">
        <f t="shared" si="3"/>
        <v>0</v>
      </c>
    </row>
    <row r="23" spans="1:12" x14ac:dyDescent="0.3">
      <c r="A23" s="2"/>
      <c r="B23" s="17" t="s">
        <v>19</v>
      </c>
      <c r="C23" s="18" t="s">
        <v>16</v>
      </c>
      <c r="D23" s="19">
        <v>1</v>
      </c>
      <c r="E23" s="19">
        <f>D23*E$20</f>
        <v>185</v>
      </c>
      <c r="F23" s="10"/>
      <c r="G23" s="10">
        <f t="shared" si="0"/>
        <v>0</v>
      </c>
      <c r="H23" s="10"/>
      <c r="I23" s="10">
        <f t="shared" si="1"/>
        <v>0</v>
      </c>
      <c r="J23" s="10"/>
      <c r="K23" s="10">
        <f t="shared" si="2"/>
        <v>0</v>
      </c>
      <c r="L23" s="10">
        <f t="shared" si="3"/>
        <v>0</v>
      </c>
    </row>
    <row r="24" spans="1:12" x14ac:dyDescent="0.3">
      <c r="A24" s="2">
        <f>A20+1</f>
        <v>6</v>
      </c>
      <c r="B24" s="14" t="s">
        <v>245</v>
      </c>
      <c r="C24" s="2" t="s">
        <v>18</v>
      </c>
      <c r="D24" s="15"/>
      <c r="E24" s="15">
        <f>3*25.6*1.6*0.5+13.8*2*1.6*0.5+13.8*3*0.5*0.4</f>
        <v>91.800000000000011</v>
      </c>
      <c r="F24" s="10"/>
      <c r="G24" s="10">
        <f t="shared" si="0"/>
        <v>0</v>
      </c>
      <c r="H24" s="10"/>
      <c r="I24" s="10">
        <f t="shared" si="1"/>
        <v>0</v>
      </c>
      <c r="J24" s="10"/>
      <c r="K24" s="10">
        <f t="shared" si="2"/>
        <v>0</v>
      </c>
      <c r="L24" s="10">
        <f t="shared" si="3"/>
        <v>0</v>
      </c>
    </row>
    <row r="25" spans="1:12" x14ac:dyDescent="0.3">
      <c r="A25" s="2"/>
      <c r="B25" s="17" t="s">
        <v>13</v>
      </c>
      <c r="C25" s="18" t="s">
        <v>18</v>
      </c>
      <c r="D25" s="19">
        <v>1</v>
      </c>
      <c r="E25" s="19">
        <f>D25*E$24</f>
        <v>91.800000000000011</v>
      </c>
      <c r="F25" s="10"/>
      <c r="G25" s="10">
        <f t="shared" si="0"/>
        <v>0</v>
      </c>
      <c r="H25" s="10"/>
      <c r="I25" s="10">
        <f t="shared" si="1"/>
        <v>0</v>
      </c>
      <c r="J25" s="10"/>
      <c r="K25" s="10">
        <f t="shared" si="2"/>
        <v>0</v>
      </c>
      <c r="L25" s="10">
        <f t="shared" si="3"/>
        <v>0</v>
      </c>
    </row>
    <row r="26" spans="1:12" x14ac:dyDescent="0.3">
      <c r="A26" s="2"/>
      <c r="B26" s="17" t="s">
        <v>37</v>
      </c>
      <c r="C26" s="18" t="s">
        <v>18</v>
      </c>
      <c r="D26" s="19">
        <v>1.02</v>
      </c>
      <c r="E26" s="19">
        <f>D26*E$24</f>
        <v>93.63600000000001</v>
      </c>
      <c r="F26" s="10"/>
      <c r="G26" s="10">
        <f t="shared" si="0"/>
        <v>0</v>
      </c>
      <c r="H26" s="10"/>
      <c r="I26" s="10">
        <f t="shared" si="1"/>
        <v>0</v>
      </c>
      <c r="J26" s="10"/>
      <c r="K26" s="10">
        <f t="shared" si="2"/>
        <v>0</v>
      </c>
      <c r="L26" s="10">
        <f t="shared" si="3"/>
        <v>0</v>
      </c>
    </row>
    <row r="27" spans="1:12" x14ac:dyDescent="0.3">
      <c r="A27" s="2"/>
      <c r="B27" s="17" t="s">
        <v>39</v>
      </c>
      <c r="C27" s="18" t="s">
        <v>38</v>
      </c>
      <c r="D27" s="19">
        <v>1.05</v>
      </c>
      <c r="E27" s="19">
        <f>(369.6+110.7+279.1+923+4153+553.7)/1000*1.05</f>
        <v>6.7085549999999996</v>
      </c>
      <c r="F27" s="10"/>
      <c r="G27" s="10">
        <f t="shared" si="0"/>
        <v>0</v>
      </c>
      <c r="H27" s="10"/>
      <c r="I27" s="10">
        <f t="shared" si="1"/>
        <v>0</v>
      </c>
      <c r="J27" s="10"/>
      <c r="K27" s="10">
        <f t="shared" si="2"/>
        <v>0</v>
      </c>
      <c r="L27" s="10">
        <f t="shared" si="3"/>
        <v>0</v>
      </c>
    </row>
    <row r="28" spans="1:12" x14ac:dyDescent="0.3">
      <c r="A28" s="2"/>
      <c r="B28" s="17" t="s">
        <v>40</v>
      </c>
      <c r="C28" s="18" t="s">
        <v>38</v>
      </c>
      <c r="D28" s="19">
        <v>1.05</v>
      </c>
      <c r="E28" s="19">
        <f>(251.4+270.1)/1000*1.05</f>
        <v>0.54757500000000003</v>
      </c>
      <c r="F28" s="10"/>
      <c r="G28" s="10">
        <f t="shared" si="0"/>
        <v>0</v>
      </c>
      <c r="H28" s="10"/>
      <c r="I28" s="10">
        <f t="shared" si="1"/>
        <v>0</v>
      </c>
      <c r="J28" s="10"/>
      <c r="K28" s="10">
        <f t="shared" si="2"/>
        <v>0</v>
      </c>
      <c r="L28" s="10">
        <f t="shared" si="3"/>
        <v>0</v>
      </c>
    </row>
    <row r="29" spans="1:12" x14ac:dyDescent="0.3">
      <c r="A29" s="2"/>
      <c r="B29" s="17" t="s">
        <v>41</v>
      </c>
      <c r="C29" s="18" t="s">
        <v>16</v>
      </c>
      <c r="D29" s="19">
        <f>70.3/100</f>
        <v>0.70299999999999996</v>
      </c>
      <c r="E29" s="19">
        <f t="shared" ref="E29:E34" si="4">D29*E$26</f>
        <v>65.826108000000005</v>
      </c>
      <c r="F29" s="10"/>
      <c r="G29" s="10">
        <f t="shared" si="0"/>
        <v>0</v>
      </c>
      <c r="H29" s="10"/>
      <c r="I29" s="10">
        <f t="shared" si="1"/>
        <v>0</v>
      </c>
      <c r="J29" s="10"/>
      <c r="K29" s="10">
        <f t="shared" si="2"/>
        <v>0</v>
      </c>
      <c r="L29" s="10">
        <f t="shared" si="3"/>
        <v>0</v>
      </c>
    </row>
    <row r="30" spans="1:12" x14ac:dyDescent="0.3">
      <c r="A30" s="2"/>
      <c r="B30" s="17" t="s">
        <v>42</v>
      </c>
      <c r="C30" s="18" t="s">
        <v>18</v>
      </c>
      <c r="D30" s="19">
        <f>1.14/100</f>
        <v>1.1399999999999999E-2</v>
      </c>
      <c r="E30" s="19">
        <f t="shared" si="4"/>
        <v>1.0674504</v>
      </c>
      <c r="F30" s="10"/>
      <c r="G30" s="10">
        <f t="shared" si="0"/>
        <v>0</v>
      </c>
      <c r="H30" s="10"/>
      <c r="I30" s="10">
        <f t="shared" si="1"/>
        <v>0</v>
      </c>
      <c r="J30" s="10"/>
      <c r="K30" s="10">
        <f t="shared" si="2"/>
        <v>0</v>
      </c>
      <c r="L30" s="10">
        <f t="shared" si="3"/>
        <v>0</v>
      </c>
    </row>
    <row r="31" spans="1:12" x14ac:dyDescent="0.3">
      <c r="A31" s="2"/>
      <c r="B31" s="17" t="s">
        <v>43</v>
      </c>
      <c r="C31" s="18" t="s">
        <v>47</v>
      </c>
      <c r="D31" s="19">
        <v>0.40600000000000003</v>
      </c>
      <c r="E31" s="19">
        <f t="shared" si="4"/>
        <v>38.016216000000007</v>
      </c>
      <c r="F31" s="10"/>
      <c r="G31" s="10">
        <f t="shared" si="0"/>
        <v>0</v>
      </c>
      <c r="H31" s="10"/>
      <c r="I31" s="10">
        <f t="shared" si="1"/>
        <v>0</v>
      </c>
      <c r="J31" s="10"/>
      <c r="K31" s="10">
        <f t="shared" si="2"/>
        <v>0</v>
      </c>
      <c r="L31" s="10">
        <f t="shared" si="3"/>
        <v>0</v>
      </c>
    </row>
    <row r="32" spans="1:12" x14ac:dyDescent="0.3">
      <c r="A32" s="2"/>
      <c r="B32" s="17" t="s">
        <v>44</v>
      </c>
      <c r="C32" s="18" t="s">
        <v>47</v>
      </c>
      <c r="D32" s="19">
        <v>0.38</v>
      </c>
      <c r="E32" s="19">
        <f t="shared" si="4"/>
        <v>35.581680000000006</v>
      </c>
      <c r="F32" s="10"/>
      <c r="G32" s="10">
        <f t="shared" si="0"/>
        <v>0</v>
      </c>
      <c r="H32" s="10"/>
      <c r="I32" s="10">
        <f t="shared" si="1"/>
        <v>0</v>
      </c>
      <c r="J32" s="10"/>
      <c r="K32" s="10">
        <f t="shared" si="2"/>
        <v>0</v>
      </c>
      <c r="L32" s="10">
        <f t="shared" si="3"/>
        <v>0</v>
      </c>
    </row>
    <row r="33" spans="1:12" x14ac:dyDescent="0.3">
      <c r="A33" s="2"/>
      <c r="B33" s="17" t="s">
        <v>19</v>
      </c>
      <c r="C33" s="18" t="s">
        <v>18</v>
      </c>
      <c r="D33" s="19">
        <f>60/100</f>
        <v>0.6</v>
      </c>
      <c r="E33" s="19">
        <f t="shared" si="4"/>
        <v>56.181600000000003</v>
      </c>
      <c r="F33" s="10"/>
      <c r="G33" s="10">
        <f t="shared" si="0"/>
        <v>0</v>
      </c>
      <c r="H33" s="10"/>
      <c r="I33" s="10">
        <f t="shared" si="1"/>
        <v>0</v>
      </c>
      <c r="J33" s="10"/>
      <c r="K33" s="10">
        <f t="shared" si="2"/>
        <v>0</v>
      </c>
      <c r="L33" s="10">
        <f t="shared" si="3"/>
        <v>0</v>
      </c>
    </row>
    <row r="34" spans="1:12" x14ac:dyDescent="0.3">
      <c r="A34" s="2"/>
      <c r="B34" s="17" t="s">
        <v>45</v>
      </c>
      <c r="C34" s="18" t="s">
        <v>18</v>
      </c>
      <c r="D34" s="19">
        <f>92/100</f>
        <v>0.92</v>
      </c>
      <c r="E34" s="19">
        <f t="shared" si="4"/>
        <v>86.14512000000002</v>
      </c>
      <c r="F34" s="10"/>
      <c r="G34" s="10">
        <f t="shared" si="0"/>
        <v>0</v>
      </c>
      <c r="H34" s="10"/>
      <c r="I34" s="10">
        <f t="shared" si="1"/>
        <v>0</v>
      </c>
      <c r="J34" s="10"/>
      <c r="K34" s="10">
        <f t="shared" si="2"/>
        <v>0</v>
      </c>
      <c r="L34" s="10">
        <f t="shared" si="3"/>
        <v>0</v>
      </c>
    </row>
    <row r="35" spans="1:12" x14ac:dyDescent="0.3">
      <c r="A35" s="2"/>
      <c r="B35" s="17" t="s">
        <v>46</v>
      </c>
      <c r="C35" s="18" t="s">
        <v>18</v>
      </c>
      <c r="D35" s="19">
        <v>1.02</v>
      </c>
      <c r="E35" s="19">
        <f>D35*E$24</f>
        <v>93.63600000000001</v>
      </c>
      <c r="F35" s="10"/>
      <c r="G35" s="10">
        <f t="shared" si="0"/>
        <v>0</v>
      </c>
      <c r="H35" s="10"/>
      <c r="I35" s="10">
        <f t="shared" si="1"/>
        <v>0</v>
      </c>
      <c r="J35" s="10"/>
      <c r="K35" s="10">
        <f t="shared" si="2"/>
        <v>0</v>
      </c>
      <c r="L35" s="10">
        <f t="shared" si="3"/>
        <v>0</v>
      </c>
    </row>
    <row r="36" spans="1:12" ht="28.8" x14ac:dyDescent="0.3">
      <c r="A36" s="2">
        <f>A24+1</f>
        <v>7</v>
      </c>
      <c r="B36" s="14" t="s">
        <v>246</v>
      </c>
      <c r="C36" s="2" t="s">
        <v>16</v>
      </c>
      <c r="D36" s="15"/>
      <c r="E36" s="15">
        <f>75.3*1.6+75.3*1+27.6*1.6+27.6*1+41.4*0.4+41.4*1</f>
        <v>325.5</v>
      </c>
      <c r="F36" s="10"/>
      <c r="G36" s="10">
        <f t="shared" si="0"/>
        <v>0</v>
      </c>
      <c r="H36" s="10"/>
      <c r="I36" s="10">
        <f t="shared" si="1"/>
        <v>0</v>
      </c>
      <c r="J36" s="10"/>
      <c r="K36" s="10">
        <f t="shared" si="2"/>
        <v>0</v>
      </c>
      <c r="L36" s="10">
        <f t="shared" si="3"/>
        <v>0</v>
      </c>
    </row>
    <row r="37" spans="1:12" x14ac:dyDescent="0.3">
      <c r="A37" s="2"/>
      <c r="B37" s="17" t="s">
        <v>13</v>
      </c>
      <c r="C37" s="18" t="s">
        <v>16</v>
      </c>
      <c r="D37" s="19">
        <v>1</v>
      </c>
      <c r="E37" s="19">
        <f>D37*E$36</f>
        <v>325.5</v>
      </c>
      <c r="F37" s="10"/>
      <c r="G37" s="10">
        <f t="shared" si="0"/>
        <v>0</v>
      </c>
      <c r="H37" s="10"/>
      <c r="I37" s="10">
        <f t="shared" si="1"/>
        <v>0</v>
      </c>
      <c r="J37" s="10"/>
      <c r="K37" s="10">
        <f t="shared" si="2"/>
        <v>0</v>
      </c>
      <c r="L37" s="10">
        <f t="shared" si="3"/>
        <v>0</v>
      </c>
    </row>
    <row r="38" spans="1:12" x14ac:dyDescent="0.3">
      <c r="A38" s="2"/>
      <c r="B38" s="17" t="s">
        <v>51</v>
      </c>
      <c r="C38" s="18" t="s">
        <v>16</v>
      </c>
      <c r="D38" s="19">
        <v>1</v>
      </c>
      <c r="E38" s="19">
        <f>D38*E$36</f>
        <v>325.5</v>
      </c>
      <c r="F38" s="10"/>
      <c r="G38" s="10">
        <f t="shared" si="0"/>
        <v>0</v>
      </c>
      <c r="H38" s="10"/>
      <c r="I38" s="10">
        <f t="shared" si="1"/>
        <v>0</v>
      </c>
      <c r="J38" s="10"/>
      <c r="K38" s="10">
        <f t="shared" si="2"/>
        <v>0</v>
      </c>
      <c r="L38" s="10">
        <f t="shared" si="3"/>
        <v>0</v>
      </c>
    </row>
    <row r="39" spans="1:12" x14ac:dyDescent="0.3">
      <c r="A39" s="2">
        <f>A36+1</f>
        <v>8</v>
      </c>
      <c r="B39" s="14" t="s">
        <v>53</v>
      </c>
      <c r="C39" s="2" t="s">
        <v>38</v>
      </c>
      <c r="D39" s="15"/>
      <c r="E39" s="15">
        <f>SUM(E40:E41)</f>
        <v>2.1741299999999999</v>
      </c>
      <c r="F39" s="10"/>
      <c r="G39" s="10">
        <f t="shared" si="0"/>
        <v>0</v>
      </c>
      <c r="H39" s="10"/>
      <c r="I39" s="10">
        <f t="shared" si="1"/>
        <v>0</v>
      </c>
      <c r="J39" s="10"/>
      <c r="K39" s="10">
        <f t="shared" si="2"/>
        <v>0</v>
      </c>
      <c r="L39" s="10">
        <f t="shared" si="3"/>
        <v>0</v>
      </c>
    </row>
    <row r="40" spans="1:12" x14ac:dyDescent="0.3">
      <c r="A40" s="2"/>
      <c r="B40" s="17" t="s">
        <v>39</v>
      </c>
      <c r="C40" s="18" t="s">
        <v>38</v>
      </c>
      <c r="D40" s="19">
        <v>1.05</v>
      </c>
      <c r="E40" s="19">
        <f>(983.4+13.6+965.5)/1000*1.05</f>
        <v>2.0606249999999999</v>
      </c>
      <c r="F40" s="10"/>
      <c r="G40" s="10">
        <f t="shared" si="0"/>
        <v>0</v>
      </c>
      <c r="H40" s="10"/>
      <c r="I40" s="10">
        <f t="shared" si="1"/>
        <v>0</v>
      </c>
      <c r="J40" s="10"/>
      <c r="K40" s="10">
        <f t="shared" si="2"/>
        <v>0</v>
      </c>
      <c r="L40" s="10">
        <f t="shared" si="3"/>
        <v>0</v>
      </c>
    </row>
    <row r="41" spans="1:12" x14ac:dyDescent="0.3">
      <c r="A41" s="2"/>
      <c r="B41" s="17" t="s">
        <v>40</v>
      </c>
      <c r="C41" s="18" t="s">
        <v>38</v>
      </c>
      <c r="D41" s="19">
        <v>1.05</v>
      </c>
      <c r="E41" s="19">
        <f>108.1/1000*1.05</f>
        <v>0.11350499999999999</v>
      </c>
      <c r="F41" s="10"/>
      <c r="G41" s="10">
        <f t="shared" si="0"/>
        <v>0</v>
      </c>
      <c r="H41" s="10"/>
      <c r="I41" s="10">
        <f t="shared" si="1"/>
        <v>0</v>
      </c>
      <c r="J41" s="10"/>
      <c r="K41" s="10">
        <f t="shared" si="2"/>
        <v>0</v>
      </c>
      <c r="L41" s="10">
        <f t="shared" si="3"/>
        <v>0</v>
      </c>
    </row>
    <row r="42" spans="1:12" x14ac:dyDescent="0.3">
      <c r="A42" s="2">
        <f>A39+1</f>
        <v>9</v>
      </c>
      <c r="B42" s="14" t="s">
        <v>247</v>
      </c>
      <c r="C42" s="2" t="s">
        <v>16</v>
      </c>
      <c r="D42" s="15"/>
      <c r="E42" s="15">
        <f>(25.1+25.1+13.8+13.8)*1.9</f>
        <v>147.82</v>
      </c>
      <c r="F42" s="10"/>
      <c r="G42" s="10">
        <f t="shared" si="0"/>
        <v>0</v>
      </c>
      <c r="H42" s="10"/>
      <c r="I42" s="10">
        <f t="shared" si="1"/>
        <v>0</v>
      </c>
      <c r="J42" s="10"/>
      <c r="K42" s="10">
        <f t="shared" si="2"/>
        <v>0</v>
      </c>
      <c r="L42" s="10">
        <f t="shared" si="3"/>
        <v>0</v>
      </c>
    </row>
    <row r="43" spans="1:12" x14ac:dyDescent="0.3">
      <c r="A43" s="2"/>
      <c r="B43" s="17" t="s">
        <v>13</v>
      </c>
      <c r="C43" s="18" t="s">
        <v>16</v>
      </c>
      <c r="D43" s="19">
        <v>1</v>
      </c>
      <c r="E43" s="19">
        <f>D43*E42</f>
        <v>147.82</v>
      </c>
      <c r="F43" s="10"/>
      <c r="G43" s="10">
        <f t="shared" si="0"/>
        <v>0</v>
      </c>
      <c r="H43" s="10"/>
      <c r="I43" s="10">
        <f t="shared" si="1"/>
        <v>0</v>
      </c>
      <c r="J43" s="10"/>
      <c r="K43" s="10">
        <f t="shared" si="2"/>
        <v>0</v>
      </c>
      <c r="L43" s="10">
        <f t="shared" si="3"/>
        <v>0</v>
      </c>
    </row>
    <row r="44" spans="1:12" x14ac:dyDescent="0.3">
      <c r="A44" s="2"/>
      <c r="B44" s="17" t="s">
        <v>37</v>
      </c>
      <c r="C44" s="18" t="s">
        <v>18</v>
      </c>
      <c r="D44" s="19">
        <f>0.4*1.02</f>
        <v>0.40800000000000003</v>
      </c>
      <c r="E44" s="19">
        <f>D44*E42</f>
        <v>60.310560000000002</v>
      </c>
      <c r="F44" s="10"/>
      <c r="G44" s="10">
        <f t="shared" si="0"/>
        <v>0</v>
      </c>
      <c r="H44" s="10"/>
      <c r="I44" s="10">
        <f t="shared" si="1"/>
        <v>0</v>
      </c>
      <c r="J44" s="10"/>
      <c r="K44" s="10">
        <f t="shared" si="2"/>
        <v>0</v>
      </c>
      <c r="L44" s="10">
        <f t="shared" si="3"/>
        <v>0</v>
      </c>
    </row>
    <row r="45" spans="1:12" x14ac:dyDescent="0.3">
      <c r="A45" s="2"/>
      <c r="B45" s="17" t="s">
        <v>39</v>
      </c>
      <c r="C45" s="18" t="s">
        <v>38</v>
      </c>
      <c r="D45" s="19">
        <v>1.05</v>
      </c>
      <c r="E45" s="19">
        <f>(1860+2221.5)/1000*1.05</f>
        <v>4.2855750000000006</v>
      </c>
      <c r="F45" s="10"/>
      <c r="G45" s="10">
        <f t="shared" si="0"/>
        <v>0</v>
      </c>
      <c r="H45" s="10"/>
      <c r="I45" s="10">
        <f t="shared" si="1"/>
        <v>0</v>
      </c>
      <c r="J45" s="10"/>
      <c r="K45" s="10">
        <f t="shared" si="2"/>
        <v>0</v>
      </c>
      <c r="L45" s="10">
        <f t="shared" si="3"/>
        <v>0</v>
      </c>
    </row>
    <row r="46" spans="1:12" x14ac:dyDescent="0.3">
      <c r="A46" s="2"/>
      <c r="B46" s="17" t="s">
        <v>40</v>
      </c>
      <c r="C46" s="18" t="s">
        <v>38</v>
      </c>
      <c r="D46" s="19">
        <v>1.05</v>
      </c>
      <c r="E46" s="19">
        <f>(70.6)/1000*1.05</f>
        <v>7.4130000000000001E-2</v>
      </c>
      <c r="F46" s="10"/>
      <c r="G46" s="10">
        <f t="shared" si="0"/>
        <v>0</v>
      </c>
      <c r="H46" s="10"/>
      <c r="I46" s="10">
        <f t="shared" si="1"/>
        <v>0</v>
      </c>
      <c r="J46" s="10"/>
      <c r="K46" s="10">
        <f t="shared" si="2"/>
        <v>0</v>
      </c>
      <c r="L46" s="10">
        <f t="shared" si="3"/>
        <v>0</v>
      </c>
    </row>
    <row r="47" spans="1:12" x14ac:dyDescent="0.3">
      <c r="A47" s="2"/>
      <c r="B47" s="17" t="s">
        <v>41</v>
      </c>
      <c r="C47" s="18" t="s">
        <v>16</v>
      </c>
      <c r="D47" s="19">
        <f>176/100</f>
        <v>1.76</v>
      </c>
      <c r="E47" s="19">
        <f t="shared" ref="E47:E52" si="5">D47*E$44</f>
        <v>106.14658560000001</v>
      </c>
      <c r="F47" s="10"/>
      <c r="G47" s="10">
        <f t="shared" si="0"/>
        <v>0</v>
      </c>
      <c r="H47" s="10"/>
      <c r="I47" s="10">
        <f t="shared" si="1"/>
        <v>0</v>
      </c>
      <c r="J47" s="10"/>
      <c r="K47" s="10">
        <f t="shared" si="2"/>
        <v>0</v>
      </c>
      <c r="L47" s="10">
        <f t="shared" si="3"/>
        <v>0</v>
      </c>
    </row>
    <row r="48" spans="1:12" x14ac:dyDescent="0.3">
      <c r="A48" s="2"/>
      <c r="B48" s="17" t="s">
        <v>42</v>
      </c>
      <c r="C48" s="18" t="s">
        <v>18</v>
      </c>
      <c r="D48" s="19">
        <f>(0.33+3.66)/100</f>
        <v>3.9900000000000005E-2</v>
      </c>
      <c r="E48" s="19">
        <f t="shared" si="5"/>
        <v>2.4063913440000002</v>
      </c>
      <c r="F48" s="10"/>
      <c r="G48" s="10">
        <f t="shared" si="0"/>
        <v>0</v>
      </c>
      <c r="H48" s="10"/>
      <c r="I48" s="10">
        <f t="shared" si="1"/>
        <v>0</v>
      </c>
      <c r="J48" s="10"/>
      <c r="K48" s="10">
        <f t="shared" si="2"/>
        <v>0</v>
      </c>
      <c r="L48" s="10">
        <f t="shared" si="3"/>
        <v>0</v>
      </c>
    </row>
    <row r="49" spans="1:12" x14ac:dyDescent="0.3">
      <c r="A49" s="2"/>
      <c r="B49" s="17" t="s">
        <v>43</v>
      </c>
      <c r="C49" s="18" t="s">
        <v>47</v>
      </c>
      <c r="D49" s="19">
        <v>1.5269999999999999</v>
      </c>
      <c r="E49" s="19">
        <f t="shared" si="5"/>
        <v>92.094225120000004</v>
      </c>
      <c r="F49" s="10"/>
      <c r="G49" s="10">
        <f t="shared" si="0"/>
        <v>0</v>
      </c>
      <c r="H49" s="10"/>
      <c r="I49" s="10">
        <f t="shared" si="1"/>
        <v>0</v>
      </c>
      <c r="J49" s="10"/>
      <c r="K49" s="10">
        <f t="shared" si="2"/>
        <v>0</v>
      </c>
      <c r="L49" s="10">
        <f t="shared" si="3"/>
        <v>0</v>
      </c>
    </row>
    <row r="50" spans="1:12" x14ac:dyDescent="0.3">
      <c r="A50" s="2"/>
      <c r="B50" s="17" t="s">
        <v>44</v>
      </c>
      <c r="C50" s="18" t="s">
        <v>47</v>
      </c>
      <c r="D50" s="19">
        <v>0.42</v>
      </c>
      <c r="E50" s="19">
        <f t="shared" si="5"/>
        <v>25.3304352</v>
      </c>
      <c r="F50" s="10"/>
      <c r="G50" s="10">
        <f t="shared" si="0"/>
        <v>0</v>
      </c>
      <c r="H50" s="10"/>
      <c r="I50" s="10">
        <f t="shared" si="1"/>
        <v>0</v>
      </c>
      <c r="J50" s="10"/>
      <c r="K50" s="10">
        <f t="shared" si="2"/>
        <v>0</v>
      </c>
      <c r="L50" s="10">
        <f t="shared" si="3"/>
        <v>0</v>
      </c>
    </row>
    <row r="51" spans="1:12" x14ac:dyDescent="0.3">
      <c r="A51" s="2"/>
      <c r="B51" s="17" t="s">
        <v>19</v>
      </c>
      <c r="C51" s="18" t="s">
        <v>18</v>
      </c>
      <c r="D51" s="19">
        <f>32/100</f>
        <v>0.32</v>
      </c>
      <c r="E51" s="19">
        <f t="shared" si="5"/>
        <v>19.299379200000001</v>
      </c>
      <c r="F51" s="10"/>
      <c r="G51" s="10">
        <f t="shared" si="0"/>
        <v>0</v>
      </c>
      <c r="H51" s="10"/>
      <c r="I51" s="10">
        <f t="shared" si="1"/>
        <v>0</v>
      </c>
      <c r="J51" s="10"/>
      <c r="K51" s="10">
        <f t="shared" si="2"/>
        <v>0</v>
      </c>
      <c r="L51" s="10">
        <f t="shared" si="3"/>
        <v>0</v>
      </c>
    </row>
    <row r="52" spans="1:12" x14ac:dyDescent="0.3">
      <c r="A52" s="2"/>
      <c r="B52" s="17" t="s">
        <v>45</v>
      </c>
      <c r="C52" s="18" t="s">
        <v>18</v>
      </c>
      <c r="D52" s="19">
        <f>114/100</f>
        <v>1.1399999999999999</v>
      </c>
      <c r="E52" s="19">
        <f t="shared" si="5"/>
        <v>68.754038399999999</v>
      </c>
      <c r="F52" s="10"/>
      <c r="G52" s="10">
        <f t="shared" si="0"/>
        <v>0</v>
      </c>
      <c r="H52" s="10"/>
      <c r="I52" s="10">
        <f t="shared" si="1"/>
        <v>0</v>
      </c>
      <c r="J52" s="10"/>
      <c r="K52" s="10">
        <f t="shared" si="2"/>
        <v>0</v>
      </c>
      <c r="L52" s="10">
        <f t="shared" si="3"/>
        <v>0</v>
      </c>
    </row>
    <row r="53" spans="1:12" x14ac:dyDescent="0.3">
      <c r="A53" s="2"/>
      <c r="B53" s="17" t="s">
        <v>46</v>
      </c>
      <c r="C53" s="18" t="s">
        <v>18</v>
      </c>
      <c r="D53" s="19">
        <f>0.4*1.02</f>
        <v>0.40800000000000003</v>
      </c>
      <c r="E53" s="19">
        <f>D53*E42</f>
        <v>60.310560000000002</v>
      </c>
      <c r="F53" s="10"/>
      <c r="G53" s="10">
        <f t="shared" si="0"/>
        <v>0</v>
      </c>
      <c r="H53" s="10"/>
      <c r="I53" s="10">
        <f t="shared" si="1"/>
        <v>0</v>
      </c>
      <c r="J53" s="10"/>
      <c r="K53" s="10">
        <f t="shared" si="2"/>
        <v>0</v>
      </c>
      <c r="L53" s="10">
        <f t="shared" si="3"/>
        <v>0</v>
      </c>
    </row>
    <row r="54" spans="1:12" x14ac:dyDescent="0.3">
      <c r="A54" s="2">
        <f>A42+1</f>
        <v>10</v>
      </c>
      <c r="B54" s="14" t="s">
        <v>263</v>
      </c>
      <c r="C54" s="2" t="s">
        <v>16</v>
      </c>
      <c r="D54" s="15"/>
      <c r="E54" s="15">
        <f>E42</f>
        <v>147.82</v>
      </c>
      <c r="F54" s="10"/>
      <c r="G54" s="10">
        <f t="shared" si="0"/>
        <v>0</v>
      </c>
      <c r="H54" s="10"/>
      <c r="I54" s="10">
        <f t="shared" si="1"/>
        <v>0</v>
      </c>
      <c r="J54" s="10"/>
      <c r="K54" s="10">
        <f t="shared" si="2"/>
        <v>0</v>
      </c>
      <c r="L54" s="10">
        <f t="shared" si="3"/>
        <v>0</v>
      </c>
    </row>
    <row r="55" spans="1:12" x14ac:dyDescent="0.3">
      <c r="A55" s="2"/>
      <c r="B55" s="17" t="s">
        <v>13</v>
      </c>
      <c r="C55" s="18" t="s">
        <v>16</v>
      </c>
      <c r="D55" s="19">
        <v>1</v>
      </c>
      <c r="E55" s="19">
        <f>D55*E54</f>
        <v>147.82</v>
      </c>
      <c r="F55" s="10"/>
      <c r="G55" s="10">
        <f t="shared" ref="G55:G60" si="6">F55*E55</f>
        <v>0</v>
      </c>
      <c r="H55" s="10"/>
      <c r="I55" s="10">
        <f t="shared" ref="I55:I60" si="7">H55*E55</f>
        <v>0</v>
      </c>
      <c r="J55" s="10"/>
      <c r="K55" s="10">
        <f t="shared" ref="K55:K60" si="8">J55*E55</f>
        <v>0</v>
      </c>
      <c r="L55" s="10">
        <f t="shared" ref="L55:L60" si="9">K55+I55+G55</f>
        <v>0</v>
      </c>
    </row>
    <row r="56" spans="1:12" x14ac:dyDescent="0.3">
      <c r="A56" s="2"/>
      <c r="B56" s="17" t="s">
        <v>51</v>
      </c>
      <c r="C56" s="18" t="s">
        <v>16</v>
      </c>
      <c r="D56" s="19">
        <v>1</v>
      </c>
      <c r="E56" s="19">
        <f>D56*E54</f>
        <v>147.82</v>
      </c>
      <c r="F56" s="10"/>
      <c r="G56" s="10">
        <f t="shared" si="6"/>
        <v>0</v>
      </c>
      <c r="H56" s="10"/>
      <c r="I56" s="10">
        <f t="shared" si="7"/>
        <v>0</v>
      </c>
      <c r="J56" s="10"/>
      <c r="K56" s="10">
        <f t="shared" si="8"/>
        <v>0</v>
      </c>
      <c r="L56" s="10">
        <f t="shared" si="9"/>
        <v>0</v>
      </c>
    </row>
    <row r="57" spans="1:12" x14ac:dyDescent="0.3">
      <c r="A57" s="2">
        <f>A54+1</f>
        <v>11</v>
      </c>
      <c r="B57" s="14" t="s">
        <v>264</v>
      </c>
      <c r="C57" s="2" t="s">
        <v>16</v>
      </c>
      <c r="D57" s="15"/>
      <c r="E57" s="15">
        <f>E54</f>
        <v>147.82</v>
      </c>
      <c r="F57" s="10"/>
      <c r="G57" s="10">
        <f t="shared" si="6"/>
        <v>0</v>
      </c>
      <c r="H57" s="10"/>
      <c r="I57" s="10">
        <f t="shared" si="7"/>
        <v>0</v>
      </c>
      <c r="J57" s="10"/>
      <c r="K57" s="10">
        <f t="shared" si="8"/>
        <v>0</v>
      </c>
      <c r="L57" s="10">
        <f t="shared" si="9"/>
        <v>0</v>
      </c>
    </row>
    <row r="58" spans="1:12" x14ac:dyDescent="0.3">
      <c r="A58" s="2"/>
      <c r="B58" s="17" t="s">
        <v>13</v>
      </c>
      <c r="C58" s="18" t="s">
        <v>16</v>
      </c>
      <c r="D58" s="19">
        <v>1</v>
      </c>
      <c r="E58" s="19">
        <f>D58*E$57</f>
        <v>147.82</v>
      </c>
      <c r="F58" s="10"/>
      <c r="G58" s="10">
        <f t="shared" si="6"/>
        <v>0</v>
      </c>
      <c r="H58" s="10"/>
      <c r="I58" s="10">
        <f t="shared" si="7"/>
        <v>0</v>
      </c>
      <c r="J58" s="10"/>
      <c r="K58" s="10">
        <f t="shared" si="8"/>
        <v>0</v>
      </c>
      <c r="L58" s="10">
        <f t="shared" si="9"/>
        <v>0</v>
      </c>
    </row>
    <row r="59" spans="1:12" x14ac:dyDescent="0.3">
      <c r="A59" s="2"/>
      <c r="B59" s="17" t="s">
        <v>264</v>
      </c>
      <c r="C59" s="18" t="s">
        <v>16</v>
      </c>
      <c r="D59" s="19">
        <v>1.05</v>
      </c>
      <c r="E59" s="19">
        <f>D59*E$57</f>
        <v>155.21100000000001</v>
      </c>
      <c r="F59" s="10"/>
      <c r="G59" s="10">
        <f t="shared" si="6"/>
        <v>0</v>
      </c>
      <c r="H59" s="10"/>
      <c r="I59" s="10">
        <f t="shared" si="7"/>
        <v>0</v>
      </c>
      <c r="J59" s="10"/>
      <c r="K59" s="10">
        <f t="shared" si="8"/>
        <v>0</v>
      </c>
      <c r="L59" s="10">
        <f t="shared" si="9"/>
        <v>0</v>
      </c>
    </row>
    <row r="60" spans="1:12" x14ac:dyDescent="0.3">
      <c r="A60" s="2"/>
      <c r="B60" s="17" t="s">
        <v>19</v>
      </c>
      <c r="C60" s="18" t="s">
        <v>16</v>
      </c>
      <c r="D60" s="19">
        <v>1</v>
      </c>
      <c r="E60" s="19">
        <f>D60*E$57</f>
        <v>147.82</v>
      </c>
      <c r="F60" s="10"/>
      <c r="G60" s="10">
        <f t="shared" si="6"/>
        <v>0</v>
      </c>
      <c r="H60" s="10"/>
      <c r="I60" s="10">
        <f t="shared" si="7"/>
        <v>0</v>
      </c>
      <c r="J60" s="10"/>
      <c r="K60" s="10">
        <f t="shared" si="8"/>
        <v>0</v>
      </c>
      <c r="L60" s="10">
        <f t="shared" si="9"/>
        <v>0</v>
      </c>
    </row>
    <row r="61" spans="1:12" x14ac:dyDescent="0.3">
      <c r="A61" s="2">
        <f>A57+1</f>
        <v>12</v>
      </c>
      <c r="B61" s="14" t="s">
        <v>248</v>
      </c>
      <c r="C61" s="2" t="s">
        <v>18</v>
      </c>
      <c r="D61" s="15"/>
      <c r="E61" s="15">
        <f>E11</f>
        <v>760</v>
      </c>
      <c r="F61" s="10"/>
      <c r="G61" s="10">
        <f t="shared" si="0"/>
        <v>0</v>
      </c>
      <c r="H61" s="10"/>
      <c r="I61" s="10">
        <f t="shared" si="1"/>
        <v>0</v>
      </c>
      <c r="J61" s="10"/>
      <c r="K61" s="10">
        <f t="shared" si="2"/>
        <v>0</v>
      </c>
      <c r="L61" s="10">
        <f t="shared" si="3"/>
        <v>0</v>
      </c>
    </row>
    <row r="62" spans="1:12" x14ac:dyDescent="0.3">
      <c r="A62" s="2"/>
      <c r="B62" s="17" t="s">
        <v>241</v>
      </c>
      <c r="C62" s="18" t="s">
        <v>30</v>
      </c>
      <c r="D62" s="27">
        <v>2E-3</v>
      </c>
      <c r="E62" s="19">
        <f>D62*E$61</f>
        <v>1.52</v>
      </c>
      <c r="F62" s="10"/>
      <c r="G62" s="10">
        <f t="shared" si="0"/>
        <v>0</v>
      </c>
      <c r="H62" s="10"/>
      <c r="I62" s="10">
        <f t="shared" si="1"/>
        <v>0</v>
      </c>
      <c r="J62" s="10"/>
      <c r="K62" s="10">
        <f t="shared" si="2"/>
        <v>0</v>
      </c>
      <c r="L62" s="10">
        <f t="shared" si="3"/>
        <v>0</v>
      </c>
    </row>
    <row r="63" spans="1:12" x14ac:dyDescent="0.3">
      <c r="A63" s="2"/>
      <c r="B63" s="17" t="s">
        <v>32</v>
      </c>
      <c r="C63" s="18" t="s">
        <v>30</v>
      </c>
      <c r="D63" s="19">
        <v>5.0000000000000001E-3</v>
      </c>
      <c r="E63" s="19">
        <f>D63*E$61</f>
        <v>3.8000000000000003</v>
      </c>
      <c r="F63" s="10"/>
      <c r="G63" s="10">
        <f t="shared" si="0"/>
        <v>0</v>
      </c>
      <c r="H63" s="10"/>
      <c r="I63" s="10">
        <f t="shared" si="1"/>
        <v>0</v>
      </c>
      <c r="J63" s="10"/>
      <c r="K63" s="10">
        <f t="shared" si="2"/>
        <v>0</v>
      </c>
      <c r="L63" s="10">
        <f t="shared" si="3"/>
        <v>0</v>
      </c>
    </row>
    <row r="64" spans="1:12" x14ac:dyDescent="0.3">
      <c r="A64" s="2"/>
      <c r="B64" s="17" t="s">
        <v>31</v>
      </c>
      <c r="C64" s="18" t="s">
        <v>30</v>
      </c>
      <c r="D64" s="27">
        <f>D62*2</f>
        <v>4.0000000000000001E-3</v>
      </c>
      <c r="E64" s="19">
        <f>D64*E$61</f>
        <v>3.04</v>
      </c>
      <c r="F64" s="10"/>
      <c r="G64" s="10">
        <f t="shared" si="0"/>
        <v>0</v>
      </c>
      <c r="H64" s="10"/>
      <c r="I64" s="10">
        <f t="shared" si="1"/>
        <v>0</v>
      </c>
      <c r="J64" s="10"/>
      <c r="K64" s="10">
        <f t="shared" si="2"/>
        <v>0</v>
      </c>
      <c r="L64" s="10">
        <f t="shared" si="3"/>
        <v>0</v>
      </c>
    </row>
    <row r="65" spans="1:12" x14ac:dyDescent="0.3">
      <c r="A65" s="2"/>
      <c r="B65" s="17" t="s">
        <v>33</v>
      </c>
      <c r="C65" s="18" t="s">
        <v>30</v>
      </c>
      <c r="D65" s="19">
        <f>D63</f>
        <v>5.0000000000000001E-3</v>
      </c>
      <c r="E65" s="19">
        <f>D65*E$61</f>
        <v>3.8000000000000003</v>
      </c>
      <c r="F65" s="10"/>
      <c r="G65" s="10">
        <f t="shared" si="0"/>
        <v>0</v>
      </c>
      <c r="H65" s="10"/>
      <c r="I65" s="10">
        <f t="shared" si="1"/>
        <v>0</v>
      </c>
      <c r="J65" s="10"/>
      <c r="K65" s="10">
        <f t="shared" si="2"/>
        <v>0</v>
      </c>
      <c r="L65" s="10">
        <f t="shared" si="3"/>
        <v>0</v>
      </c>
    </row>
    <row r="66" spans="1:12" x14ac:dyDescent="0.3">
      <c r="A66" s="2">
        <f>A61+1</f>
        <v>13</v>
      </c>
      <c r="B66" s="14" t="s">
        <v>249</v>
      </c>
      <c r="C66" s="2" t="s">
        <v>16</v>
      </c>
      <c r="D66" s="15"/>
      <c r="E66" s="15">
        <v>350</v>
      </c>
      <c r="F66" s="10"/>
      <c r="G66" s="10">
        <f t="shared" si="0"/>
        <v>0</v>
      </c>
      <c r="H66" s="10"/>
      <c r="I66" s="10">
        <f t="shared" si="1"/>
        <v>0</v>
      </c>
      <c r="J66" s="10"/>
      <c r="K66" s="10">
        <f t="shared" si="2"/>
        <v>0</v>
      </c>
      <c r="L66" s="10">
        <f t="shared" si="3"/>
        <v>0</v>
      </c>
    </row>
    <row r="67" spans="1:12" x14ac:dyDescent="0.3">
      <c r="A67" s="2"/>
      <c r="B67" s="17" t="s">
        <v>13</v>
      </c>
      <c r="C67" s="18" t="s">
        <v>16</v>
      </c>
      <c r="D67" s="19">
        <v>1</v>
      </c>
      <c r="E67" s="19">
        <f>D67*E$66</f>
        <v>350</v>
      </c>
      <c r="F67" s="10"/>
      <c r="G67" s="10">
        <f t="shared" ref="G67:G155" si="10">F67*E67</f>
        <v>0</v>
      </c>
      <c r="H67" s="10"/>
      <c r="I67" s="10">
        <f t="shared" ref="I67:I155" si="11">H67*E67</f>
        <v>0</v>
      </c>
      <c r="J67" s="10"/>
      <c r="K67" s="10">
        <f t="shared" ref="K67:K155" si="12">J67*E67</f>
        <v>0</v>
      </c>
      <c r="L67" s="10">
        <f t="shared" ref="L67:L155" si="13">K67+I67+G67</f>
        <v>0</v>
      </c>
    </row>
    <row r="68" spans="1:12" x14ac:dyDescent="0.3">
      <c r="A68" s="2"/>
      <c r="B68" s="17" t="s">
        <v>310</v>
      </c>
      <c r="C68" s="18" t="s">
        <v>16</v>
      </c>
      <c r="D68" s="19">
        <v>1.05</v>
      </c>
      <c r="E68" s="19">
        <f>D68*E$66</f>
        <v>367.5</v>
      </c>
      <c r="F68" s="10"/>
      <c r="G68" s="10">
        <f t="shared" si="10"/>
        <v>0</v>
      </c>
      <c r="H68" s="10"/>
      <c r="I68" s="10">
        <f t="shared" si="11"/>
        <v>0</v>
      </c>
      <c r="J68" s="10"/>
      <c r="K68" s="10">
        <f t="shared" si="12"/>
        <v>0</v>
      </c>
      <c r="L68" s="10">
        <f t="shared" si="13"/>
        <v>0</v>
      </c>
    </row>
    <row r="69" spans="1:12" x14ac:dyDescent="0.3">
      <c r="A69" s="2">
        <f>A66+1</f>
        <v>14</v>
      </c>
      <c r="B69" s="14" t="s">
        <v>250</v>
      </c>
      <c r="C69" s="2" t="s">
        <v>18</v>
      </c>
      <c r="D69" s="15"/>
      <c r="E69" s="15">
        <f>350*3.2</f>
        <v>1120</v>
      </c>
      <c r="F69" s="10"/>
      <c r="G69" s="10">
        <f t="shared" si="10"/>
        <v>0</v>
      </c>
      <c r="H69" s="10"/>
      <c r="I69" s="10">
        <f t="shared" si="11"/>
        <v>0</v>
      </c>
      <c r="J69" s="10"/>
      <c r="K69" s="10">
        <f t="shared" si="12"/>
        <v>0</v>
      </c>
      <c r="L69" s="10">
        <f t="shared" si="13"/>
        <v>0</v>
      </c>
    </row>
    <row r="70" spans="1:12" x14ac:dyDescent="0.3">
      <c r="A70" s="2"/>
      <c r="B70" s="17" t="s">
        <v>59</v>
      </c>
      <c r="C70" s="18" t="s">
        <v>18</v>
      </c>
      <c r="D70" s="19">
        <v>1.22</v>
      </c>
      <c r="E70" s="19">
        <f>D70*E$69</f>
        <v>1366.3999999999999</v>
      </c>
      <c r="F70" s="10"/>
      <c r="G70" s="10">
        <f t="shared" si="10"/>
        <v>0</v>
      </c>
      <c r="H70" s="10"/>
      <c r="I70" s="10">
        <f t="shared" si="11"/>
        <v>0</v>
      </c>
      <c r="J70" s="10"/>
      <c r="K70" s="10">
        <f t="shared" si="12"/>
        <v>0</v>
      </c>
      <c r="L70" s="10">
        <f t="shared" si="13"/>
        <v>0</v>
      </c>
    </row>
    <row r="71" spans="1:12" x14ac:dyDescent="0.3">
      <c r="A71" s="2"/>
      <c r="B71" s="17" t="s">
        <v>32</v>
      </c>
      <c r="C71" s="18" t="s">
        <v>30</v>
      </c>
      <c r="D71" s="19">
        <v>0.01</v>
      </c>
      <c r="E71" s="19">
        <f>D71*E$69</f>
        <v>11.200000000000001</v>
      </c>
      <c r="F71" s="10"/>
      <c r="G71" s="10">
        <f t="shared" si="10"/>
        <v>0</v>
      </c>
      <c r="H71" s="10"/>
      <c r="I71" s="10">
        <f t="shared" si="11"/>
        <v>0</v>
      </c>
      <c r="J71" s="10"/>
      <c r="K71" s="10">
        <f t="shared" si="12"/>
        <v>0</v>
      </c>
      <c r="L71" s="10">
        <f t="shared" si="13"/>
        <v>0</v>
      </c>
    </row>
    <row r="72" spans="1:12" x14ac:dyDescent="0.3">
      <c r="A72" s="2"/>
      <c r="B72" s="17" t="s">
        <v>33</v>
      </c>
      <c r="C72" s="18" t="s">
        <v>30</v>
      </c>
      <c r="D72" s="19">
        <v>0.01</v>
      </c>
      <c r="E72" s="19">
        <f>D72*E$69</f>
        <v>11.200000000000001</v>
      </c>
      <c r="F72" s="10"/>
      <c r="G72" s="10">
        <f t="shared" si="10"/>
        <v>0</v>
      </c>
      <c r="H72" s="10"/>
      <c r="I72" s="10">
        <f t="shared" si="11"/>
        <v>0</v>
      </c>
      <c r="J72" s="10"/>
      <c r="K72" s="10">
        <f t="shared" si="12"/>
        <v>0</v>
      </c>
      <c r="L72" s="10">
        <f t="shared" si="13"/>
        <v>0</v>
      </c>
    </row>
    <row r="73" spans="1:12" x14ac:dyDescent="0.3">
      <c r="A73" s="2">
        <f>A69+1</f>
        <v>15</v>
      </c>
      <c r="B73" s="14" t="s">
        <v>251</v>
      </c>
      <c r="C73" s="2" t="s">
        <v>18</v>
      </c>
      <c r="D73" s="15"/>
      <c r="E73" s="15">
        <f>350*0.1</f>
        <v>35</v>
      </c>
      <c r="F73" s="10"/>
      <c r="G73" s="10">
        <f t="shared" si="10"/>
        <v>0</v>
      </c>
      <c r="H73" s="10"/>
      <c r="I73" s="10">
        <f t="shared" si="11"/>
        <v>0</v>
      </c>
      <c r="J73" s="10"/>
      <c r="K73" s="10">
        <f t="shared" si="12"/>
        <v>0</v>
      </c>
      <c r="L73" s="10">
        <f t="shared" si="13"/>
        <v>0</v>
      </c>
    </row>
    <row r="74" spans="1:12" x14ac:dyDescent="0.3">
      <c r="A74" s="2"/>
      <c r="B74" s="17" t="s">
        <v>252</v>
      </c>
      <c r="C74" s="18" t="s">
        <v>18</v>
      </c>
      <c r="D74" s="19">
        <v>1.1499999999999999</v>
      </c>
      <c r="E74" s="19">
        <f>D74*E$73</f>
        <v>40.25</v>
      </c>
      <c r="F74" s="10"/>
      <c r="G74" s="10">
        <f t="shared" si="10"/>
        <v>0</v>
      </c>
      <c r="H74" s="10"/>
      <c r="I74" s="10">
        <f t="shared" si="11"/>
        <v>0</v>
      </c>
      <c r="J74" s="10"/>
      <c r="K74" s="10">
        <f t="shared" si="12"/>
        <v>0</v>
      </c>
      <c r="L74" s="10">
        <f t="shared" si="13"/>
        <v>0</v>
      </c>
    </row>
    <row r="75" spans="1:12" x14ac:dyDescent="0.3">
      <c r="A75" s="2"/>
      <c r="B75" s="17" t="s">
        <v>32</v>
      </c>
      <c r="C75" s="18" t="s">
        <v>30</v>
      </c>
      <c r="D75" s="19">
        <v>0.01</v>
      </c>
      <c r="E75" s="19">
        <f>D75*E$73</f>
        <v>0.35000000000000003</v>
      </c>
      <c r="F75" s="10"/>
      <c r="G75" s="10">
        <f t="shared" si="10"/>
        <v>0</v>
      </c>
      <c r="H75" s="10"/>
      <c r="I75" s="10">
        <f t="shared" si="11"/>
        <v>0</v>
      </c>
      <c r="J75" s="10"/>
      <c r="K75" s="10">
        <f t="shared" si="12"/>
        <v>0</v>
      </c>
      <c r="L75" s="10">
        <f t="shared" si="13"/>
        <v>0</v>
      </c>
    </row>
    <row r="76" spans="1:12" x14ac:dyDescent="0.3">
      <c r="A76" s="2"/>
      <c r="B76" s="17" t="s">
        <v>33</v>
      </c>
      <c r="C76" s="18" t="s">
        <v>30</v>
      </c>
      <c r="D76" s="19">
        <v>0.01</v>
      </c>
      <c r="E76" s="19">
        <f>D76*E$73</f>
        <v>0.35000000000000003</v>
      </c>
      <c r="F76" s="10"/>
      <c r="G76" s="10">
        <f t="shared" si="10"/>
        <v>0</v>
      </c>
      <c r="H76" s="10"/>
      <c r="I76" s="10">
        <f t="shared" si="11"/>
        <v>0</v>
      </c>
      <c r="J76" s="10"/>
      <c r="K76" s="10">
        <f t="shared" si="12"/>
        <v>0</v>
      </c>
      <c r="L76" s="10">
        <f t="shared" si="13"/>
        <v>0</v>
      </c>
    </row>
    <row r="77" spans="1:12" x14ac:dyDescent="0.3">
      <c r="A77" s="2">
        <f>A73+1</f>
        <v>16</v>
      </c>
      <c r="B77" s="14" t="s">
        <v>253</v>
      </c>
      <c r="C77" s="2" t="s">
        <v>16</v>
      </c>
      <c r="D77" s="15"/>
      <c r="E77" s="15">
        <v>350</v>
      </c>
      <c r="F77" s="10"/>
      <c r="G77" s="10">
        <f t="shared" si="10"/>
        <v>0</v>
      </c>
      <c r="H77" s="10"/>
      <c r="I77" s="10">
        <f t="shared" si="11"/>
        <v>0</v>
      </c>
      <c r="J77" s="10"/>
      <c r="K77" s="10">
        <f t="shared" si="12"/>
        <v>0</v>
      </c>
      <c r="L77" s="10">
        <f t="shared" si="13"/>
        <v>0</v>
      </c>
    </row>
    <row r="78" spans="1:12" x14ac:dyDescent="0.3">
      <c r="A78" s="2"/>
      <c r="B78" s="17" t="s">
        <v>13</v>
      </c>
      <c r="C78" s="18" t="s">
        <v>16</v>
      </c>
      <c r="D78" s="19">
        <v>1</v>
      </c>
      <c r="E78" s="19">
        <f>D78*E$77</f>
        <v>350</v>
      </c>
      <c r="F78" s="10"/>
      <c r="G78" s="10">
        <f t="shared" si="10"/>
        <v>0</v>
      </c>
      <c r="H78" s="10"/>
      <c r="I78" s="10">
        <f t="shared" si="11"/>
        <v>0</v>
      </c>
      <c r="J78" s="10"/>
      <c r="K78" s="10">
        <f t="shared" si="12"/>
        <v>0</v>
      </c>
      <c r="L78" s="10">
        <f t="shared" si="13"/>
        <v>0</v>
      </c>
    </row>
    <row r="79" spans="1:12" x14ac:dyDescent="0.3">
      <c r="A79" s="2"/>
      <c r="B79" s="17" t="s">
        <v>65</v>
      </c>
      <c r="C79" s="18" t="s">
        <v>16</v>
      </c>
      <c r="D79" s="19">
        <v>1.1499999999999999</v>
      </c>
      <c r="E79" s="19">
        <f>D79*E$77</f>
        <v>402.49999999999994</v>
      </c>
      <c r="F79" s="10"/>
      <c r="G79" s="10">
        <f t="shared" si="10"/>
        <v>0</v>
      </c>
      <c r="H79" s="10"/>
      <c r="I79" s="10">
        <f t="shared" si="11"/>
        <v>0</v>
      </c>
      <c r="J79" s="10"/>
      <c r="K79" s="10">
        <f t="shared" si="12"/>
        <v>0</v>
      </c>
      <c r="L79" s="10">
        <f t="shared" si="13"/>
        <v>0</v>
      </c>
    </row>
    <row r="80" spans="1:12" x14ac:dyDescent="0.3">
      <c r="A80" s="2">
        <f>A77+1</f>
        <v>17</v>
      </c>
      <c r="B80" s="14" t="s">
        <v>254</v>
      </c>
      <c r="C80" s="2" t="s">
        <v>12</v>
      </c>
      <c r="D80" s="15"/>
      <c r="E80" s="15">
        <f>25.1+13.8*3</f>
        <v>66.5</v>
      </c>
      <c r="F80" s="10"/>
      <c r="G80" s="10">
        <f t="shared" si="10"/>
        <v>0</v>
      </c>
      <c r="H80" s="10"/>
      <c r="I80" s="10">
        <f t="shared" si="11"/>
        <v>0</v>
      </c>
      <c r="J80" s="10"/>
      <c r="K80" s="10">
        <f t="shared" si="12"/>
        <v>0</v>
      </c>
      <c r="L80" s="10">
        <f t="shared" si="13"/>
        <v>0</v>
      </c>
    </row>
    <row r="81" spans="1:12" x14ac:dyDescent="0.3">
      <c r="A81" s="2"/>
      <c r="B81" s="17" t="s">
        <v>13</v>
      </c>
      <c r="C81" s="18" t="s">
        <v>12</v>
      </c>
      <c r="D81" s="19">
        <v>1</v>
      </c>
      <c r="E81" s="19">
        <f>D81*E80</f>
        <v>66.5</v>
      </c>
      <c r="F81" s="10"/>
      <c r="G81" s="10">
        <f t="shared" si="10"/>
        <v>0</v>
      </c>
      <c r="H81" s="10"/>
      <c r="I81" s="10">
        <f t="shared" si="11"/>
        <v>0</v>
      </c>
      <c r="J81" s="10"/>
      <c r="K81" s="10">
        <f t="shared" si="12"/>
        <v>0</v>
      </c>
      <c r="L81" s="10">
        <f t="shared" si="13"/>
        <v>0</v>
      </c>
    </row>
    <row r="82" spans="1:12" x14ac:dyDescent="0.3">
      <c r="A82" s="2"/>
      <c r="B82" s="17" t="s">
        <v>37</v>
      </c>
      <c r="C82" s="18" t="s">
        <v>18</v>
      </c>
      <c r="D82" s="19">
        <f>0.4*0.5*1.02</f>
        <v>0.20400000000000001</v>
      </c>
      <c r="E82" s="19">
        <f>D82*E80</f>
        <v>13.566000000000001</v>
      </c>
      <c r="F82" s="10"/>
      <c r="G82" s="10">
        <f t="shared" si="10"/>
        <v>0</v>
      </c>
      <c r="H82" s="10"/>
      <c r="I82" s="10">
        <f t="shared" si="11"/>
        <v>0</v>
      </c>
      <c r="J82" s="10"/>
      <c r="K82" s="10">
        <f t="shared" si="12"/>
        <v>0</v>
      </c>
      <c r="L82" s="10">
        <f t="shared" si="13"/>
        <v>0</v>
      </c>
    </row>
    <row r="83" spans="1:12" x14ac:dyDescent="0.3">
      <c r="A83" s="2"/>
      <c r="B83" s="17" t="s">
        <v>39</v>
      </c>
      <c r="C83" s="18" t="s">
        <v>38</v>
      </c>
      <c r="D83" s="19">
        <v>1.05</v>
      </c>
      <c r="E83" s="19">
        <f>(1240.5+720.3)/1000*1.05</f>
        <v>2.05884</v>
      </c>
      <c r="F83" s="10"/>
      <c r="G83" s="10">
        <f t="shared" si="10"/>
        <v>0</v>
      </c>
      <c r="H83" s="10"/>
      <c r="I83" s="10">
        <f t="shared" si="11"/>
        <v>0</v>
      </c>
      <c r="J83" s="10"/>
      <c r="K83" s="10">
        <f t="shared" si="12"/>
        <v>0</v>
      </c>
      <c r="L83" s="10">
        <f t="shared" si="13"/>
        <v>0</v>
      </c>
    </row>
    <row r="84" spans="1:12" x14ac:dyDescent="0.3">
      <c r="A84" s="2"/>
      <c r="B84" s="17" t="s">
        <v>40</v>
      </c>
      <c r="C84" s="18" t="s">
        <v>38</v>
      </c>
      <c r="D84" s="19">
        <v>1.05</v>
      </c>
      <c r="E84" s="19">
        <f>570.6/1000*1.05</f>
        <v>0.59913000000000005</v>
      </c>
      <c r="F84" s="10"/>
      <c r="G84" s="10">
        <f t="shared" si="10"/>
        <v>0</v>
      </c>
      <c r="H84" s="10"/>
      <c r="I84" s="10">
        <f t="shared" si="11"/>
        <v>0</v>
      </c>
      <c r="J84" s="10"/>
      <c r="K84" s="10">
        <f t="shared" si="12"/>
        <v>0</v>
      </c>
      <c r="L84" s="10">
        <f t="shared" si="13"/>
        <v>0</v>
      </c>
    </row>
    <row r="85" spans="1:12" x14ac:dyDescent="0.3">
      <c r="A85" s="2"/>
      <c r="B85" s="17" t="s">
        <v>41</v>
      </c>
      <c r="C85" s="18" t="s">
        <v>16</v>
      </c>
      <c r="D85" s="19">
        <f>70.3/100</f>
        <v>0.70299999999999996</v>
      </c>
      <c r="E85" s="19">
        <f t="shared" ref="E85:E90" si="14">D85*E$82</f>
        <v>9.5368980000000008</v>
      </c>
      <c r="F85" s="10"/>
      <c r="G85" s="10">
        <f t="shared" si="10"/>
        <v>0</v>
      </c>
      <c r="H85" s="10"/>
      <c r="I85" s="10">
        <f t="shared" si="11"/>
        <v>0</v>
      </c>
      <c r="J85" s="10"/>
      <c r="K85" s="10">
        <f t="shared" si="12"/>
        <v>0</v>
      </c>
      <c r="L85" s="10">
        <f t="shared" si="13"/>
        <v>0</v>
      </c>
    </row>
    <row r="86" spans="1:12" x14ac:dyDescent="0.3">
      <c r="A86" s="2"/>
      <c r="B86" s="17" t="s">
        <v>42</v>
      </c>
      <c r="C86" s="18" t="s">
        <v>18</v>
      </c>
      <c r="D86" s="19">
        <f>1.14/100</f>
        <v>1.1399999999999999E-2</v>
      </c>
      <c r="E86" s="19">
        <f t="shared" si="14"/>
        <v>0.1546524</v>
      </c>
      <c r="F86" s="10"/>
      <c r="G86" s="10">
        <f t="shared" si="10"/>
        <v>0</v>
      </c>
      <c r="H86" s="10"/>
      <c r="I86" s="10">
        <f t="shared" si="11"/>
        <v>0</v>
      </c>
      <c r="J86" s="10"/>
      <c r="K86" s="10">
        <f t="shared" si="12"/>
        <v>0</v>
      </c>
      <c r="L86" s="10">
        <f t="shared" si="13"/>
        <v>0</v>
      </c>
    </row>
    <row r="87" spans="1:12" x14ac:dyDescent="0.3">
      <c r="A87" s="2"/>
      <c r="B87" s="17" t="s">
        <v>43</v>
      </c>
      <c r="C87" s="18" t="s">
        <v>47</v>
      </c>
      <c r="D87" s="19">
        <v>0.40600000000000003</v>
      </c>
      <c r="E87" s="19">
        <f t="shared" si="14"/>
        <v>5.5077960000000008</v>
      </c>
      <c r="F87" s="10"/>
      <c r="G87" s="10">
        <f t="shared" si="10"/>
        <v>0</v>
      </c>
      <c r="H87" s="10"/>
      <c r="I87" s="10">
        <f t="shared" si="11"/>
        <v>0</v>
      </c>
      <c r="J87" s="10"/>
      <c r="K87" s="10">
        <f t="shared" si="12"/>
        <v>0</v>
      </c>
      <c r="L87" s="10">
        <f t="shared" si="13"/>
        <v>0</v>
      </c>
    </row>
    <row r="88" spans="1:12" x14ac:dyDescent="0.3">
      <c r="A88" s="2"/>
      <c r="B88" s="17" t="s">
        <v>44</v>
      </c>
      <c r="C88" s="18" t="s">
        <v>47</v>
      </c>
      <c r="D88" s="19">
        <v>0.38</v>
      </c>
      <c r="E88" s="19">
        <f t="shared" si="14"/>
        <v>5.1550800000000008</v>
      </c>
      <c r="F88" s="10"/>
      <c r="G88" s="10">
        <f t="shared" si="10"/>
        <v>0</v>
      </c>
      <c r="H88" s="10"/>
      <c r="I88" s="10">
        <f t="shared" si="11"/>
        <v>0</v>
      </c>
      <c r="J88" s="10"/>
      <c r="K88" s="10">
        <f t="shared" si="12"/>
        <v>0</v>
      </c>
      <c r="L88" s="10">
        <f t="shared" si="13"/>
        <v>0</v>
      </c>
    </row>
    <row r="89" spans="1:12" x14ac:dyDescent="0.3">
      <c r="A89" s="2"/>
      <c r="B89" s="17" t="s">
        <v>19</v>
      </c>
      <c r="C89" s="18" t="s">
        <v>18</v>
      </c>
      <c r="D89" s="19">
        <f>60/100</f>
        <v>0.6</v>
      </c>
      <c r="E89" s="19">
        <f t="shared" si="14"/>
        <v>8.1395999999999997</v>
      </c>
      <c r="F89" s="10"/>
      <c r="G89" s="10">
        <f t="shared" si="10"/>
        <v>0</v>
      </c>
      <c r="H89" s="10"/>
      <c r="I89" s="10">
        <f t="shared" si="11"/>
        <v>0</v>
      </c>
      <c r="J89" s="10"/>
      <c r="K89" s="10">
        <f t="shared" si="12"/>
        <v>0</v>
      </c>
      <c r="L89" s="10">
        <f t="shared" si="13"/>
        <v>0</v>
      </c>
    </row>
    <row r="90" spans="1:12" x14ac:dyDescent="0.3">
      <c r="A90" s="2"/>
      <c r="B90" s="17" t="s">
        <v>45</v>
      </c>
      <c r="C90" s="18" t="s">
        <v>18</v>
      </c>
      <c r="D90" s="19">
        <f>92/100</f>
        <v>0.92</v>
      </c>
      <c r="E90" s="19">
        <f t="shared" si="14"/>
        <v>12.480720000000002</v>
      </c>
      <c r="F90" s="10"/>
      <c r="G90" s="10">
        <f t="shared" si="10"/>
        <v>0</v>
      </c>
      <c r="H90" s="10"/>
      <c r="I90" s="10">
        <f t="shared" si="11"/>
        <v>0</v>
      </c>
      <c r="J90" s="10"/>
      <c r="K90" s="10">
        <f t="shared" si="12"/>
        <v>0</v>
      </c>
      <c r="L90" s="10">
        <f t="shared" si="13"/>
        <v>0</v>
      </c>
    </row>
    <row r="91" spans="1:12" x14ac:dyDescent="0.3">
      <c r="A91" s="2"/>
      <c r="B91" s="17" t="s">
        <v>46</v>
      </c>
      <c r="C91" s="18" t="s">
        <v>18</v>
      </c>
      <c r="D91" s="19">
        <f>0.4*0.5*1.02</f>
        <v>0.20400000000000001</v>
      </c>
      <c r="E91" s="19">
        <f>D91*E80</f>
        <v>13.566000000000001</v>
      </c>
      <c r="F91" s="10"/>
      <c r="G91" s="10">
        <f t="shared" si="10"/>
        <v>0</v>
      </c>
      <c r="H91" s="10"/>
      <c r="I91" s="10">
        <f t="shared" si="11"/>
        <v>0</v>
      </c>
      <c r="J91" s="10"/>
      <c r="K91" s="10">
        <f t="shared" si="12"/>
        <v>0</v>
      </c>
      <c r="L91" s="10">
        <f t="shared" si="13"/>
        <v>0</v>
      </c>
    </row>
    <row r="92" spans="1:12" x14ac:dyDescent="0.3">
      <c r="A92" s="2">
        <f>A80+1</f>
        <v>18</v>
      </c>
      <c r="B92" s="14" t="s">
        <v>258</v>
      </c>
      <c r="C92" s="2" t="s">
        <v>16</v>
      </c>
      <c r="D92" s="15"/>
      <c r="E92" s="15">
        <f>E96</f>
        <v>332</v>
      </c>
      <c r="F92" s="10"/>
      <c r="G92" s="10">
        <f t="shared" si="10"/>
        <v>0</v>
      </c>
      <c r="H92" s="10"/>
      <c r="I92" s="10">
        <f t="shared" si="11"/>
        <v>0</v>
      </c>
      <c r="J92" s="10"/>
      <c r="K92" s="10">
        <f t="shared" si="12"/>
        <v>0</v>
      </c>
      <c r="L92" s="10">
        <f t="shared" si="13"/>
        <v>0</v>
      </c>
    </row>
    <row r="93" spans="1:12" x14ac:dyDescent="0.3">
      <c r="A93" s="2"/>
      <c r="B93" s="17" t="s">
        <v>13</v>
      </c>
      <c r="C93" s="18" t="s">
        <v>16</v>
      </c>
      <c r="D93" s="19">
        <v>1</v>
      </c>
      <c r="E93" s="19">
        <f>D93*E$92</f>
        <v>332</v>
      </c>
      <c r="F93" s="10"/>
      <c r="G93" s="10">
        <f t="shared" ref="G93:G95" si="15">F93*E93</f>
        <v>0</v>
      </c>
      <c r="H93" s="10"/>
      <c r="I93" s="10">
        <f t="shared" ref="I93:I95" si="16">H93*E93</f>
        <v>0</v>
      </c>
      <c r="J93" s="10"/>
      <c r="K93" s="10">
        <f t="shared" ref="K93:K95" si="17">J93*E93</f>
        <v>0</v>
      </c>
      <c r="L93" s="10">
        <f t="shared" ref="L93:L95" si="18">K93+I93+G93</f>
        <v>0</v>
      </c>
    </row>
    <row r="94" spans="1:12" x14ac:dyDescent="0.3">
      <c r="A94" s="2"/>
      <c r="B94" s="17" t="s">
        <v>36</v>
      </c>
      <c r="C94" s="18" t="s">
        <v>18</v>
      </c>
      <c r="D94" s="19">
        <f>0.05*1.02</f>
        <v>5.1000000000000004E-2</v>
      </c>
      <c r="E94" s="19">
        <f>D94*E$92</f>
        <v>16.932000000000002</v>
      </c>
      <c r="F94" s="10"/>
      <c r="G94" s="10">
        <f t="shared" si="15"/>
        <v>0</v>
      </c>
      <c r="H94" s="10"/>
      <c r="I94" s="10">
        <f t="shared" si="16"/>
        <v>0</v>
      </c>
      <c r="J94" s="10"/>
      <c r="K94" s="10">
        <f t="shared" si="17"/>
        <v>0</v>
      </c>
      <c r="L94" s="10">
        <f t="shared" si="18"/>
        <v>0</v>
      </c>
    </row>
    <row r="95" spans="1:12" x14ac:dyDescent="0.3">
      <c r="A95" s="2"/>
      <c r="B95" s="17" t="s">
        <v>19</v>
      </c>
      <c r="C95" s="18" t="s">
        <v>16</v>
      </c>
      <c r="D95" s="19">
        <v>1</v>
      </c>
      <c r="E95" s="19">
        <f>D95*E$92</f>
        <v>332</v>
      </c>
      <c r="F95" s="10"/>
      <c r="G95" s="10">
        <f t="shared" si="15"/>
        <v>0</v>
      </c>
      <c r="H95" s="10"/>
      <c r="I95" s="10">
        <f t="shared" si="16"/>
        <v>0</v>
      </c>
      <c r="J95" s="10"/>
      <c r="K95" s="10">
        <f t="shared" si="17"/>
        <v>0</v>
      </c>
      <c r="L95" s="10">
        <f t="shared" si="18"/>
        <v>0</v>
      </c>
    </row>
    <row r="96" spans="1:12" x14ac:dyDescent="0.3">
      <c r="A96" s="2">
        <f>A92+1</f>
        <v>19</v>
      </c>
      <c r="B96" s="14" t="s">
        <v>255</v>
      </c>
      <c r="C96" s="2" t="s">
        <v>16</v>
      </c>
      <c r="D96" s="15"/>
      <c r="E96" s="15">
        <v>332</v>
      </c>
      <c r="F96" s="10"/>
      <c r="G96" s="10">
        <f t="shared" si="10"/>
        <v>0</v>
      </c>
      <c r="H96" s="10"/>
      <c r="I96" s="10">
        <f t="shared" si="11"/>
        <v>0</v>
      </c>
      <c r="J96" s="10"/>
      <c r="K96" s="10">
        <f t="shared" si="12"/>
        <v>0</v>
      </c>
      <c r="L96" s="10">
        <f t="shared" si="13"/>
        <v>0</v>
      </c>
    </row>
    <row r="97" spans="1:22" x14ac:dyDescent="0.3">
      <c r="A97" s="2"/>
      <c r="B97" s="17" t="s">
        <v>13</v>
      </c>
      <c r="C97" s="18" t="s">
        <v>16</v>
      </c>
      <c r="D97" s="19">
        <v>1</v>
      </c>
      <c r="E97" s="19">
        <f>D97*E96</f>
        <v>332</v>
      </c>
      <c r="F97" s="10"/>
      <c r="G97" s="10">
        <f t="shared" si="10"/>
        <v>0</v>
      </c>
      <c r="H97" s="10"/>
      <c r="I97" s="10">
        <f t="shared" si="11"/>
        <v>0</v>
      </c>
      <c r="J97" s="10"/>
      <c r="K97" s="10">
        <f t="shared" si="12"/>
        <v>0</v>
      </c>
      <c r="L97" s="10">
        <f t="shared" si="13"/>
        <v>0</v>
      </c>
    </row>
    <row r="98" spans="1:22" x14ac:dyDescent="0.3">
      <c r="A98" s="2"/>
      <c r="B98" s="17" t="s">
        <v>37</v>
      </c>
      <c r="C98" s="18" t="s">
        <v>18</v>
      </c>
      <c r="D98" s="19">
        <f>0.2*1.02</f>
        <v>0.20400000000000001</v>
      </c>
      <c r="E98" s="19">
        <f>61.1*1.02</f>
        <v>62.322000000000003</v>
      </c>
      <c r="F98" s="10"/>
      <c r="G98" s="10">
        <f t="shared" si="10"/>
        <v>0</v>
      </c>
      <c r="H98" s="10"/>
      <c r="I98" s="10">
        <f t="shared" si="11"/>
        <v>0</v>
      </c>
      <c r="J98" s="10"/>
      <c r="K98" s="10">
        <f t="shared" si="12"/>
        <v>0</v>
      </c>
      <c r="L98" s="10">
        <f t="shared" si="13"/>
        <v>0</v>
      </c>
    </row>
    <row r="99" spans="1:22" x14ac:dyDescent="0.3">
      <c r="A99" s="2"/>
      <c r="B99" s="17" t="s">
        <v>39</v>
      </c>
      <c r="C99" s="18" t="s">
        <v>38</v>
      </c>
      <c r="D99" s="19">
        <v>1.05</v>
      </c>
      <c r="E99" s="19">
        <f>416.1/1000*1.05</f>
        <v>0.43690500000000004</v>
      </c>
      <c r="F99" s="10"/>
      <c r="G99" s="10">
        <f t="shared" si="10"/>
        <v>0</v>
      </c>
      <c r="H99" s="10"/>
      <c r="I99" s="10">
        <f t="shared" si="11"/>
        <v>0</v>
      </c>
      <c r="J99" s="10"/>
      <c r="K99" s="10">
        <f t="shared" si="12"/>
        <v>0</v>
      </c>
      <c r="L99" s="10">
        <f t="shared" si="13"/>
        <v>0</v>
      </c>
    </row>
    <row r="100" spans="1:22" x14ac:dyDescent="0.3">
      <c r="A100" s="2"/>
      <c r="B100" s="17" t="s">
        <v>40</v>
      </c>
      <c r="C100" s="18" t="s">
        <v>38</v>
      </c>
      <c r="D100" s="19">
        <v>1.05</v>
      </c>
      <c r="E100" s="19">
        <f>56.5/1000*1.05</f>
        <v>5.9325000000000003E-2</v>
      </c>
      <c r="F100" s="10"/>
      <c r="G100" s="10">
        <f t="shared" si="10"/>
        <v>0</v>
      </c>
      <c r="H100" s="10"/>
      <c r="I100" s="10">
        <f t="shared" si="11"/>
        <v>0</v>
      </c>
      <c r="J100" s="10"/>
      <c r="K100" s="10">
        <f t="shared" si="12"/>
        <v>0</v>
      </c>
      <c r="L100" s="10">
        <f t="shared" si="13"/>
        <v>0</v>
      </c>
    </row>
    <row r="101" spans="1:22" x14ac:dyDescent="0.3">
      <c r="A101" s="2"/>
      <c r="B101" s="17" t="s">
        <v>41</v>
      </c>
      <c r="C101" s="18" t="s">
        <v>16</v>
      </c>
      <c r="D101" s="19">
        <f>7.54/100</f>
        <v>7.5399999999999995E-2</v>
      </c>
      <c r="E101" s="19">
        <f t="shared" ref="E101:E106" si="19">D101*E$98</f>
        <v>4.6990787999999997</v>
      </c>
      <c r="F101" s="10"/>
      <c r="G101" s="10">
        <f t="shared" si="10"/>
        <v>0</v>
      </c>
      <c r="H101" s="10"/>
      <c r="I101" s="10">
        <f t="shared" si="11"/>
        <v>0</v>
      </c>
      <c r="J101" s="10"/>
      <c r="K101" s="10">
        <f t="shared" si="12"/>
        <v>0</v>
      </c>
      <c r="L101" s="10">
        <f t="shared" si="13"/>
        <v>0</v>
      </c>
    </row>
    <row r="102" spans="1:22" x14ac:dyDescent="0.3">
      <c r="A102" s="2"/>
      <c r="B102" s="17" t="s">
        <v>42</v>
      </c>
      <c r="C102" s="18" t="s">
        <v>18</v>
      </c>
      <c r="D102" s="27">
        <f>0.08/100</f>
        <v>8.0000000000000004E-4</v>
      </c>
      <c r="E102" s="19">
        <f t="shared" si="19"/>
        <v>4.9857600000000002E-2</v>
      </c>
      <c r="F102" s="10"/>
      <c r="G102" s="10">
        <f t="shared" si="10"/>
        <v>0</v>
      </c>
      <c r="H102" s="10"/>
      <c r="I102" s="10">
        <f t="shared" si="11"/>
        <v>0</v>
      </c>
      <c r="J102" s="10"/>
      <c r="K102" s="10">
        <f t="shared" si="12"/>
        <v>0</v>
      </c>
      <c r="L102" s="10">
        <f t="shared" si="13"/>
        <v>0</v>
      </c>
    </row>
    <row r="103" spans="1:22" x14ac:dyDescent="0.3">
      <c r="A103" s="2"/>
      <c r="B103" s="17" t="s">
        <v>43</v>
      </c>
      <c r="C103" s="18" t="s">
        <v>47</v>
      </c>
      <c r="D103" s="19">
        <v>3.2000000000000001E-2</v>
      </c>
      <c r="E103" s="19">
        <f t="shared" si="19"/>
        <v>1.9943040000000001</v>
      </c>
      <c r="F103" s="10"/>
      <c r="G103" s="10">
        <f t="shared" si="10"/>
        <v>0</v>
      </c>
      <c r="H103" s="10"/>
      <c r="I103" s="10">
        <f t="shared" si="11"/>
        <v>0</v>
      </c>
      <c r="J103" s="10"/>
      <c r="K103" s="10">
        <f t="shared" si="12"/>
        <v>0</v>
      </c>
      <c r="L103" s="10">
        <f t="shared" si="13"/>
        <v>0</v>
      </c>
    </row>
    <row r="104" spans="1:22" x14ac:dyDescent="0.3">
      <c r="A104" s="2"/>
      <c r="B104" s="17" t="s">
        <v>44</v>
      </c>
      <c r="C104" s="18" t="s">
        <v>47</v>
      </c>
      <c r="D104" s="19">
        <v>0.21</v>
      </c>
      <c r="E104" s="19">
        <f t="shared" si="19"/>
        <v>13.087619999999999</v>
      </c>
      <c r="F104" s="10"/>
      <c r="G104" s="10">
        <f t="shared" si="10"/>
        <v>0</v>
      </c>
      <c r="H104" s="10"/>
      <c r="I104" s="10">
        <f t="shared" si="11"/>
        <v>0</v>
      </c>
      <c r="J104" s="10"/>
      <c r="K104" s="10">
        <f t="shared" si="12"/>
        <v>0</v>
      </c>
      <c r="L104" s="10">
        <f t="shared" si="13"/>
        <v>0</v>
      </c>
    </row>
    <row r="105" spans="1:22" x14ac:dyDescent="0.3">
      <c r="A105" s="2"/>
      <c r="B105" s="17" t="s">
        <v>19</v>
      </c>
      <c r="C105" s="18" t="s">
        <v>18</v>
      </c>
      <c r="D105" s="19">
        <f>7/100</f>
        <v>7.0000000000000007E-2</v>
      </c>
      <c r="E105" s="19">
        <f t="shared" si="19"/>
        <v>4.362540000000001</v>
      </c>
      <c r="F105" s="10"/>
      <c r="G105" s="10">
        <f t="shared" si="10"/>
        <v>0</v>
      </c>
      <c r="H105" s="10"/>
      <c r="I105" s="10">
        <f t="shared" si="11"/>
        <v>0</v>
      </c>
      <c r="J105" s="10"/>
      <c r="K105" s="10">
        <f t="shared" si="12"/>
        <v>0</v>
      </c>
      <c r="L105" s="10">
        <f t="shared" si="13"/>
        <v>0</v>
      </c>
    </row>
    <row r="106" spans="1:22" x14ac:dyDescent="0.3">
      <c r="A106" s="2"/>
      <c r="B106" s="17" t="s">
        <v>45</v>
      </c>
      <c r="C106" s="18" t="s">
        <v>18</v>
      </c>
      <c r="D106" s="19">
        <f>77/100</f>
        <v>0.77</v>
      </c>
      <c r="E106" s="19">
        <f t="shared" si="19"/>
        <v>47.987940000000002</v>
      </c>
      <c r="F106" s="10"/>
      <c r="G106" s="10">
        <f t="shared" si="10"/>
        <v>0</v>
      </c>
      <c r="H106" s="10"/>
      <c r="I106" s="10">
        <f t="shared" si="11"/>
        <v>0</v>
      </c>
      <c r="J106" s="10"/>
      <c r="K106" s="10">
        <f t="shared" si="12"/>
        <v>0</v>
      </c>
      <c r="L106" s="10">
        <f t="shared" si="13"/>
        <v>0</v>
      </c>
      <c r="T106" s="9"/>
    </row>
    <row r="107" spans="1:22" x14ac:dyDescent="0.3">
      <c r="A107" s="2"/>
      <c r="B107" s="17" t="s">
        <v>46</v>
      </c>
      <c r="C107" s="18" t="s">
        <v>18</v>
      </c>
      <c r="D107" s="19">
        <f>0.2*1.02</f>
        <v>0.20400000000000001</v>
      </c>
      <c r="E107" s="19">
        <f>D107*E96</f>
        <v>67.728000000000009</v>
      </c>
      <c r="F107" s="10"/>
      <c r="G107" s="10">
        <f t="shared" si="10"/>
        <v>0</v>
      </c>
      <c r="H107" s="10"/>
      <c r="I107" s="10">
        <f t="shared" si="11"/>
        <v>0</v>
      </c>
      <c r="J107" s="10"/>
      <c r="K107" s="10">
        <f t="shared" si="12"/>
        <v>0</v>
      </c>
      <c r="L107" s="10">
        <f t="shared" si="13"/>
        <v>0</v>
      </c>
      <c r="T107" s="9"/>
    </row>
    <row r="108" spans="1:22" x14ac:dyDescent="0.3">
      <c r="A108" s="2">
        <f>A96+1</f>
        <v>20</v>
      </c>
      <c r="B108" s="14" t="s">
        <v>71</v>
      </c>
      <c r="C108" s="2" t="s">
        <v>12</v>
      </c>
      <c r="D108" s="15"/>
      <c r="E108" s="15">
        <f>7.5*15</f>
        <v>112.5</v>
      </c>
      <c r="F108" s="10"/>
      <c r="G108" s="10">
        <f t="shared" si="10"/>
        <v>0</v>
      </c>
      <c r="H108" s="10"/>
      <c r="I108" s="10">
        <f t="shared" si="11"/>
        <v>0</v>
      </c>
      <c r="J108" s="10"/>
      <c r="K108" s="10">
        <f t="shared" si="12"/>
        <v>0</v>
      </c>
      <c r="L108" s="10">
        <f t="shared" si="13"/>
        <v>0</v>
      </c>
      <c r="T108" s="9"/>
      <c r="V108" s="9"/>
    </row>
    <row r="109" spans="1:22" x14ac:dyDescent="0.3">
      <c r="A109" s="2"/>
      <c r="B109" s="17" t="s">
        <v>13</v>
      </c>
      <c r="C109" s="18" t="s">
        <v>12</v>
      </c>
      <c r="D109" s="19">
        <v>1</v>
      </c>
      <c r="E109" s="19">
        <f>D109*E108</f>
        <v>112.5</v>
      </c>
      <c r="F109" s="10"/>
      <c r="G109" s="10">
        <f t="shared" si="10"/>
        <v>0</v>
      </c>
      <c r="H109" s="10"/>
      <c r="I109" s="10">
        <f t="shared" si="11"/>
        <v>0</v>
      </c>
      <c r="J109" s="10"/>
      <c r="K109" s="10">
        <f t="shared" si="12"/>
        <v>0</v>
      </c>
      <c r="L109" s="10">
        <f t="shared" si="13"/>
        <v>0</v>
      </c>
      <c r="T109" s="9"/>
    </row>
    <row r="110" spans="1:22" x14ac:dyDescent="0.3">
      <c r="A110" s="2"/>
      <c r="B110" s="17" t="s">
        <v>37</v>
      </c>
      <c r="C110" s="18" t="s">
        <v>18</v>
      </c>
      <c r="D110" s="19">
        <f>0.5*0.5*1.02</f>
        <v>0.255</v>
      </c>
      <c r="E110" s="19">
        <f>31.44*1.02</f>
        <v>32.068800000000003</v>
      </c>
      <c r="F110" s="10"/>
      <c r="G110" s="10">
        <f t="shared" si="10"/>
        <v>0</v>
      </c>
      <c r="H110" s="10"/>
      <c r="I110" s="10">
        <f t="shared" si="11"/>
        <v>0</v>
      </c>
      <c r="J110" s="10"/>
      <c r="K110" s="10">
        <f t="shared" si="12"/>
        <v>0</v>
      </c>
      <c r="L110" s="10">
        <f t="shared" si="13"/>
        <v>0</v>
      </c>
      <c r="T110" s="9"/>
    </row>
    <row r="111" spans="1:22" x14ac:dyDescent="0.3">
      <c r="A111" s="2"/>
      <c r="B111" s="17" t="s">
        <v>39</v>
      </c>
      <c r="C111" s="18" t="s">
        <v>38</v>
      </c>
      <c r="D111" s="19">
        <v>1.05</v>
      </c>
      <c r="E111" s="19">
        <f>(255.7+2870.4+1067.1+93.5)/1000*1.05</f>
        <v>4.5010349999999999</v>
      </c>
      <c r="F111" s="10"/>
      <c r="G111" s="10">
        <f t="shared" si="10"/>
        <v>0</v>
      </c>
      <c r="H111" s="10"/>
      <c r="I111" s="10">
        <f t="shared" si="11"/>
        <v>0</v>
      </c>
      <c r="J111" s="10"/>
      <c r="K111" s="10">
        <f t="shared" si="12"/>
        <v>0</v>
      </c>
      <c r="L111" s="10">
        <f t="shared" si="13"/>
        <v>0</v>
      </c>
      <c r="T111" s="9"/>
    </row>
    <row r="112" spans="1:22" x14ac:dyDescent="0.3">
      <c r="A112" s="2"/>
      <c r="B112" s="17" t="s">
        <v>40</v>
      </c>
      <c r="C112" s="18" t="s">
        <v>38</v>
      </c>
      <c r="D112" s="19">
        <v>1.05</v>
      </c>
      <c r="E112" s="19">
        <f>(404.6)/1000*1.05</f>
        <v>0.42483000000000004</v>
      </c>
      <c r="F112" s="10"/>
      <c r="G112" s="10">
        <f t="shared" si="10"/>
        <v>0</v>
      </c>
      <c r="H112" s="10"/>
      <c r="I112" s="10">
        <f t="shared" si="11"/>
        <v>0</v>
      </c>
      <c r="J112" s="10"/>
      <c r="K112" s="10">
        <f t="shared" si="12"/>
        <v>0</v>
      </c>
      <c r="L112" s="10">
        <f t="shared" si="13"/>
        <v>0</v>
      </c>
      <c r="T112" s="9"/>
    </row>
    <row r="113" spans="1:12" x14ac:dyDescent="0.3">
      <c r="A113" s="2"/>
      <c r="B113" s="17" t="s">
        <v>41</v>
      </c>
      <c r="C113" s="18" t="s">
        <v>16</v>
      </c>
      <c r="D113" s="19">
        <f>242/100</f>
        <v>2.42</v>
      </c>
      <c r="E113" s="19">
        <f t="shared" ref="E113:E118" si="20">D113*E$110</f>
        <v>77.606496000000007</v>
      </c>
      <c r="F113" s="10"/>
      <c r="G113" s="10">
        <f t="shared" si="10"/>
        <v>0</v>
      </c>
      <c r="H113" s="10"/>
      <c r="I113" s="10">
        <f t="shared" si="11"/>
        <v>0</v>
      </c>
      <c r="J113" s="10"/>
      <c r="K113" s="10">
        <f t="shared" si="12"/>
        <v>0</v>
      </c>
      <c r="L113" s="10">
        <f t="shared" si="13"/>
        <v>0</v>
      </c>
    </row>
    <row r="114" spans="1:12" x14ac:dyDescent="0.3">
      <c r="A114" s="2"/>
      <c r="B114" s="17" t="s">
        <v>42</v>
      </c>
      <c r="C114" s="18" t="s">
        <v>18</v>
      </c>
      <c r="D114" s="19">
        <f>(5.76+1.6)/100</f>
        <v>7.3599999999999999E-2</v>
      </c>
      <c r="E114" s="19">
        <f t="shared" si="20"/>
        <v>2.3602636800000001</v>
      </c>
      <c r="F114" s="10"/>
      <c r="G114" s="10">
        <f t="shared" si="10"/>
        <v>0</v>
      </c>
      <c r="H114" s="10"/>
      <c r="I114" s="10">
        <f t="shared" si="11"/>
        <v>0</v>
      </c>
      <c r="J114" s="10"/>
      <c r="K114" s="10">
        <f t="shared" si="12"/>
        <v>0</v>
      </c>
      <c r="L114" s="10">
        <f t="shared" si="13"/>
        <v>0</v>
      </c>
    </row>
    <row r="115" spans="1:12" x14ac:dyDescent="0.3">
      <c r="A115" s="2"/>
      <c r="B115" s="17" t="s">
        <v>43</v>
      </c>
      <c r="C115" s="18" t="s">
        <v>47</v>
      </c>
      <c r="D115" s="19">
        <v>3.54</v>
      </c>
      <c r="E115" s="19">
        <f t="shared" si="20"/>
        <v>113.52355200000001</v>
      </c>
      <c r="F115" s="10"/>
      <c r="G115" s="10">
        <f t="shared" si="10"/>
        <v>0</v>
      </c>
      <c r="H115" s="10"/>
      <c r="I115" s="10">
        <f t="shared" si="11"/>
        <v>0</v>
      </c>
      <c r="J115" s="10"/>
      <c r="K115" s="10">
        <f t="shared" si="12"/>
        <v>0</v>
      </c>
      <c r="L115" s="10">
        <f t="shared" si="13"/>
        <v>0</v>
      </c>
    </row>
    <row r="116" spans="1:12" x14ac:dyDescent="0.3">
      <c r="A116" s="2"/>
      <c r="B116" s="17" t="s">
        <v>44</v>
      </c>
      <c r="C116" s="18" t="s">
        <v>47</v>
      </c>
      <c r="D116" s="19">
        <v>0.61</v>
      </c>
      <c r="E116" s="19">
        <f t="shared" si="20"/>
        <v>19.561968</v>
      </c>
      <c r="F116" s="10"/>
      <c r="G116" s="10">
        <f t="shared" si="10"/>
        <v>0</v>
      </c>
      <c r="H116" s="10"/>
      <c r="I116" s="10">
        <f t="shared" si="11"/>
        <v>0</v>
      </c>
      <c r="J116" s="10"/>
      <c r="K116" s="10">
        <f t="shared" si="12"/>
        <v>0</v>
      </c>
      <c r="L116" s="10">
        <f t="shared" si="13"/>
        <v>0</v>
      </c>
    </row>
    <row r="117" spans="1:12" x14ac:dyDescent="0.3">
      <c r="A117" s="2"/>
      <c r="B117" s="17" t="s">
        <v>19</v>
      </c>
      <c r="C117" s="18" t="s">
        <v>18</v>
      </c>
      <c r="D117" s="19">
        <f>60/100</f>
        <v>0.6</v>
      </c>
      <c r="E117" s="19">
        <f t="shared" si="20"/>
        <v>19.24128</v>
      </c>
      <c r="F117" s="10"/>
      <c r="G117" s="10">
        <f t="shared" si="10"/>
        <v>0</v>
      </c>
      <c r="H117" s="10"/>
      <c r="I117" s="10">
        <f t="shared" si="11"/>
        <v>0</v>
      </c>
      <c r="J117" s="10"/>
      <c r="K117" s="10">
        <f t="shared" si="12"/>
        <v>0</v>
      </c>
      <c r="L117" s="10">
        <f t="shared" si="13"/>
        <v>0</v>
      </c>
    </row>
    <row r="118" spans="1:12" x14ac:dyDescent="0.3">
      <c r="A118" s="2"/>
      <c r="B118" s="17" t="s">
        <v>45</v>
      </c>
      <c r="C118" s="18" t="s">
        <v>18</v>
      </c>
      <c r="D118" s="19">
        <f>321/100</f>
        <v>3.21</v>
      </c>
      <c r="E118" s="19">
        <f t="shared" si="20"/>
        <v>102.940848</v>
      </c>
      <c r="F118" s="10"/>
      <c r="G118" s="10">
        <f t="shared" si="10"/>
        <v>0</v>
      </c>
      <c r="H118" s="10"/>
      <c r="I118" s="10">
        <f t="shared" si="11"/>
        <v>0</v>
      </c>
      <c r="J118" s="10"/>
      <c r="K118" s="10">
        <f t="shared" si="12"/>
        <v>0</v>
      </c>
      <c r="L118" s="10">
        <f t="shared" si="13"/>
        <v>0</v>
      </c>
    </row>
    <row r="119" spans="1:12" x14ac:dyDescent="0.3">
      <c r="A119" s="2"/>
      <c r="B119" s="17" t="s">
        <v>46</v>
      </c>
      <c r="C119" s="18" t="s">
        <v>18</v>
      </c>
      <c r="D119" s="19">
        <f>0.5*0.5*1.02</f>
        <v>0.255</v>
      </c>
      <c r="E119" s="19">
        <f>E110</f>
        <v>32.068800000000003</v>
      </c>
      <c r="F119" s="10"/>
      <c r="G119" s="10">
        <f t="shared" si="10"/>
        <v>0</v>
      </c>
      <c r="H119" s="10"/>
      <c r="I119" s="10">
        <f t="shared" si="11"/>
        <v>0</v>
      </c>
      <c r="J119" s="10"/>
      <c r="K119" s="10">
        <f t="shared" si="12"/>
        <v>0</v>
      </c>
      <c r="L119" s="10">
        <f t="shared" si="13"/>
        <v>0</v>
      </c>
    </row>
    <row r="120" spans="1:12" x14ac:dyDescent="0.3">
      <c r="A120" s="2">
        <f>A108+1</f>
        <v>21</v>
      </c>
      <c r="B120" s="14" t="s">
        <v>257</v>
      </c>
      <c r="C120" s="2" t="s">
        <v>18</v>
      </c>
      <c r="D120" s="15"/>
      <c r="E120" s="15">
        <v>31.8</v>
      </c>
      <c r="F120" s="10"/>
      <c r="G120" s="10">
        <f t="shared" si="10"/>
        <v>0</v>
      </c>
      <c r="H120" s="10"/>
      <c r="I120" s="10">
        <f t="shared" si="11"/>
        <v>0</v>
      </c>
      <c r="J120" s="10"/>
      <c r="K120" s="10">
        <f t="shared" si="12"/>
        <v>0</v>
      </c>
      <c r="L120" s="10">
        <f t="shared" si="13"/>
        <v>0</v>
      </c>
    </row>
    <row r="121" spans="1:12" x14ac:dyDescent="0.3">
      <c r="A121" s="2"/>
      <c r="B121" s="17" t="s">
        <v>13</v>
      </c>
      <c r="C121" s="18" t="s">
        <v>18</v>
      </c>
      <c r="D121" s="19">
        <v>1</v>
      </c>
      <c r="E121" s="19">
        <f>D121*E120</f>
        <v>31.8</v>
      </c>
      <c r="F121" s="10"/>
      <c r="G121" s="10">
        <f t="shared" si="10"/>
        <v>0</v>
      </c>
      <c r="H121" s="10"/>
      <c r="I121" s="10">
        <f t="shared" si="11"/>
        <v>0</v>
      </c>
      <c r="J121" s="10"/>
      <c r="K121" s="10">
        <f t="shared" si="12"/>
        <v>0</v>
      </c>
      <c r="L121" s="10">
        <f t="shared" si="13"/>
        <v>0</v>
      </c>
    </row>
    <row r="122" spans="1:12" x14ac:dyDescent="0.3">
      <c r="A122" s="2"/>
      <c r="B122" s="17" t="s">
        <v>37</v>
      </c>
      <c r="C122" s="18" t="s">
        <v>18</v>
      </c>
      <c r="D122" s="19">
        <v>1.02</v>
      </c>
      <c r="E122" s="19">
        <f>D122*E120</f>
        <v>32.436</v>
      </c>
      <c r="F122" s="10"/>
      <c r="G122" s="10">
        <f t="shared" si="10"/>
        <v>0</v>
      </c>
      <c r="H122" s="10"/>
      <c r="I122" s="10">
        <f t="shared" si="11"/>
        <v>0</v>
      </c>
      <c r="J122" s="10"/>
      <c r="K122" s="10">
        <f t="shared" si="12"/>
        <v>0</v>
      </c>
      <c r="L122" s="10">
        <f t="shared" si="13"/>
        <v>0</v>
      </c>
    </row>
    <row r="123" spans="1:12" x14ac:dyDescent="0.3">
      <c r="A123" s="2"/>
      <c r="B123" s="17" t="s">
        <v>39</v>
      </c>
      <c r="C123" s="18" t="s">
        <v>38</v>
      </c>
      <c r="D123" s="19">
        <v>1.05</v>
      </c>
      <c r="E123" s="19">
        <f>(2674.3+1898.9)/1000*1.05</f>
        <v>4.8018600000000013</v>
      </c>
      <c r="F123" s="10"/>
      <c r="G123" s="10">
        <f t="shared" si="10"/>
        <v>0</v>
      </c>
      <c r="H123" s="10"/>
      <c r="I123" s="10">
        <f t="shared" si="11"/>
        <v>0</v>
      </c>
      <c r="J123" s="10"/>
      <c r="K123" s="10">
        <f t="shared" si="12"/>
        <v>0</v>
      </c>
      <c r="L123" s="10">
        <f t="shared" si="13"/>
        <v>0</v>
      </c>
    </row>
    <row r="124" spans="1:12" x14ac:dyDescent="0.3">
      <c r="A124" s="2"/>
      <c r="B124" s="17" t="s">
        <v>40</v>
      </c>
      <c r="C124" s="18" t="s">
        <v>38</v>
      </c>
      <c r="D124" s="19">
        <v>1.05</v>
      </c>
      <c r="E124" s="19">
        <f>(1395.2)/1000*1.05</f>
        <v>1.46496</v>
      </c>
      <c r="F124" s="10"/>
      <c r="G124" s="10">
        <f t="shared" si="10"/>
        <v>0</v>
      </c>
      <c r="H124" s="10"/>
      <c r="I124" s="10">
        <f t="shared" si="11"/>
        <v>0</v>
      </c>
      <c r="J124" s="10"/>
      <c r="K124" s="10">
        <f t="shared" si="12"/>
        <v>0</v>
      </c>
      <c r="L124" s="10">
        <f t="shared" si="13"/>
        <v>0</v>
      </c>
    </row>
    <row r="125" spans="1:12" x14ac:dyDescent="0.3">
      <c r="A125" s="2"/>
      <c r="B125" s="17" t="s">
        <v>41</v>
      </c>
      <c r="C125" s="18" t="s">
        <v>16</v>
      </c>
      <c r="D125" s="19">
        <f>246/100</f>
        <v>2.46</v>
      </c>
      <c r="E125" s="19">
        <f t="shared" ref="E125:E131" si="21">D125*E$122</f>
        <v>79.792559999999995</v>
      </c>
      <c r="F125" s="10"/>
      <c r="G125" s="10">
        <f t="shared" si="10"/>
        <v>0</v>
      </c>
      <c r="H125" s="10"/>
      <c r="I125" s="10">
        <f t="shared" si="11"/>
        <v>0</v>
      </c>
      <c r="J125" s="10"/>
      <c r="K125" s="10">
        <f t="shared" si="12"/>
        <v>0</v>
      </c>
      <c r="L125" s="10">
        <f t="shared" si="13"/>
        <v>0</v>
      </c>
    </row>
    <row r="126" spans="1:12" x14ac:dyDescent="0.3">
      <c r="A126" s="2"/>
      <c r="B126" s="17" t="s">
        <v>42</v>
      </c>
      <c r="C126" s="18" t="s">
        <v>18</v>
      </c>
      <c r="D126" s="19">
        <f>(1.6+0.7)/100</f>
        <v>2.3E-2</v>
      </c>
      <c r="E126" s="19">
        <f t="shared" si="21"/>
        <v>0.74602800000000002</v>
      </c>
      <c r="F126" s="10"/>
      <c r="G126" s="10">
        <f t="shared" si="10"/>
        <v>0</v>
      </c>
      <c r="H126" s="10"/>
      <c r="I126" s="10">
        <f t="shared" si="11"/>
        <v>0</v>
      </c>
      <c r="J126" s="10"/>
      <c r="K126" s="10">
        <f t="shared" si="12"/>
        <v>0</v>
      </c>
      <c r="L126" s="10">
        <f t="shared" si="13"/>
        <v>0</v>
      </c>
    </row>
    <row r="127" spans="1:12" x14ac:dyDescent="0.3">
      <c r="A127" s="2"/>
      <c r="B127" s="17" t="s">
        <v>43</v>
      </c>
      <c r="C127" s="18" t="s">
        <v>47</v>
      </c>
      <c r="D127" s="19">
        <v>3.66</v>
      </c>
      <c r="E127" s="19">
        <f t="shared" si="21"/>
        <v>118.71576</v>
      </c>
      <c r="F127" s="10"/>
      <c r="G127" s="10">
        <f t="shared" si="10"/>
        <v>0</v>
      </c>
      <c r="H127" s="10"/>
      <c r="I127" s="10">
        <f t="shared" si="11"/>
        <v>0</v>
      </c>
      <c r="J127" s="10"/>
      <c r="K127" s="10">
        <f t="shared" si="12"/>
        <v>0</v>
      </c>
      <c r="L127" s="10">
        <f t="shared" si="13"/>
        <v>0</v>
      </c>
    </row>
    <row r="128" spans="1:12" x14ac:dyDescent="0.3">
      <c r="A128" s="2"/>
      <c r="B128" s="17" t="s">
        <v>44</v>
      </c>
      <c r="C128" s="18" t="s">
        <v>47</v>
      </c>
      <c r="D128" s="19">
        <v>0.56000000000000005</v>
      </c>
      <c r="E128" s="19">
        <f t="shared" si="21"/>
        <v>18.164160000000003</v>
      </c>
      <c r="F128" s="10"/>
      <c r="G128" s="10">
        <f t="shared" si="10"/>
        <v>0</v>
      </c>
      <c r="H128" s="10"/>
      <c r="I128" s="10">
        <f t="shared" si="11"/>
        <v>0</v>
      </c>
      <c r="J128" s="10"/>
      <c r="K128" s="10">
        <f t="shared" si="12"/>
        <v>0</v>
      </c>
      <c r="L128" s="10">
        <f t="shared" si="13"/>
        <v>0</v>
      </c>
    </row>
    <row r="129" spans="1:12" x14ac:dyDescent="0.3">
      <c r="A129" s="2"/>
      <c r="B129" s="17" t="s">
        <v>19</v>
      </c>
      <c r="C129" s="18" t="s">
        <v>18</v>
      </c>
      <c r="D129" s="19">
        <f>90/100</f>
        <v>0.9</v>
      </c>
      <c r="E129" s="19">
        <f t="shared" si="21"/>
        <v>29.192399999999999</v>
      </c>
      <c r="F129" s="10"/>
      <c r="G129" s="10">
        <f t="shared" si="10"/>
        <v>0</v>
      </c>
      <c r="H129" s="10"/>
      <c r="I129" s="10">
        <f t="shared" si="11"/>
        <v>0</v>
      </c>
      <c r="J129" s="10"/>
      <c r="K129" s="10">
        <f t="shared" si="12"/>
        <v>0</v>
      </c>
      <c r="L129" s="10">
        <f t="shared" si="13"/>
        <v>0</v>
      </c>
    </row>
    <row r="130" spans="1:12" x14ac:dyDescent="0.3">
      <c r="A130" s="2"/>
      <c r="B130" s="17" t="s">
        <v>45</v>
      </c>
      <c r="C130" s="18" t="s">
        <v>18</v>
      </c>
      <c r="D130" s="19">
        <f>121/100</f>
        <v>1.21</v>
      </c>
      <c r="E130" s="19">
        <f t="shared" si="21"/>
        <v>39.24756</v>
      </c>
      <c r="F130" s="10"/>
      <c r="G130" s="10">
        <f t="shared" si="10"/>
        <v>0</v>
      </c>
      <c r="H130" s="10"/>
      <c r="I130" s="10">
        <f t="shared" si="11"/>
        <v>0</v>
      </c>
      <c r="J130" s="10"/>
      <c r="K130" s="10">
        <f t="shared" si="12"/>
        <v>0</v>
      </c>
      <c r="L130" s="10">
        <f t="shared" si="13"/>
        <v>0</v>
      </c>
    </row>
    <row r="131" spans="1:12" x14ac:dyDescent="0.3">
      <c r="A131" s="2"/>
      <c r="B131" s="17" t="s">
        <v>46</v>
      </c>
      <c r="C131" s="18" t="s">
        <v>18</v>
      </c>
      <c r="D131" s="19">
        <v>1.02</v>
      </c>
      <c r="E131" s="19">
        <f t="shared" si="21"/>
        <v>33.084719999999997</v>
      </c>
      <c r="F131" s="10"/>
      <c r="G131" s="10">
        <f t="shared" si="10"/>
        <v>0</v>
      </c>
      <c r="H131" s="10"/>
      <c r="I131" s="10">
        <f t="shared" si="11"/>
        <v>0</v>
      </c>
      <c r="J131" s="10"/>
      <c r="K131" s="10">
        <f t="shared" si="12"/>
        <v>0</v>
      </c>
      <c r="L131" s="10">
        <f t="shared" si="13"/>
        <v>0</v>
      </c>
    </row>
    <row r="132" spans="1:12" x14ac:dyDescent="0.3">
      <c r="A132" s="2">
        <f>A120+1</f>
        <v>22</v>
      </c>
      <c r="B132" s="14" t="s">
        <v>256</v>
      </c>
      <c r="C132" s="2" t="s">
        <v>16</v>
      </c>
      <c r="D132" s="15"/>
      <c r="E132" s="15">
        <f>25.1*13.8</f>
        <v>346.38000000000005</v>
      </c>
      <c r="F132" s="10"/>
      <c r="G132" s="10">
        <f t="shared" si="10"/>
        <v>0</v>
      </c>
      <c r="H132" s="10"/>
      <c r="I132" s="10">
        <f t="shared" si="11"/>
        <v>0</v>
      </c>
      <c r="J132" s="10"/>
      <c r="K132" s="10">
        <f t="shared" si="12"/>
        <v>0</v>
      </c>
      <c r="L132" s="10">
        <f t="shared" si="13"/>
        <v>0</v>
      </c>
    </row>
    <row r="133" spans="1:12" x14ac:dyDescent="0.3">
      <c r="A133" s="2"/>
      <c r="B133" s="17" t="s">
        <v>13</v>
      </c>
      <c r="C133" s="18" t="s">
        <v>16</v>
      </c>
      <c r="D133" s="19">
        <v>1</v>
      </c>
      <c r="E133" s="19">
        <f>D133*E132</f>
        <v>346.38000000000005</v>
      </c>
      <c r="F133" s="10"/>
      <c r="G133" s="10">
        <f t="shared" si="10"/>
        <v>0</v>
      </c>
      <c r="H133" s="10"/>
      <c r="I133" s="10">
        <f t="shared" si="11"/>
        <v>0</v>
      </c>
      <c r="J133" s="10"/>
      <c r="K133" s="10">
        <f t="shared" si="12"/>
        <v>0</v>
      </c>
      <c r="L133" s="10">
        <f t="shared" si="13"/>
        <v>0</v>
      </c>
    </row>
    <row r="134" spans="1:12" x14ac:dyDescent="0.3">
      <c r="A134" s="2"/>
      <c r="B134" s="17" t="s">
        <v>37</v>
      </c>
      <c r="C134" s="18" t="s">
        <v>18</v>
      </c>
      <c r="D134" s="19">
        <f>0.2*1.02</f>
        <v>0.20400000000000001</v>
      </c>
      <c r="E134" s="19">
        <f>61.1*1.02</f>
        <v>62.322000000000003</v>
      </c>
      <c r="F134" s="10"/>
      <c r="G134" s="10">
        <f t="shared" si="10"/>
        <v>0</v>
      </c>
      <c r="H134" s="10"/>
      <c r="I134" s="10">
        <f t="shared" si="11"/>
        <v>0</v>
      </c>
      <c r="J134" s="10"/>
      <c r="K134" s="10">
        <f t="shared" si="12"/>
        <v>0</v>
      </c>
      <c r="L134" s="10">
        <f t="shared" si="13"/>
        <v>0</v>
      </c>
    </row>
    <row r="135" spans="1:12" x14ac:dyDescent="0.3">
      <c r="A135" s="2"/>
      <c r="B135" s="17" t="s">
        <v>39</v>
      </c>
      <c r="C135" s="18" t="s">
        <v>38</v>
      </c>
      <c r="D135" s="19">
        <v>1.05</v>
      </c>
      <c r="E135" s="19">
        <f>(7083.9+143.9)/1000*1.05</f>
        <v>7.5891899999999994</v>
      </c>
      <c r="F135" s="10"/>
      <c r="G135" s="10">
        <f t="shared" si="10"/>
        <v>0</v>
      </c>
      <c r="H135" s="10"/>
      <c r="I135" s="10">
        <f t="shared" si="11"/>
        <v>0</v>
      </c>
      <c r="J135" s="10"/>
      <c r="K135" s="10">
        <f t="shared" si="12"/>
        <v>0</v>
      </c>
      <c r="L135" s="10">
        <f t="shared" si="13"/>
        <v>0</v>
      </c>
    </row>
    <row r="136" spans="1:12" x14ac:dyDescent="0.3">
      <c r="A136" s="2"/>
      <c r="B136" s="17" t="s">
        <v>40</v>
      </c>
      <c r="C136" s="18" t="s">
        <v>38</v>
      </c>
      <c r="D136" s="19">
        <v>1.05</v>
      </c>
      <c r="E136" s="19">
        <f>(59.9)/1000*1.05</f>
        <v>6.2895000000000006E-2</v>
      </c>
      <c r="F136" s="10"/>
      <c r="G136" s="10">
        <f t="shared" si="10"/>
        <v>0</v>
      </c>
      <c r="H136" s="10"/>
      <c r="I136" s="10">
        <f t="shared" si="11"/>
        <v>0</v>
      </c>
      <c r="J136" s="10"/>
      <c r="K136" s="10">
        <f t="shared" si="12"/>
        <v>0</v>
      </c>
      <c r="L136" s="10">
        <f t="shared" si="13"/>
        <v>0</v>
      </c>
    </row>
    <row r="137" spans="1:12" x14ac:dyDescent="0.3">
      <c r="A137" s="2"/>
      <c r="B137" s="17" t="s">
        <v>41</v>
      </c>
      <c r="C137" s="18" t="s">
        <v>16</v>
      </c>
      <c r="D137" s="19">
        <f>137/100</f>
        <v>1.37</v>
      </c>
      <c r="E137" s="19">
        <f t="shared" ref="E137:E142" si="22">D137*E$134</f>
        <v>85.381140000000016</v>
      </c>
      <c r="F137" s="10"/>
      <c r="G137" s="10">
        <f t="shared" si="10"/>
        <v>0</v>
      </c>
      <c r="H137" s="10"/>
      <c r="I137" s="10">
        <f t="shared" si="11"/>
        <v>0</v>
      </c>
      <c r="J137" s="10"/>
      <c r="K137" s="10">
        <f t="shared" si="12"/>
        <v>0</v>
      </c>
      <c r="L137" s="10">
        <f t="shared" si="13"/>
        <v>0</v>
      </c>
    </row>
    <row r="138" spans="1:12" x14ac:dyDescent="0.3">
      <c r="A138" s="2"/>
      <c r="B138" s="17" t="s">
        <v>42</v>
      </c>
      <c r="C138" s="18" t="s">
        <v>18</v>
      </c>
      <c r="D138" s="19">
        <f>(0.84+2.56+0.26)/100</f>
        <v>3.6600000000000001E-2</v>
      </c>
      <c r="E138" s="19">
        <f t="shared" si="22"/>
        <v>2.2809851999999999</v>
      </c>
      <c r="F138" s="10"/>
      <c r="G138" s="10">
        <f t="shared" si="10"/>
        <v>0</v>
      </c>
      <c r="H138" s="10"/>
      <c r="I138" s="10">
        <f t="shared" si="11"/>
        <v>0</v>
      </c>
      <c r="J138" s="10"/>
      <c r="K138" s="10">
        <f t="shared" si="12"/>
        <v>0</v>
      </c>
      <c r="L138" s="10">
        <f t="shared" si="13"/>
        <v>0</v>
      </c>
    </row>
    <row r="139" spans="1:12" x14ac:dyDescent="0.3">
      <c r="A139" s="2"/>
      <c r="B139" s="17" t="s">
        <v>43</v>
      </c>
      <c r="C139" s="18" t="s">
        <v>47</v>
      </c>
      <c r="D139" s="19">
        <v>0.75</v>
      </c>
      <c r="E139" s="19">
        <f t="shared" si="22"/>
        <v>46.741500000000002</v>
      </c>
      <c r="F139" s="10"/>
      <c r="G139" s="10">
        <f t="shared" si="10"/>
        <v>0</v>
      </c>
      <c r="H139" s="10"/>
      <c r="I139" s="10">
        <f t="shared" si="11"/>
        <v>0</v>
      </c>
      <c r="J139" s="10"/>
      <c r="K139" s="10">
        <f t="shared" si="12"/>
        <v>0</v>
      </c>
      <c r="L139" s="10">
        <f t="shared" si="13"/>
        <v>0</v>
      </c>
    </row>
    <row r="140" spans="1:12" x14ac:dyDescent="0.3">
      <c r="A140" s="2"/>
      <c r="B140" s="17" t="s">
        <v>44</v>
      </c>
      <c r="C140" s="18" t="s">
        <v>47</v>
      </c>
      <c r="D140" s="19">
        <v>0.21</v>
      </c>
      <c r="E140" s="19">
        <f t="shared" si="22"/>
        <v>13.087619999999999</v>
      </c>
      <c r="F140" s="10"/>
      <c r="G140" s="10">
        <f t="shared" si="10"/>
        <v>0</v>
      </c>
      <c r="H140" s="10"/>
      <c r="I140" s="10">
        <f t="shared" si="11"/>
        <v>0</v>
      </c>
      <c r="J140" s="10"/>
      <c r="K140" s="10">
        <f t="shared" si="12"/>
        <v>0</v>
      </c>
      <c r="L140" s="10">
        <f t="shared" si="13"/>
        <v>0</v>
      </c>
    </row>
    <row r="141" spans="1:12" x14ac:dyDescent="0.3">
      <c r="A141" s="2"/>
      <c r="B141" s="17" t="s">
        <v>19</v>
      </c>
      <c r="C141" s="18" t="s">
        <v>18</v>
      </c>
      <c r="D141" s="19">
        <f>39/100</f>
        <v>0.39</v>
      </c>
      <c r="E141" s="19">
        <f t="shared" si="22"/>
        <v>24.305580000000003</v>
      </c>
      <c r="F141" s="10"/>
      <c r="G141" s="10">
        <f t="shared" si="10"/>
        <v>0</v>
      </c>
      <c r="H141" s="10"/>
      <c r="I141" s="10">
        <f t="shared" si="11"/>
        <v>0</v>
      </c>
      <c r="J141" s="10"/>
      <c r="K141" s="10">
        <f t="shared" si="12"/>
        <v>0</v>
      </c>
      <c r="L141" s="10">
        <f t="shared" si="13"/>
        <v>0</v>
      </c>
    </row>
    <row r="142" spans="1:12" x14ac:dyDescent="0.3">
      <c r="A142" s="2"/>
      <c r="B142" s="17" t="s">
        <v>45</v>
      </c>
      <c r="C142" s="18" t="s">
        <v>18</v>
      </c>
      <c r="D142" s="19">
        <f>81/100</f>
        <v>0.81</v>
      </c>
      <c r="E142" s="19">
        <f t="shared" si="22"/>
        <v>50.480820000000008</v>
      </c>
      <c r="F142" s="10"/>
      <c r="G142" s="10">
        <f t="shared" si="10"/>
        <v>0</v>
      </c>
      <c r="H142" s="10"/>
      <c r="I142" s="10">
        <f t="shared" si="11"/>
        <v>0</v>
      </c>
      <c r="J142" s="10"/>
      <c r="K142" s="10">
        <f t="shared" si="12"/>
        <v>0</v>
      </c>
      <c r="L142" s="10">
        <f t="shared" si="13"/>
        <v>0</v>
      </c>
    </row>
    <row r="143" spans="1:12" x14ac:dyDescent="0.3">
      <c r="A143" s="2"/>
      <c r="B143" s="17" t="s">
        <v>46</v>
      </c>
      <c r="C143" s="18" t="s">
        <v>18</v>
      </c>
      <c r="D143" s="19">
        <f>0.2*1.02</f>
        <v>0.20400000000000001</v>
      </c>
      <c r="E143" s="19">
        <f>D143*E132</f>
        <v>70.66152000000001</v>
      </c>
      <c r="F143" s="10"/>
      <c r="G143" s="10">
        <f t="shared" si="10"/>
        <v>0</v>
      </c>
      <c r="H143" s="10"/>
      <c r="I143" s="10">
        <f t="shared" si="11"/>
        <v>0</v>
      </c>
      <c r="J143" s="10"/>
      <c r="K143" s="10">
        <f t="shared" si="12"/>
        <v>0</v>
      </c>
      <c r="L143" s="10">
        <f t="shared" si="13"/>
        <v>0</v>
      </c>
    </row>
    <row r="144" spans="1:12" x14ac:dyDescent="0.3">
      <c r="A144" s="2">
        <f>A132+1</f>
        <v>23</v>
      </c>
      <c r="B144" s="14" t="s">
        <v>259</v>
      </c>
      <c r="C144" s="2" t="s">
        <v>16</v>
      </c>
      <c r="D144" s="15"/>
      <c r="E144" s="15">
        <f>56*0.8</f>
        <v>44.800000000000004</v>
      </c>
      <c r="F144" s="10"/>
      <c r="G144" s="10">
        <f t="shared" si="10"/>
        <v>0</v>
      </c>
      <c r="H144" s="10"/>
      <c r="I144" s="10">
        <f t="shared" si="11"/>
        <v>0</v>
      </c>
      <c r="J144" s="10"/>
      <c r="K144" s="10">
        <f t="shared" si="12"/>
        <v>0</v>
      </c>
      <c r="L144" s="10">
        <f t="shared" si="13"/>
        <v>0</v>
      </c>
    </row>
    <row r="145" spans="1:12" x14ac:dyDescent="0.3">
      <c r="A145" s="2"/>
      <c r="B145" s="17" t="s">
        <v>13</v>
      </c>
      <c r="C145" s="18" t="s">
        <v>16</v>
      </c>
      <c r="D145" s="19">
        <v>1</v>
      </c>
      <c r="E145" s="19">
        <f>D145*E144</f>
        <v>44.800000000000004</v>
      </c>
      <c r="F145" s="10"/>
      <c r="G145" s="10">
        <f t="shared" si="10"/>
        <v>0</v>
      </c>
      <c r="H145" s="10"/>
      <c r="I145" s="10">
        <f t="shared" si="11"/>
        <v>0</v>
      </c>
      <c r="J145" s="10"/>
      <c r="K145" s="10">
        <f t="shared" si="12"/>
        <v>0</v>
      </c>
      <c r="L145" s="10">
        <f t="shared" si="13"/>
        <v>0</v>
      </c>
    </row>
    <row r="146" spans="1:12" x14ac:dyDescent="0.3">
      <c r="A146" s="2"/>
      <c r="B146" s="17" t="s">
        <v>37</v>
      </c>
      <c r="C146" s="18" t="s">
        <v>18</v>
      </c>
      <c r="D146" s="19">
        <f>0.3*1.02</f>
        <v>0.30599999999999999</v>
      </c>
      <c r="E146" s="19">
        <f>D146*E144</f>
        <v>13.708800000000002</v>
      </c>
      <c r="F146" s="10"/>
      <c r="G146" s="10">
        <f t="shared" si="10"/>
        <v>0</v>
      </c>
      <c r="H146" s="10"/>
      <c r="I146" s="10">
        <f t="shared" si="11"/>
        <v>0</v>
      </c>
      <c r="J146" s="10"/>
      <c r="K146" s="10">
        <f t="shared" si="12"/>
        <v>0</v>
      </c>
      <c r="L146" s="10">
        <f t="shared" si="13"/>
        <v>0</v>
      </c>
    </row>
    <row r="147" spans="1:12" x14ac:dyDescent="0.3">
      <c r="A147" s="2"/>
      <c r="B147" s="17" t="s">
        <v>39</v>
      </c>
      <c r="C147" s="18" t="s">
        <v>38</v>
      </c>
      <c r="D147" s="19">
        <v>1.05</v>
      </c>
      <c r="E147" s="19">
        <f>720.39/1000*1.05</f>
        <v>0.75640949999999996</v>
      </c>
      <c r="F147" s="10"/>
      <c r="G147" s="10">
        <f t="shared" si="10"/>
        <v>0</v>
      </c>
      <c r="H147" s="10"/>
      <c r="I147" s="10">
        <f t="shared" si="11"/>
        <v>0</v>
      </c>
      <c r="J147" s="10"/>
      <c r="K147" s="10">
        <f t="shared" si="12"/>
        <v>0</v>
      </c>
      <c r="L147" s="10">
        <f t="shared" si="13"/>
        <v>0</v>
      </c>
    </row>
    <row r="148" spans="1:12" x14ac:dyDescent="0.3">
      <c r="A148" s="2"/>
      <c r="B148" s="17" t="s">
        <v>40</v>
      </c>
      <c r="C148" s="18" t="s">
        <v>38</v>
      </c>
      <c r="D148" s="19">
        <v>1.05</v>
      </c>
      <c r="E148" s="19">
        <f>7.58/1000*1.05</f>
        <v>7.9590000000000008E-3</v>
      </c>
      <c r="F148" s="10"/>
      <c r="G148" s="10">
        <f t="shared" si="10"/>
        <v>0</v>
      </c>
      <c r="H148" s="10"/>
      <c r="I148" s="10">
        <f t="shared" si="11"/>
        <v>0</v>
      </c>
      <c r="J148" s="10"/>
      <c r="K148" s="10">
        <f t="shared" si="12"/>
        <v>0</v>
      </c>
      <c r="L148" s="10">
        <f t="shared" si="13"/>
        <v>0</v>
      </c>
    </row>
    <row r="149" spans="1:12" x14ac:dyDescent="0.3">
      <c r="A149" s="2"/>
      <c r="B149" s="17" t="s">
        <v>41</v>
      </c>
      <c r="C149" s="18" t="s">
        <v>16</v>
      </c>
      <c r="D149" s="19">
        <f>70.3/100</f>
        <v>0.70299999999999996</v>
      </c>
      <c r="E149" s="19">
        <f t="shared" ref="E149:E154" si="23">D149*E$146</f>
        <v>9.6372864000000007</v>
      </c>
      <c r="F149" s="10"/>
      <c r="G149" s="10">
        <f t="shared" si="10"/>
        <v>0</v>
      </c>
      <c r="H149" s="10"/>
      <c r="I149" s="10">
        <f t="shared" si="11"/>
        <v>0</v>
      </c>
      <c r="J149" s="10"/>
      <c r="K149" s="10">
        <f t="shared" si="12"/>
        <v>0</v>
      </c>
      <c r="L149" s="10">
        <f t="shared" si="13"/>
        <v>0</v>
      </c>
    </row>
    <row r="150" spans="1:12" x14ac:dyDescent="0.3">
      <c r="A150" s="2"/>
      <c r="B150" s="17" t="s">
        <v>42</v>
      </c>
      <c r="C150" s="18" t="s">
        <v>18</v>
      </c>
      <c r="D150" s="19">
        <f>1.14/100</f>
        <v>1.1399999999999999E-2</v>
      </c>
      <c r="E150" s="19">
        <f t="shared" si="23"/>
        <v>0.15628032</v>
      </c>
      <c r="F150" s="10"/>
      <c r="G150" s="10">
        <f t="shared" si="10"/>
        <v>0</v>
      </c>
      <c r="H150" s="10"/>
      <c r="I150" s="10">
        <f t="shared" si="11"/>
        <v>0</v>
      </c>
      <c r="J150" s="10"/>
      <c r="K150" s="10">
        <f t="shared" si="12"/>
        <v>0</v>
      </c>
      <c r="L150" s="10">
        <f t="shared" si="13"/>
        <v>0</v>
      </c>
    </row>
    <row r="151" spans="1:12" x14ac:dyDescent="0.3">
      <c r="A151" s="2"/>
      <c r="B151" s="17" t="s">
        <v>43</v>
      </c>
      <c r="C151" s="18" t="s">
        <v>47</v>
      </c>
      <c r="D151" s="19">
        <v>0.40600000000000003</v>
      </c>
      <c r="E151" s="19">
        <f t="shared" si="23"/>
        <v>5.5657728000000013</v>
      </c>
      <c r="F151" s="10"/>
      <c r="G151" s="10">
        <f t="shared" si="10"/>
        <v>0</v>
      </c>
      <c r="H151" s="10"/>
      <c r="I151" s="10">
        <f t="shared" si="11"/>
        <v>0</v>
      </c>
      <c r="J151" s="10"/>
      <c r="K151" s="10">
        <f t="shared" si="12"/>
        <v>0</v>
      </c>
      <c r="L151" s="10">
        <f t="shared" si="13"/>
        <v>0</v>
      </c>
    </row>
    <row r="152" spans="1:12" x14ac:dyDescent="0.3">
      <c r="A152" s="2"/>
      <c r="B152" s="17" t="s">
        <v>44</v>
      </c>
      <c r="C152" s="18" t="s">
        <v>47</v>
      </c>
      <c r="D152" s="19">
        <v>0.38</v>
      </c>
      <c r="E152" s="19">
        <f t="shared" si="23"/>
        <v>5.2093440000000006</v>
      </c>
      <c r="F152" s="10"/>
      <c r="G152" s="10">
        <f t="shared" si="10"/>
        <v>0</v>
      </c>
      <c r="H152" s="10"/>
      <c r="I152" s="10">
        <f t="shared" si="11"/>
        <v>0</v>
      </c>
      <c r="J152" s="10"/>
      <c r="K152" s="10">
        <f t="shared" si="12"/>
        <v>0</v>
      </c>
      <c r="L152" s="10">
        <f t="shared" si="13"/>
        <v>0</v>
      </c>
    </row>
    <row r="153" spans="1:12" x14ac:dyDescent="0.3">
      <c r="A153" s="2"/>
      <c r="B153" s="17" t="s">
        <v>19</v>
      </c>
      <c r="C153" s="18" t="s">
        <v>18</v>
      </c>
      <c r="D153" s="19">
        <f>60/100</f>
        <v>0.6</v>
      </c>
      <c r="E153" s="19">
        <f t="shared" si="23"/>
        <v>8.2252800000000015</v>
      </c>
      <c r="F153" s="10"/>
      <c r="G153" s="10">
        <f t="shared" si="10"/>
        <v>0</v>
      </c>
      <c r="H153" s="10"/>
      <c r="I153" s="10">
        <f t="shared" si="11"/>
        <v>0</v>
      </c>
      <c r="J153" s="10"/>
      <c r="K153" s="10">
        <f t="shared" si="12"/>
        <v>0</v>
      </c>
      <c r="L153" s="10">
        <f t="shared" si="13"/>
        <v>0</v>
      </c>
    </row>
    <row r="154" spans="1:12" x14ac:dyDescent="0.3">
      <c r="A154" s="2"/>
      <c r="B154" s="17" t="s">
        <v>45</v>
      </c>
      <c r="C154" s="18" t="s">
        <v>18</v>
      </c>
      <c r="D154" s="19">
        <f>92/100</f>
        <v>0.92</v>
      </c>
      <c r="E154" s="19">
        <f t="shared" si="23"/>
        <v>12.612096000000003</v>
      </c>
      <c r="F154" s="10"/>
      <c r="G154" s="10">
        <f t="shared" si="10"/>
        <v>0</v>
      </c>
      <c r="H154" s="10"/>
      <c r="I154" s="10">
        <f t="shared" si="11"/>
        <v>0</v>
      </c>
      <c r="J154" s="10"/>
      <c r="K154" s="10">
        <f t="shared" si="12"/>
        <v>0</v>
      </c>
      <c r="L154" s="10">
        <f t="shared" si="13"/>
        <v>0</v>
      </c>
    </row>
    <row r="155" spans="1:12" x14ac:dyDescent="0.3">
      <c r="A155" s="2"/>
      <c r="B155" s="17" t="s">
        <v>46</v>
      </c>
      <c r="C155" s="18" t="s">
        <v>18</v>
      </c>
      <c r="D155" s="19">
        <f>0.3*1.02</f>
        <v>0.30599999999999999</v>
      </c>
      <c r="E155" s="19">
        <f>D155*E144</f>
        <v>13.708800000000002</v>
      </c>
      <c r="F155" s="10"/>
      <c r="G155" s="10">
        <f t="shared" si="10"/>
        <v>0</v>
      </c>
      <c r="H155" s="10"/>
      <c r="I155" s="10">
        <f t="shared" si="11"/>
        <v>0</v>
      </c>
      <c r="J155" s="10"/>
      <c r="K155" s="10">
        <f t="shared" si="12"/>
        <v>0</v>
      </c>
      <c r="L155" s="10">
        <f t="shared" si="13"/>
        <v>0</v>
      </c>
    </row>
    <row r="156" spans="1:12" x14ac:dyDescent="0.3">
      <c r="A156" s="2">
        <f>A144+1</f>
        <v>24</v>
      </c>
      <c r="B156" s="14" t="s">
        <v>260</v>
      </c>
      <c r="C156" s="2" t="s">
        <v>16</v>
      </c>
      <c r="D156" s="15"/>
      <c r="E156" s="15">
        <v>55</v>
      </c>
      <c r="F156" s="10"/>
      <c r="G156" s="10">
        <f t="shared" ref="G156:G210" si="24">F156*E156</f>
        <v>0</v>
      </c>
      <c r="H156" s="10"/>
      <c r="I156" s="10">
        <f t="shared" ref="I156:I210" si="25">H156*E156</f>
        <v>0</v>
      </c>
      <c r="J156" s="10"/>
      <c r="K156" s="10">
        <f t="shared" ref="K156:K210" si="26">J156*E156</f>
        <v>0</v>
      </c>
      <c r="L156" s="10">
        <f t="shared" ref="L156:L210" si="27">K156+I156+G156</f>
        <v>0</v>
      </c>
    </row>
    <row r="157" spans="1:12" x14ac:dyDescent="0.3">
      <c r="A157" s="2"/>
      <c r="B157" s="17" t="s">
        <v>13</v>
      </c>
      <c r="C157" s="18" t="s">
        <v>16</v>
      </c>
      <c r="D157" s="19">
        <v>1</v>
      </c>
      <c r="E157" s="19">
        <f>D157*E156</f>
        <v>55</v>
      </c>
      <c r="F157" s="10"/>
      <c r="G157" s="10">
        <f t="shared" si="24"/>
        <v>0</v>
      </c>
      <c r="H157" s="10"/>
      <c r="I157" s="10">
        <f t="shared" si="25"/>
        <v>0</v>
      </c>
      <c r="J157" s="10"/>
      <c r="K157" s="10">
        <f t="shared" si="26"/>
        <v>0</v>
      </c>
      <c r="L157" s="10">
        <f t="shared" si="27"/>
        <v>0</v>
      </c>
    </row>
    <row r="158" spans="1:12" x14ac:dyDescent="0.3">
      <c r="A158" s="2"/>
      <c r="B158" s="17" t="s">
        <v>37</v>
      </c>
      <c r="C158" s="18" t="s">
        <v>18</v>
      </c>
      <c r="D158" s="19">
        <f>0.2*1.02</f>
        <v>0.20400000000000001</v>
      </c>
      <c r="E158" s="19">
        <f>D158*E156</f>
        <v>11.22</v>
      </c>
      <c r="F158" s="10"/>
      <c r="G158" s="10">
        <f t="shared" si="24"/>
        <v>0</v>
      </c>
      <c r="H158" s="10"/>
      <c r="I158" s="10">
        <f t="shared" si="25"/>
        <v>0</v>
      </c>
      <c r="J158" s="10"/>
      <c r="K158" s="10">
        <f t="shared" si="26"/>
        <v>0</v>
      </c>
      <c r="L158" s="10">
        <f t="shared" si="27"/>
        <v>0</v>
      </c>
    </row>
    <row r="159" spans="1:12" x14ac:dyDescent="0.3">
      <c r="A159" s="2"/>
      <c r="B159" s="17" t="s">
        <v>39</v>
      </c>
      <c r="C159" s="18" t="s">
        <v>38</v>
      </c>
      <c r="D159" s="19">
        <v>1.05</v>
      </c>
      <c r="E159" s="19">
        <f>589.6/1000*1.05</f>
        <v>0.61908000000000007</v>
      </c>
      <c r="F159" s="10"/>
      <c r="G159" s="10">
        <f t="shared" si="24"/>
        <v>0</v>
      </c>
      <c r="H159" s="10"/>
      <c r="I159" s="10">
        <f t="shared" si="25"/>
        <v>0</v>
      </c>
      <c r="J159" s="10"/>
      <c r="K159" s="10">
        <f t="shared" si="26"/>
        <v>0</v>
      </c>
      <c r="L159" s="10">
        <f t="shared" si="27"/>
        <v>0</v>
      </c>
    </row>
    <row r="160" spans="1:12" x14ac:dyDescent="0.3">
      <c r="A160" s="2"/>
      <c r="B160" s="17" t="s">
        <v>40</v>
      </c>
      <c r="C160" s="18" t="s">
        <v>38</v>
      </c>
      <c r="D160" s="19">
        <v>1.05</v>
      </c>
      <c r="E160" s="19">
        <f>6.2/1000*1.05</f>
        <v>6.5100000000000002E-3</v>
      </c>
      <c r="F160" s="10"/>
      <c r="G160" s="10">
        <f t="shared" si="24"/>
        <v>0</v>
      </c>
      <c r="H160" s="10"/>
      <c r="I160" s="10">
        <f t="shared" si="25"/>
        <v>0</v>
      </c>
      <c r="J160" s="10"/>
      <c r="K160" s="10">
        <f t="shared" si="26"/>
        <v>0</v>
      </c>
      <c r="L160" s="10">
        <f t="shared" si="27"/>
        <v>0</v>
      </c>
    </row>
    <row r="161" spans="1:18" x14ac:dyDescent="0.3">
      <c r="A161" s="2"/>
      <c r="B161" s="17" t="s">
        <v>41</v>
      </c>
      <c r="C161" s="18" t="s">
        <v>16</v>
      </c>
      <c r="D161" s="19">
        <f>264/100</f>
        <v>2.64</v>
      </c>
      <c r="E161" s="19">
        <f t="shared" ref="E161:E166" si="28">D161*E$158</f>
        <v>29.620800000000003</v>
      </c>
      <c r="F161" s="10"/>
      <c r="G161" s="10">
        <f t="shared" si="24"/>
        <v>0</v>
      </c>
      <c r="H161" s="10"/>
      <c r="I161" s="10">
        <f t="shared" si="25"/>
        <v>0</v>
      </c>
      <c r="J161" s="10"/>
      <c r="K161" s="10">
        <f t="shared" si="26"/>
        <v>0</v>
      </c>
      <c r="L161" s="10">
        <f t="shared" si="27"/>
        <v>0</v>
      </c>
    </row>
    <row r="162" spans="1:18" x14ac:dyDescent="0.3">
      <c r="A162" s="2"/>
      <c r="B162" s="17" t="s">
        <v>42</v>
      </c>
      <c r="C162" s="18" t="s">
        <v>18</v>
      </c>
      <c r="D162" s="19">
        <f>(0.49+5.49)/100</f>
        <v>5.9800000000000006E-2</v>
      </c>
      <c r="E162" s="19">
        <f t="shared" si="28"/>
        <v>0.67095600000000011</v>
      </c>
      <c r="F162" s="10"/>
      <c r="G162" s="10">
        <f t="shared" si="24"/>
        <v>0</v>
      </c>
      <c r="H162" s="10"/>
      <c r="I162" s="10">
        <f t="shared" si="25"/>
        <v>0</v>
      </c>
      <c r="J162" s="10"/>
      <c r="K162" s="10">
        <f t="shared" si="26"/>
        <v>0</v>
      </c>
      <c r="L162" s="10">
        <f t="shared" si="27"/>
        <v>0</v>
      </c>
    </row>
    <row r="163" spans="1:18" x14ac:dyDescent="0.3">
      <c r="A163" s="2"/>
      <c r="B163" s="17" t="s">
        <v>43</v>
      </c>
      <c r="C163" s="18" t="s">
        <v>47</v>
      </c>
      <c r="D163" s="19">
        <v>1.68</v>
      </c>
      <c r="E163" s="19">
        <f t="shared" si="28"/>
        <v>18.849599999999999</v>
      </c>
      <c r="F163" s="10"/>
      <c r="G163" s="10">
        <f t="shared" si="24"/>
        <v>0</v>
      </c>
      <c r="H163" s="10"/>
      <c r="I163" s="10">
        <f t="shared" si="25"/>
        <v>0</v>
      </c>
      <c r="J163" s="10"/>
      <c r="K163" s="10">
        <f t="shared" si="26"/>
        <v>0</v>
      </c>
      <c r="L163" s="10">
        <f t="shared" si="27"/>
        <v>0</v>
      </c>
    </row>
    <row r="164" spans="1:18" x14ac:dyDescent="0.3">
      <c r="A164" s="2"/>
      <c r="B164" s="17" t="s">
        <v>44</v>
      </c>
      <c r="C164" s="18" t="s">
        <v>47</v>
      </c>
      <c r="D164" s="19">
        <v>1.05</v>
      </c>
      <c r="E164" s="19">
        <f t="shared" si="28"/>
        <v>11.781000000000001</v>
      </c>
      <c r="F164" s="10"/>
      <c r="G164" s="10">
        <f t="shared" si="24"/>
        <v>0</v>
      </c>
      <c r="H164" s="10"/>
      <c r="I164" s="10">
        <f t="shared" si="25"/>
        <v>0</v>
      </c>
      <c r="J164" s="10"/>
      <c r="K164" s="10">
        <f t="shared" si="26"/>
        <v>0</v>
      </c>
      <c r="L164" s="10">
        <f t="shared" si="27"/>
        <v>0</v>
      </c>
    </row>
    <row r="165" spans="1:18" x14ac:dyDescent="0.3">
      <c r="A165" s="2"/>
      <c r="B165" s="17" t="s">
        <v>19</v>
      </c>
      <c r="C165" s="18" t="s">
        <v>18</v>
      </c>
      <c r="D165" s="19">
        <f>49/100</f>
        <v>0.49</v>
      </c>
      <c r="E165" s="19">
        <f t="shared" si="28"/>
        <v>5.4977999999999998</v>
      </c>
      <c r="F165" s="10"/>
      <c r="G165" s="10">
        <f t="shared" si="24"/>
        <v>0</v>
      </c>
      <c r="H165" s="10"/>
      <c r="I165" s="10">
        <f t="shared" si="25"/>
        <v>0</v>
      </c>
      <c r="J165" s="10"/>
      <c r="K165" s="10">
        <f t="shared" si="26"/>
        <v>0</v>
      </c>
      <c r="L165" s="10">
        <f t="shared" si="27"/>
        <v>0</v>
      </c>
    </row>
    <row r="166" spans="1:18" x14ac:dyDescent="0.3">
      <c r="A166" s="2"/>
      <c r="B166" s="17" t="s">
        <v>45</v>
      </c>
      <c r="C166" s="18" t="s">
        <v>18</v>
      </c>
      <c r="D166" s="19">
        <f>143/100</f>
        <v>1.43</v>
      </c>
      <c r="E166" s="19">
        <f t="shared" si="28"/>
        <v>16.044599999999999</v>
      </c>
      <c r="F166" s="10"/>
      <c r="G166" s="10">
        <f t="shared" si="24"/>
        <v>0</v>
      </c>
      <c r="H166" s="10"/>
      <c r="I166" s="10">
        <f t="shared" si="25"/>
        <v>0</v>
      </c>
      <c r="J166" s="10"/>
      <c r="K166" s="10">
        <f t="shared" si="26"/>
        <v>0</v>
      </c>
      <c r="L166" s="10">
        <f t="shared" si="27"/>
        <v>0</v>
      </c>
    </row>
    <row r="167" spans="1:18" x14ac:dyDescent="0.3">
      <c r="A167" s="2"/>
      <c r="B167" s="17" t="s">
        <v>46</v>
      </c>
      <c r="C167" s="18" t="s">
        <v>18</v>
      </c>
      <c r="D167" s="19">
        <f>0.2*1.02</f>
        <v>0.20400000000000001</v>
      </c>
      <c r="E167" s="19">
        <f>D167*E156</f>
        <v>11.22</v>
      </c>
      <c r="F167" s="10"/>
      <c r="G167" s="10">
        <f t="shared" si="24"/>
        <v>0</v>
      </c>
      <c r="H167" s="10"/>
      <c r="I167" s="10">
        <f t="shared" si="25"/>
        <v>0</v>
      </c>
      <c r="J167" s="10"/>
      <c r="K167" s="10">
        <f t="shared" si="26"/>
        <v>0</v>
      </c>
      <c r="L167" s="10">
        <f t="shared" si="27"/>
        <v>0</v>
      </c>
    </row>
    <row r="168" spans="1:18" x14ac:dyDescent="0.3">
      <c r="A168" s="2">
        <f>A156+1</f>
        <v>25</v>
      </c>
      <c r="B168" s="14" t="s">
        <v>261</v>
      </c>
      <c r="C168" s="2" t="s">
        <v>18</v>
      </c>
      <c r="D168" s="15"/>
      <c r="E168" s="15">
        <f>62*0.9</f>
        <v>55.800000000000004</v>
      </c>
      <c r="F168" s="10"/>
      <c r="G168" s="10">
        <f t="shared" si="24"/>
        <v>0</v>
      </c>
      <c r="H168" s="10"/>
      <c r="I168" s="10">
        <f t="shared" si="25"/>
        <v>0</v>
      </c>
      <c r="J168" s="10"/>
      <c r="K168" s="10">
        <f t="shared" si="26"/>
        <v>0</v>
      </c>
      <c r="L168" s="10">
        <f t="shared" si="27"/>
        <v>0</v>
      </c>
    </row>
    <row r="169" spans="1:18" x14ac:dyDescent="0.3">
      <c r="A169" s="2"/>
      <c r="B169" s="17" t="s">
        <v>59</v>
      </c>
      <c r="C169" s="18" t="s">
        <v>18</v>
      </c>
      <c r="D169" s="19">
        <v>1.22</v>
      </c>
      <c r="E169" s="19">
        <f>D169*E$168</f>
        <v>68.076000000000008</v>
      </c>
      <c r="F169" s="10"/>
      <c r="G169" s="10">
        <f t="shared" si="24"/>
        <v>0</v>
      </c>
      <c r="H169" s="10"/>
      <c r="I169" s="10">
        <f t="shared" si="25"/>
        <v>0</v>
      </c>
      <c r="J169" s="10"/>
      <c r="K169" s="10">
        <f t="shared" si="26"/>
        <v>0</v>
      </c>
      <c r="L169" s="10">
        <f t="shared" si="27"/>
        <v>0</v>
      </c>
      <c r="R169" s="38"/>
    </row>
    <row r="170" spans="1:18" x14ac:dyDescent="0.3">
      <c r="A170" s="2"/>
      <c r="B170" s="17" t="s">
        <v>32</v>
      </c>
      <c r="C170" s="18" t="s">
        <v>30</v>
      </c>
      <c r="D170" s="19">
        <v>0.01</v>
      </c>
      <c r="E170" s="19">
        <f>D170*E$168</f>
        <v>0.55800000000000005</v>
      </c>
      <c r="F170" s="10"/>
      <c r="G170" s="10">
        <f t="shared" si="24"/>
        <v>0</v>
      </c>
      <c r="H170" s="10"/>
      <c r="I170" s="10">
        <f t="shared" si="25"/>
        <v>0</v>
      </c>
      <c r="J170" s="10"/>
      <c r="K170" s="10">
        <f t="shared" si="26"/>
        <v>0</v>
      </c>
      <c r="L170" s="10">
        <f t="shared" si="27"/>
        <v>0</v>
      </c>
    </row>
    <row r="171" spans="1:18" x14ac:dyDescent="0.3">
      <c r="A171" s="2"/>
      <c r="B171" s="17" t="s">
        <v>33</v>
      </c>
      <c r="C171" s="18" t="s">
        <v>30</v>
      </c>
      <c r="D171" s="19">
        <v>0.01</v>
      </c>
      <c r="E171" s="19">
        <f>D171*E$168</f>
        <v>0.55800000000000005</v>
      </c>
      <c r="F171" s="10"/>
      <c r="G171" s="10">
        <f t="shared" si="24"/>
        <v>0</v>
      </c>
      <c r="H171" s="10"/>
      <c r="I171" s="10">
        <f t="shared" si="25"/>
        <v>0</v>
      </c>
      <c r="J171" s="10"/>
      <c r="K171" s="10">
        <f t="shared" si="26"/>
        <v>0</v>
      </c>
      <c r="L171" s="10">
        <f t="shared" si="27"/>
        <v>0</v>
      </c>
    </row>
    <row r="172" spans="1:18" x14ac:dyDescent="0.3">
      <c r="A172" s="2">
        <f>A168+1</f>
        <v>26</v>
      </c>
      <c r="B172" s="14" t="s">
        <v>262</v>
      </c>
      <c r="C172" s="2" t="s">
        <v>16</v>
      </c>
      <c r="D172" s="15"/>
      <c r="E172" s="15">
        <v>65</v>
      </c>
      <c r="F172" s="10"/>
      <c r="G172" s="10">
        <f t="shared" si="24"/>
        <v>0</v>
      </c>
      <c r="H172" s="10"/>
      <c r="I172" s="10">
        <f t="shared" si="25"/>
        <v>0</v>
      </c>
      <c r="J172" s="10"/>
      <c r="K172" s="10">
        <f t="shared" si="26"/>
        <v>0</v>
      </c>
      <c r="L172" s="10">
        <f t="shared" si="27"/>
        <v>0</v>
      </c>
    </row>
    <row r="173" spans="1:18" x14ac:dyDescent="0.3">
      <c r="A173" s="2"/>
      <c r="B173" s="17" t="s">
        <v>13</v>
      </c>
      <c r="C173" s="18" t="s">
        <v>16</v>
      </c>
      <c r="D173" s="19">
        <v>1</v>
      </c>
      <c r="E173" s="19">
        <f>D173*E$172</f>
        <v>65</v>
      </c>
      <c r="F173" s="10"/>
      <c r="G173" s="10">
        <f t="shared" si="24"/>
        <v>0</v>
      </c>
      <c r="H173" s="10"/>
      <c r="I173" s="10">
        <f t="shared" si="25"/>
        <v>0</v>
      </c>
      <c r="J173" s="10"/>
      <c r="K173" s="10">
        <f t="shared" si="26"/>
        <v>0</v>
      </c>
      <c r="L173" s="10">
        <f t="shared" si="27"/>
        <v>0</v>
      </c>
    </row>
    <row r="174" spans="1:18" x14ac:dyDescent="0.3">
      <c r="A174" s="2"/>
      <c r="B174" s="17" t="s">
        <v>37</v>
      </c>
      <c r="C174" s="18" t="s">
        <v>18</v>
      </c>
      <c r="D174" s="19">
        <f>0.15*1.02</f>
        <v>0.153</v>
      </c>
      <c r="E174" s="19">
        <f>D174*E$172</f>
        <v>9.9450000000000003</v>
      </c>
      <c r="F174" s="10"/>
      <c r="G174" s="10">
        <f t="shared" si="24"/>
        <v>0</v>
      </c>
      <c r="H174" s="10"/>
      <c r="I174" s="10">
        <f t="shared" si="25"/>
        <v>0</v>
      </c>
      <c r="J174" s="10"/>
      <c r="K174" s="10">
        <f t="shared" si="26"/>
        <v>0</v>
      </c>
      <c r="L174" s="10">
        <f t="shared" si="27"/>
        <v>0</v>
      </c>
    </row>
    <row r="175" spans="1:18" x14ac:dyDescent="0.3">
      <c r="A175" s="2"/>
      <c r="B175" s="17" t="s">
        <v>39</v>
      </c>
      <c r="C175" s="18" t="s">
        <v>38</v>
      </c>
      <c r="D175" s="19">
        <v>1.05</v>
      </c>
      <c r="E175" s="19">
        <f>522.6/1000*1.05</f>
        <v>0.54873000000000005</v>
      </c>
      <c r="F175" s="10"/>
      <c r="G175" s="10">
        <f t="shared" si="24"/>
        <v>0</v>
      </c>
      <c r="H175" s="10"/>
      <c r="I175" s="10">
        <f t="shared" si="25"/>
        <v>0</v>
      </c>
      <c r="J175" s="10"/>
      <c r="K175" s="10">
        <f t="shared" si="26"/>
        <v>0</v>
      </c>
      <c r="L175" s="10">
        <f t="shared" si="27"/>
        <v>0</v>
      </c>
    </row>
    <row r="176" spans="1:18" x14ac:dyDescent="0.3">
      <c r="A176" s="2"/>
      <c r="B176" s="17" t="s">
        <v>40</v>
      </c>
      <c r="C176" s="18" t="s">
        <v>38</v>
      </c>
      <c r="D176" s="19">
        <v>1.05</v>
      </c>
      <c r="E176" s="19">
        <f>5.5/1000*1.05</f>
        <v>5.7749999999999998E-3</v>
      </c>
      <c r="F176" s="10"/>
      <c r="G176" s="10">
        <f t="shared" si="24"/>
        <v>0</v>
      </c>
      <c r="H176" s="10"/>
      <c r="I176" s="10">
        <f t="shared" si="25"/>
        <v>0</v>
      </c>
      <c r="J176" s="10"/>
      <c r="K176" s="10">
        <f t="shared" si="26"/>
        <v>0</v>
      </c>
      <c r="L176" s="10">
        <f t="shared" si="27"/>
        <v>0</v>
      </c>
    </row>
    <row r="177" spans="1:12" x14ac:dyDescent="0.3">
      <c r="A177" s="2"/>
      <c r="B177" s="17" t="s">
        <v>41</v>
      </c>
      <c r="C177" s="18" t="s">
        <v>16</v>
      </c>
      <c r="D177" s="19">
        <f>7.54/100</f>
        <v>7.5399999999999995E-2</v>
      </c>
      <c r="E177" s="19">
        <f t="shared" ref="E177:E182" si="29">D177*E$174</f>
        <v>0.74985299999999999</v>
      </c>
      <c r="F177" s="10"/>
      <c r="G177" s="10">
        <f t="shared" si="24"/>
        <v>0</v>
      </c>
      <c r="H177" s="10"/>
      <c r="I177" s="10">
        <f t="shared" si="25"/>
        <v>0</v>
      </c>
      <c r="J177" s="10"/>
      <c r="K177" s="10">
        <f t="shared" si="26"/>
        <v>0</v>
      </c>
      <c r="L177" s="10">
        <f t="shared" si="27"/>
        <v>0</v>
      </c>
    </row>
    <row r="178" spans="1:12" x14ac:dyDescent="0.3">
      <c r="A178" s="2"/>
      <c r="B178" s="17" t="s">
        <v>42</v>
      </c>
      <c r="C178" s="18" t="s">
        <v>18</v>
      </c>
      <c r="D178" s="27">
        <f>0.08/100</f>
        <v>8.0000000000000004E-4</v>
      </c>
      <c r="E178" s="19">
        <f t="shared" si="29"/>
        <v>7.9560000000000013E-3</v>
      </c>
      <c r="F178" s="10"/>
      <c r="G178" s="10">
        <f t="shared" si="24"/>
        <v>0</v>
      </c>
      <c r="H178" s="10"/>
      <c r="I178" s="10">
        <f t="shared" si="25"/>
        <v>0</v>
      </c>
      <c r="J178" s="10"/>
      <c r="K178" s="10">
        <f t="shared" si="26"/>
        <v>0</v>
      </c>
      <c r="L178" s="10">
        <f t="shared" si="27"/>
        <v>0</v>
      </c>
    </row>
    <row r="179" spans="1:12" x14ac:dyDescent="0.3">
      <c r="A179" s="2"/>
      <c r="B179" s="17" t="s">
        <v>43</v>
      </c>
      <c r="C179" s="18" t="s">
        <v>47</v>
      </c>
      <c r="D179" s="19">
        <v>3.2000000000000001E-2</v>
      </c>
      <c r="E179" s="19">
        <f t="shared" si="29"/>
        <v>0.31824000000000002</v>
      </c>
      <c r="F179" s="10"/>
      <c r="G179" s="10">
        <f t="shared" si="24"/>
        <v>0</v>
      </c>
      <c r="H179" s="10"/>
      <c r="I179" s="10">
        <f t="shared" si="25"/>
        <v>0</v>
      </c>
      <c r="J179" s="10"/>
      <c r="K179" s="10">
        <f t="shared" si="26"/>
        <v>0</v>
      </c>
      <c r="L179" s="10">
        <f t="shared" si="27"/>
        <v>0</v>
      </c>
    </row>
    <row r="180" spans="1:12" x14ac:dyDescent="0.3">
      <c r="A180" s="2"/>
      <c r="B180" s="17" t="s">
        <v>44</v>
      </c>
      <c r="C180" s="18" t="s">
        <v>47</v>
      </c>
      <c r="D180" s="19">
        <v>0.21</v>
      </c>
      <c r="E180" s="19">
        <f t="shared" si="29"/>
        <v>2.0884499999999999</v>
      </c>
      <c r="F180" s="10"/>
      <c r="G180" s="10">
        <f t="shared" si="24"/>
        <v>0</v>
      </c>
      <c r="H180" s="10"/>
      <c r="I180" s="10">
        <f t="shared" si="25"/>
        <v>0</v>
      </c>
      <c r="J180" s="10"/>
      <c r="K180" s="10">
        <f t="shared" si="26"/>
        <v>0</v>
      </c>
      <c r="L180" s="10">
        <f t="shared" si="27"/>
        <v>0</v>
      </c>
    </row>
    <row r="181" spans="1:12" x14ac:dyDescent="0.3">
      <c r="A181" s="2"/>
      <c r="B181" s="17" t="s">
        <v>19</v>
      </c>
      <c r="C181" s="18" t="s">
        <v>18</v>
      </c>
      <c r="D181" s="19">
        <f>7/100</f>
        <v>7.0000000000000007E-2</v>
      </c>
      <c r="E181" s="19">
        <f t="shared" si="29"/>
        <v>0.69615000000000005</v>
      </c>
      <c r="F181" s="10"/>
      <c r="G181" s="10">
        <f t="shared" si="24"/>
        <v>0</v>
      </c>
      <c r="H181" s="10"/>
      <c r="I181" s="10">
        <f t="shared" si="25"/>
        <v>0</v>
      </c>
      <c r="J181" s="10"/>
      <c r="K181" s="10">
        <f t="shared" si="26"/>
        <v>0</v>
      </c>
      <c r="L181" s="10">
        <f t="shared" si="27"/>
        <v>0</v>
      </c>
    </row>
    <row r="182" spans="1:12" x14ac:dyDescent="0.3">
      <c r="A182" s="2"/>
      <c r="B182" s="17" t="s">
        <v>45</v>
      </c>
      <c r="C182" s="18" t="s">
        <v>18</v>
      </c>
      <c r="D182" s="19">
        <f>77/100</f>
        <v>0.77</v>
      </c>
      <c r="E182" s="19">
        <f t="shared" si="29"/>
        <v>7.6576500000000003</v>
      </c>
      <c r="F182" s="10"/>
      <c r="G182" s="10">
        <f t="shared" si="24"/>
        <v>0</v>
      </c>
      <c r="H182" s="10"/>
      <c r="I182" s="10">
        <f t="shared" si="25"/>
        <v>0</v>
      </c>
      <c r="J182" s="10"/>
      <c r="K182" s="10">
        <f t="shared" si="26"/>
        <v>0</v>
      </c>
      <c r="L182" s="10">
        <f t="shared" si="27"/>
        <v>0</v>
      </c>
    </row>
    <row r="183" spans="1:12" x14ac:dyDescent="0.3">
      <c r="A183" s="2"/>
      <c r="B183" s="17" t="s">
        <v>46</v>
      </c>
      <c r="C183" s="18" t="s">
        <v>18</v>
      </c>
      <c r="D183" s="19">
        <f>0.15*1.02</f>
        <v>0.153</v>
      </c>
      <c r="E183" s="19">
        <f>D183*E172</f>
        <v>9.9450000000000003</v>
      </c>
      <c r="F183" s="10"/>
      <c r="G183" s="10">
        <f t="shared" si="24"/>
        <v>0</v>
      </c>
      <c r="H183" s="10"/>
      <c r="I183" s="10">
        <f t="shared" si="25"/>
        <v>0</v>
      </c>
      <c r="J183" s="10"/>
      <c r="K183" s="10">
        <f t="shared" si="26"/>
        <v>0</v>
      </c>
      <c r="L183" s="10">
        <f t="shared" si="27"/>
        <v>0</v>
      </c>
    </row>
    <row r="184" spans="1:12" x14ac:dyDescent="0.3">
      <c r="A184" s="2">
        <f>A172+1</f>
        <v>27</v>
      </c>
      <c r="B184" s="14" t="s">
        <v>90</v>
      </c>
      <c r="C184" s="2" t="s">
        <v>16</v>
      </c>
      <c r="D184" s="15"/>
      <c r="E184" s="15">
        <f>4.2*2.92</f>
        <v>12.263999999999999</v>
      </c>
      <c r="F184" s="10"/>
      <c r="G184" s="10">
        <f t="shared" si="24"/>
        <v>0</v>
      </c>
      <c r="H184" s="10"/>
      <c r="I184" s="10">
        <f t="shared" si="25"/>
        <v>0</v>
      </c>
      <c r="J184" s="10"/>
      <c r="K184" s="10">
        <f t="shared" si="26"/>
        <v>0</v>
      </c>
      <c r="L184" s="10">
        <f t="shared" si="27"/>
        <v>0</v>
      </c>
    </row>
    <row r="185" spans="1:12" x14ac:dyDescent="0.3">
      <c r="A185" s="2"/>
      <c r="B185" s="5" t="s">
        <v>13</v>
      </c>
      <c r="C185" s="1" t="s">
        <v>16</v>
      </c>
      <c r="D185" s="8">
        <v>1</v>
      </c>
      <c r="E185" s="8">
        <f>D185*E184</f>
        <v>12.263999999999999</v>
      </c>
      <c r="F185" s="10"/>
      <c r="G185" s="10">
        <f t="shared" si="24"/>
        <v>0</v>
      </c>
      <c r="H185" s="10"/>
      <c r="I185" s="10">
        <f t="shared" si="25"/>
        <v>0</v>
      </c>
      <c r="J185" s="10"/>
      <c r="K185" s="10">
        <f t="shared" si="26"/>
        <v>0</v>
      </c>
      <c r="L185" s="10">
        <f t="shared" si="27"/>
        <v>0</v>
      </c>
    </row>
    <row r="186" spans="1:12" x14ac:dyDescent="0.3">
      <c r="A186" s="2"/>
      <c r="B186" s="5" t="s">
        <v>37</v>
      </c>
      <c r="C186" s="1" t="s">
        <v>18</v>
      </c>
      <c r="D186" s="8">
        <f>0.2*1.02</f>
        <v>0.20400000000000001</v>
      </c>
      <c r="E186" s="8">
        <f>D186*E184</f>
        <v>2.5018560000000001</v>
      </c>
      <c r="F186" s="10"/>
      <c r="G186" s="10">
        <f t="shared" si="24"/>
        <v>0</v>
      </c>
      <c r="H186" s="10"/>
      <c r="I186" s="10">
        <f t="shared" si="25"/>
        <v>0</v>
      </c>
      <c r="J186" s="10"/>
      <c r="K186" s="10">
        <f t="shared" si="26"/>
        <v>0</v>
      </c>
      <c r="L186" s="10">
        <f t="shared" si="27"/>
        <v>0</v>
      </c>
    </row>
    <row r="187" spans="1:12" x14ac:dyDescent="0.3">
      <c r="A187" s="2"/>
      <c r="B187" s="5" t="s">
        <v>39</v>
      </c>
      <c r="C187" s="1" t="s">
        <v>38</v>
      </c>
      <c r="D187" s="8">
        <v>1.05</v>
      </c>
      <c r="E187" s="8">
        <f>E184*8.88*1.1/1000*1.07*2</f>
        <v>0.25636076928000001</v>
      </c>
      <c r="F187" s="10"/>
      <c r="G187" s="10">
        <f t="shared" si="24"/>
        <v>0</v>
      </c>
      <c r="H187" s="10"/>
      <c r="I187" s="10">
        <f t="shared" si="25"/>
        <v>0</v>
      </c>
      <c r="J187" s="10"/>
      <c r="K187" s="10">
        <f t="shared" si="26"/>
        <v>0</v>
      </c>
      <c r="L187" s="10">
        <f t="shared" si="27"/>
        <v>0</v>
      </c>
    </row>
    <row r="188" spans="1:12" x14ac:dyDescent="0.3">
      <c r="A188" s="2"/>
      <c r="B188" s="5" t="s">
        <v>40</v>
      </c>
      <c r="C188" s="1" t="s">
        <v>38</v>
      </c>
      <c r="D188" s="8">
        <v>1.05</v>
      </c>
      <c r="E188" s="8">
        <f>E187*0.1</f>
        <v>2.5636076928000004E-2</v>
      </c>
      <c r="F188" s="10"/>
      <c r="G188" s="10">
        <f t="shared" si="24"/>
        <v>0</v>
      </c>
      <c r="H188" s="10"/>
      <c r="I188" s="10">
        <f t="shared" si="25"/>
        <v>0</v>
      </c>
      <c r="J188" s="10"/>
      <c r="K188" s="10">
        <f t="shared" si="26"/>
        <v>0</v>
      </c>
      <c r="L188" s="10">
        <f t="shared" si="27"/>
        <v>0</v>
      </c>
    </row>
    <row r="189" spans="1:12" x14ac:dyDescent="0.3">
      <c r="A189" s="2"/>
      <c r="B189" s="5" t="s">
        <v>41</v>
      </c>
      <c r="C189" s="1" t="s">
        <v>16</v>
      </c>
      <c r="D189" s="8">
        <f>7.54/100</f>
        <v>7.5399999999999995E-2</v>
      </c>
      <c r="E189" s="8">
        <f t="shared" ref="E189:E194" si="30">D189*E$186</f>
        <v>0.18863994239999998</v>
      </c>
      <c r="F189" s="10"/>
      <c r="G189" s="10">
        <f t="shared" si="24"/>
        <v>0</v>
      </c>
      <c r="H189" s="10"/>
      <c r="I189" s="10">
        <f t="shared" si="25"/>
        <v>0</v>
      </c>
      <c r="J189" s="10"/>
      <c r="K189" s="10">
        <f t="shared" si="26"/>
        <v>0</v>
      </c>
      <c r="L189" s="10">
        <f t="shared" si="27"/>
        <v>0</v>
      </c>
    </row>
    <row r="190" spans="1:12" x14ac:dyDescent="0.3">
      <c r="A190" s="2"/>
      <c r="B190" s="5" t="s">
        <v>42</v>
      </c>
      <c r="C190" s="1" t="s">
        <v>18</v>
      </c>
      <c r="D190" s="16">
        <f>0.08/100</f>
        <v>8.0000000000000004E-4</v>
      </c>
      <c r="E190" s="16">
        <f t="shared" si="30"/>
        <v>2.0014848000000003E-3</v>
      </c>
      <c r="F190" s="10"/>
      <c r="G190" s="10">
        <f t="shared" si="24"/>
        <v>0</v>
      </c>
      <c r="H190" s="10"/>
      <c r="I190" s="10">
        <f t="shared" si="25"/>
        <v>0</v>
      </c>
      <c r="J190" s="10"/>
      <c r="K190" s="10">
        <f t="shared" si="26"/>
        <v>0</v>
      </c>
      <c r="L190" s="10">
        <f t="shared" si="27"/>
        <v>0</v>
      </c>
    </row>
    <row r="191" spans="1:12" x14ac:dyDescent="0.3">
      <c r="A191" s="2"/>
      <c r="B191" s="5" t="s">
        <v>43</v>
      </c>
      <c r="C191" s="1" t="s">
        <v>47</v>
      </c>
      <c r="D191" s="8">
        <v>3.2000000000000001E-2</v>
      </c>
      <c r="E191" s="8">
        <f t="shared" si="30"/>
        <v>8.0059392000000007E-2</v>
      </c>
      <c r="F191" s="10"/>
      <c r="G191" s="10">
        <f t="shared" si="24"/>
        <v>0</v>
      </c>
      <c r="H191" s="10"/>
      <c r="I191" s="10">
        <f t="shared" si="25"/>
        <v>0</v>
      </c>
      <c r="J191" s="10"/>
      <c r="K191" s="10">
        <f t="shared" si="26"/>
        <v>0</v>
      </c>
      <c r="L191" s="10">
        <f t="shared" si="27"/>
        <v>0</v>
      </c>
    </row>
    <row r="192" spans="1:12" x14ac:dyDescent="0.3">
      <c r="A192" s="2"/>
      <c r="B192" s="5" t="s">
        <v>44</v>
      </c>
      <c r="C192" s="1" t="s">
        <v>47</v>
      </c>
      <c r="D192" s="8">
        <v>0.21</v>
      </c>
      <c r="E192" s="8">
        <f t="shared" si="30"/>
        <v>0.52538976000000004</v>
      </c>
      <c r="F192" s="10"/>
      <c r="G192" s="10">
        <f t="shared" si="24"/>
        <v>0</v>
      </c>
      <c r="H192" s="10"/>
      <c r="I192" s="10">
        <f t="shared" si="25"/>
        <v>0</v>
      </c>
      <c r="J192" s="10"/>
      <c r="K192" s="10">
        <f t="shared" si="26"/>
        <v>0</v>
      </c>
      <c r="L192" s="10">
        <f t="shared" si="27"/>
        <v>0</v>
      </c>
    </row>
    <row r="193" spans="1:12" x14ac:dyDescent="0.3">
      <c r="A193" s="2"/>
      <c r="B193" s="5" t="s">
        <v>19</v>
      </c>
      <c r="C193" s="1" t="s">
        <v>18</v>
      </c>
      <c r="D193" s="8">
        <f>7/100</f>
        <v>7.0000000000000007E-2</v>
      </c>
      <c r="E193" s="8">
        <f t="shared" si="30"/>
        <v>0.17512992000000002</v>
      </c>
      <c r="F193" s="10"/>
      <c r="G193" s="10">
        <f t="shared" si="24"/>
        <v>0</v>
      </c>
      <c r="H193" s="10"/>
      <c r="I193" s="10">
        <f t="shared" si="25"/>
        <v>0</v>
      </c>
      <c r="J193" s="10"/>
      <c r="K193" s="10">
        <f t="shared" si="26"/>
        <v>0</v>
      </c>
      <c r="L193" s="10">
        <f t="shared" si="27"/>
        <v>0</v>
      </c>
    </row>
    <row r="194" spans="1:12" x14ac:dyDescent="0.3">
      <c r="A194" s="2"/>
      <c r="B194" s="5" t="s">
        <v>45</v>
      </c>
      <c r="C194" s="1" t="s">
        <v>18</v>
      </c>
      <c r="D194" s="8">
        <f>77/100</f>
        <v>0.77</v>
      </c>
      <c r="E194" s="8">
        <f t="shared" si="30"/>
        <v>1.9264291200000001</v>
      </c>
      <c r="F194" s="10"/>
      <c r="G194" s="10">
        <f t="shared" si="24"/>
        <v>0</v>
      </c>
      <c r="H194" s="10"/>
      <c r="I194" s="10">
        <f t="shared" si="25"/>
        <v>0</v>
      </c>
      <c r="J194" s="10"/>
      <c r="K194" s="10">
        <f t="shared" si="26"/>
        <v>0</v>
      </c>
      <c r="L194" s="10">
        <f t="shared" si="27"/>
        <v>0</v>
      </c>
    </row>
    <row r="195" spans="1:12" x14ac:dyDescent="0.3">
      <c r="A195" s="2">
        <f>A184+1</f>
        <v>28</v>
      </c>
      <c r="B195" s="14" t="s">
        <v>91</v>
      </c>
      <c r="C195" s="2" t="s">
        <v>16</v>
      </c>
      <c r="D195" s="15"/>
      <c r="E195" s="15">
        <f>(2.72+2.72+4.2)*0.96</f>
        <v>9.2544000000000004</v>
      </c>
      <c r="F195" s="10"/>
      <c r="G195" s="10">
        <f t="shared" si="24"/>
        <v>0</v>
      </c>
      <c r="H195" s="10"/>
      <c r="I195" s="10">
        <f t="shared" si="25"/>
        <v>0</v>
      </c>
      <c r="J195" s="10"/>
      <c r="K195" s="10">
        <f t="shared" si="26"/>
        <v>0</v>
      </c>
      <c r="L195" s="10">
        <f t="shared" si="27"/>
        <v>0</v>
      </c>
    </row>
    <row r="196" spans="1:12" x14ac:dyDescent="0.3">
      <c r="A196" s="2"/>
      <c r="B196" s="5" t="s">
        <v>13</v>
      </c>
      <c r="C196" s="1" t="s">
        <v>16</v>
      </c>
      <c r="D196" s="8">
        <v>1</v>
      </c>
      <c r="E196" s="8">
        <f>D196*E195</f>
        <v>9.2544000000000004</v>
      </c>
      <c r="F196" s="10"/>
      <c r="G196" s="10">
        <f t="shared" si="24"/>
        <v>0</v>
      </c>
      <c r="H196" s="10"/>
      <c r="I196" s="10">
        <f t="shared" si="25"/>
        <v>0</v>
      </c>
      <c r="J196" s="10"/>
      <c r="K196" s="10">
        <f t="shared" si="26"/>
        <v>0</v>
      </c>
      <c r="L196" s="10">
        <f t="shared" si="27"/>
        <v>0</v>
      </c>
    </row>
    <row r="197" spans="1:12" x14ac:dyDescent="0.3">
      <c r="A197" s="2"/>
      <c r="B197" s="5" t="s">
        <v>37</v>
      </c>
      <c r="C197" s="1" t="s">
        <v>18</v>
      </c>
      <c r="D197" s="8">
        <f>0.2*1.02</f>
        <v>0.20400000000000001</v>
      </c>
      <c r="E197" s="8">
        <f>D197*E195</f>
        <v>1.8878976000000003</v>
      </c>
      <c r="F197" s="10"/>
      <c r="G197" s="10">
        <f t="shared" si="24"/>
        <v>0</v>
      </c>
      <c r="H197" s="10"/>
      <c r="I197" s="10">
        <f t="shared" si="25"/>
        <v>0</v>
      </c>
      <c r="J197" s="10"/>
      <c r="K197" s="10">
        <f t="shared" si="26"/>
        <v>0</v>
      </c>
      <c r="L197" s="10">
        <f t="shared" si="27"/>
        <v>0</v>
      </c>
    </row>
    <row r="198" spans="1:12" x14ac:dyDescent="0.3">
      <c r="A198" s="2"/>
      <c r="B198" s="5" t="s">
        <v>39</v>
      </c>
      <c r="C198" s="1" t="s">
        <v>38</v>
      </c>
      <c r="D198" s="8">
        <v>1.05</v>
      </c>
      <c r="E198" s="8">
        <f>E195*8.88*1.15/1000*1.07*2</f>
        <v>0.202242696192</v>
      </c>
      <c r="F198" s="10"/>
      <c r="G198" s="10">
        <f t="shared" si="24"/>
        <v>0</v>
      </c>
      <c r="H198" s="10"/>
      <c r="I198" s="10">
        <f t="shared" si="25"/>
        <v>0</v>
      </c>
      <c r="J198" s="10"/>
      <c r="K198" s="10">
        <f t="shared" si="26"/>
        <v>0</v>
      </c>
      <c r="L198" s="10">
        <f t="shared" si="27"/>
        <v>0</v>
      </c>
    </row>
    <row r="199" spans="1:12" x14ac:dyDescent="0.3">
      <c r="A199" s="2"/>
      <c r="B199" s="5" t="s">
        <v>40</v>
      </c>
      <c r="C199" s="1" t="s">
        <v>38</v>
      </c>
      <c r="D199" s="8">
        <v>1.05</v>
      </c>
      <c r="E199" s="8">
        <f>E198*0.15</f>
        <v>3.03364044288E-2</v>
      </c>
      <c r="F199" s="10"/>
      <c r="G199" s="10">
        <f t="shared" si="24"/>
        <v>0</v>
      </c>
      <c r="H199" s="10"/>
      <c r="I199" s="10">
        <f t="shared" si="25"/>
        <v>0</v>
      </c>
      <c r="J199" s="10"/>
      <c r="K199" s="10">
        <f t="shared" si="26"/>
        <v>0</v>
      </c>
      <c r="L199" s="10">
        <f t="shared" si="27"/>
        <v>0</v>
      </c>
    </row>
    <row r="200" spans="1:12" x14ac:dyDescent="0.3">
      <c r="A200" s="2"/>
      <c r="B200" s="5" t="s">
        <v>41</v>
      </c>
      <c r="C200" s="1" t="s">
        <v>16</v>
      </c>
      <c r="D200" s="8">
        <f>264/100</f>
        <v>2.64</v>
      </c>
      <c r="E200" s="8">
        <f t="shared" ref="E200:E205" si="31">D200*E197</f>
        <v>4.9840496640000014</v>
      </c>
      <c r="F200" s="10"/>
      <c r="G200" s="10">
        <f t="shared" si="24"/>
        <v>0</v>
      </c>
      <c r="H200" s="10"/>
      <c r="I200" s="10">
        <f t="shared" si="25"/>
        <v>0</v>
      </c>
      <c r="J200" s="10"/>
      <c r="K200" s="10">
        <f t="shared" si="26"/>
        <v>0</v>
      </c>
      <c r="L200" s="10">
        <f t="shared" si="27"/>
        <v>0</v>
      </c>
    </row>
    <row r="201" spans="1:12" x14ac:dyDescent="0.3">
      <c r="A201" s="2"/>
      <c r="B201" s="5" t="s">
        <v>42</v>
      </c>
      <c r="C201" s="1" t="s">
        <v>18</v>
      </c>
      <c r="D201" s="16">
        <f>(0.49+5.49)/100</f>
        <v>5.9800000000000006E-2</v>
      </c>
      <c r="E201" s="8">
        <f t="shared" si="31"/>
        <v>1.20941132322816E-2</v>
      </c>
      <c r="F201" s="10"/>
      <c r="G201" s="10">
        <f t="shared" si="24"/>
        <v>0</v>
      </c>
      <c r="H201" s="10"/>
      <c r="I201" s="10">
        <f t="shared" si="25"/>
        <v>0</v>
      </c>
      <c r="J201" s="10"/>
      <c r="K201" s="10">
        <f t="shared" si="26"/>
        <v>0</v>
      </c>
      <c r="L201" s="10">
        <f t="shared" si="27"/>
        <v>0</v>
      </c>
    </row>
    <row r="202" spans="1:12" x14ac:dyDescent="0.3">
      <c r="A202" s="2"/>
      <c r="B202" s="5" t="s">
        <v>43</v>
      </c>
      <c r="C202" s="1" t="s">
        <v>47</v>
      </c>
      <c r="D202" s="8">
        <v>1.68</v>
      </c>
      <c r="E202" s="8">
        <f t="shared" si="31"/>
        <v>5.0965159440383996E-2</v>
      </c>
      <c r="F202" s="10"/>
      <c r="G202" s="10">
        <f t="shared" si="24"/>
        <v>0</v>
      </c>
      <c r="H202" s="10"/>
      <c r="I202" s="10">
        <f t="shared" si="25"/>
        <v>0</v>
      </c>
      <c r="J202" s="10"/>
      <c r="K202" s="10">
        <f t="shared" si="26"/>
        <v>0</v>
      </c>
      <c r="L202" s="10">
        <f t="shared" si="27"/>
        <v>0</v>
      </c>
    </row>
    <row r="203" spans="1:12" x14ac:dyDescent="0.3">
      <c r="A203" s="2"/>
      <c r="B203" s="5" t="s">
        <v>44</v>
      </c>
      <c r="C203" s="1" t="s">
        <v>47</v>
      </c>
      <c r="D203" s="8">
        <v>1.05</v>
      </c>
      <c r="E203" s="8">
        <f t="shared" si="31"/>
        <v>5.2332521472000018</v>
      </c>
      <c r="F203" s="10"/>
      <c r="G203" s="10">
        <f t="shared" si="24"/>
        <v>0</v>
      </c>
      <c r="H203" s="10"/>
      <c r="I203" s="10">
        <f t="shared" si="25"/>
        <v>0</v>
      </c>
      <c r="J203" s="10"/>
      <c r="K203" s="10">
        <f t="shared" si="26"/>
        <v>0</v>
      </c>
      <c r="L203" s="10">
        <f t="shared" si="27"/>
        <v>0</v>
      </c>
    </row>
    <row r="204" spans="1:12" x14ac:dyDescent="0.3">
      <c r="A204" s="2"/>
      <c r="B204" s="5" t="s">
        <v>19</v>
      </c>
      <c r="C204" s="1" t="s">
        <v>18</v>
      </c>
      <c r="D204" s="8">
        <f>49/100</f>
        <v>0.49</v>
      </c>
      <c r="E204" s="8">
        <f t="shared" si="31"/>
        <v>5.926115483817984E-3</v>
      </c>
      <c r="F204" s="10"/>
      <c r="G204" s="10">
        <f t="shared" si="24"/>
        <v>0</v>
      </c>
      <c r="H204" s="10"/>
      <c r="I204" s="10">
        <f t="shared" si="25"/>
        <v>0</v>
      </c>
      <c r="J204" s="10"/>
      <c r="K204" s="10">
        <f t="shared" si="26"/>
        <v>0</v>
      </c>
      <c r="L204" s="10">
        <f t="shared" si="27"/>
        <v>0</v>
      </c>
    </row>
    <row r="205" spans="1:12" x14ac:dyDescent="0.3">
      <c r="A205" s="2"/>
      <c r="B205" s="5" t="s">
        <v>45</v>
      </c>
      <c r="C205" s="1" t="s">
        <v>18</v>
      </c>
      <c r="D205" s="8">
        <f>143/100</f>
        <v>1.43</v>
      </c>
      <c r="E205" s="8">
        <f t="shared" si="31"/>
        <v>7.2880177999749107E-2</v>
      </c>
      <c r="F205" s="10"/>
      <c r="G205" s="10">
        <f t="shared" si="24"/>
        <v>0</v>
      </c>
      <c r="H205" s="10"/>
      <c r="I205" s="10">
        <f t="shared" si="25"/>
        <v>0</v>
      </c>
      <c r="J205" s="10"/>
      <c r="K205" s="10">
        <f t="shared" si="26"/>
        <v>0</v>
      </c>
      <c r="L205" s="10">
        <f t="shared" si="27"/>
        <v>0</v>
      </c>
    </row>
    <row r="206" spans="1:12" x14ac:dyDescent="0.3">
      <c r="A206" s="2">
        <f>A195+1</f>
        <v>29</v>
      </c>
      <c r="B206" s="14" t="s">
        <v>92</v>
      </c>
      <c r="C206" s="2" t="s">
        <v>12</v>
      </c>
      <c r="D206" s="15"/>
      <c r="E206" s="15">
        <f>2.52+2.52+3.8</f>
        <v>8.84</v>
      </c>
      <c r="F206" s="10"/>
      <c r="G206" s="10">
        <f t="shared" si="24"/>
        <v>0</v>
      </c>
      <c r="H206" s="10"/>
      <c r="I206" s="10">
        <f t="shared" si="25"/>
        <v>0</v>
      </c>
      <c r="J206" s="10"/>
      <c r="K206" s="10">
        <f t="shared" si="26"/>
        <v>0</v>
      </c>
      <c r="L206" s="10">
        <f t="shared" si="27"/>
        <v>0</v>
      </c>
    </row>
    <row r="207" spans="1:12" x14ac:dyDescent="0.3">
      <c r="A207" s="2"/>
      <c r="B207" s="5" t="s">
        <v>13</v>
      </c>
      <c r="C207" s="1" t="s">
        <v>12</v>
      </c>
      <c r="D207" s="8">
        <v>1</v>
      </c>
      <c r="E207" s="8">
        <f>D207*E$206</f>
        <v>8.84</v>
      </c>
      <c r="F207" s="10"/>
      <c r="G207" s="10">
        <f t="shared" si="24"/>
        <v>0</v>
      </c>
      <c r="H207" s="10"/>
      <c r="I207" s="10">
        <f t="shared" si="25"/>
        <v>0</v>
      </c>
      <c r="J207" s="10"/>
      <c r="K207" s="10">
        <f t="shared" si="26"/>
        <v>0</v>
      </c>
      <c r="L207" s="10">
        <f t="shared" si="27"/>
        <v>0</v>
      </c>
    </row>
    <row r="208" spans="1:12" x14ac:dyDescent="0.3">
      <c r="A208" s="2"/>
      <c r="B208" s="5" t="s">
        <v>93</v>
      </c>
      <c r="C208" s="1" t="s">
        <v>12</v>
      </c>
      <c r="D208" s="8">
        <v>1.05</v>
      </c>
      <c r="E208" s="8">
        <f>D208*E$206</f>
        <v>9.282</v>
      </c>
      <c r="F208" s="10"/>
      <c r="G208" s="10">
        <f t="shared" si="24"/>
        <v>0</v>
      </c>
      <c r="H208" s="10"/>
      <c r="I208" s="10">
        <f t="shared" si="25"/>
        <v>0</v>
      </c>
      <c r="J208" s="10"/>
      <c r="K208" s="10">
        <f t="shared" si="26"/>
        <v>0</v>
      </c>
      <c r="L208" s="10">
        <f t="shared" si="27"/>
        <v>0</v>
      </c>
    </row>
    <row r="209" spans="1:12" x14ac:dyDescent="0.3">
      <c r="A209" s="2"/>
      <c r="B209" s="5" t="s">
        <v>87</v>
      </c>
      <c r="C209" s="1" t="s">
        <v>16</v>
      </c>
      <c r="D209" s="8">
        <v>0.05</v>
      </c>
      <c r="E209" s="8">
        <f>D209*E$206</f>
        <v>0.442</v>
      </c>
      <c r="F209" s="10"/>
      <c r="G209" s="10">
        <f t="shared" si="24"/>
        <v>0</v>
      </c>
      <c r="H209" s="10"/>
      <c r="I209" s="10">
        <f t="shared" si="25"/>
        <v>0</v>
      </c>
      <c r="J209" s="10"/>
      <c r="K209" s="10">
        <f t="shared" si="26"/>
        <v>0</v>
      </c>
      <c r="L209" s="10">
        <f t="shared" si="27"/>
        <v>0</v>
      </c>
    </row>
    <row r="210" spans="1:12" x14ac:dyDescent="0.3">
      <c r="A210" s="2"/>
      <c r="B210" s="5" t="s">
        <v>19</v>
      </c>
      <c r="C210" s="1" t="s">
        <v>12</v>
      </c>
      <c r="D210" s="8">
        <v>1</v>
      </c>
      <c r="E210" s="8">
        <f>D210*E$206</f>
        <v>8.84</v>
      </c>
      <c r="F210" s="10"/>
      <c r="G210" s="10">
        <f t="shared" si="24"/>
        <v>0</v>
      </c>
      <c r="H210" s="10"/>
      <c r="I210" s="10">
        <f t="shared" si="25"/>
        <v>0</v>
      </c>
      <c r="J210" s="10"/>
      <c r="K210" s="10">
        <f t="shared" si="26"/>
        <v>0</v>
      </c>
      <c r="L210" s="10">
        <f t="shared" si="27"/>
        <v>0</v>
      </c>
    </row>
    <row r="211" spans="1:12" x14ac:dyDescent="0.3">
      <c r="A211" s="11"/>
      <c r="B211" s="11" t="s">
        <v>265</v>
      </c>
      <c r="C211" s="28"/>
      <c r="D211" s="29"/>
      <c r="E211" s="29"/>
      <c r="F211" s="13"/>
      <c r="G211" s="13">
        <f t="shared" ref="G211:G216" si="32">F211*E211</f>
        <v>0</v>
      </c>
      <c r="H211" s="13"/>
      <c r="I211" s="13">
        <f t="shared" ref="I211:I216" si="33">H211*E211</f>
        <v>0</v>
      </c>
      <c r="J211" s="13"/>
      <c r="K211" s="13">
        <f t="shared" ref="K211:K216" si="34">J211*E211</f>
        <v>0</v>
      </c>
      <c r="L211" s="13">
        <f t="shared" ref="L211:L216" si="35">K211+I211+G211</f>
        <v>0</v>
      </c>
    </row>
    <row r="212" spans="1:12" x14ac:dyDescent="0.3">
      <c r="A212" s="20"/>
      <c r="B212" s="20" t="s">
        <v>116</v>
      </c>
      <c r="C212" s="30"/>
      <c r="D212" s="31"/>
      <c r="E212" s="31"/>
      <c r="F212" s="23"/>
      <c r="G212" s="23">
        <f t="shared" si="32"/>
        <v>0</v>
      </c>
      <c r="H212" s="23"/>
      <c r="I212" s="23">
        <f t="shared" si="33"/>
        <v>0</v>
      </c>
      <c r="J212" s="23"/>
      <c r="K212" s="23">
        <f t="shared" si="34"/>
        <v>0</v>
      </c>
      <c r="L212" s="23">
        <f t="shared" si="35"/>
        <v>0</v>
      </c>
    </row>
    <row r="213" spans="1:12" x14ac:dyDescent="0.3">
      <c r="A213" s="2">
        <f>A206+1</f>
        <v>30</v>
      </c>
      <c r="B213" s="14" t="s">
        <v>266</v>
      </c>
      <c r="C213" s="2" t="s">
        <v>16</v>
      </c>
      <c r="D213" s="15"/>
      <c r="E213" s="15">
        <f>(25.1+25.1+13.8+13.8)*5</f>
        <v>389</v>
      </c>
      <c r="F213" s="10"/>
      <c r="G213" s="10">
        <f t="shared" si="32"/>
        <v>0</v>
      </c>
      <c r="H213" s="10"/>
      <c r="I213" s="10">
        <f t="shared" si="33"/>
        <v>0</v>
      </c>
      <c r="J213" s="10"/>
      <c r="K213" s="10">
        <f t="shared" si="34"/>
        <v>0</v>
      </c>
      <c r="L213" s="10">
        <f t="shared" si="35"/>
        <v>0</v>
      </c>
    </row>
    <row r="214" spans="1:12" x14ac:dyDescent="0.3">
      <c r="A214" s="2"/>
      <c r="B214" s="17" t="s">
        <v>13</v>
      </c>
      <c r="C214" s="18" t="s">
        <v>72</v>
      </c>
      <c r="D214" s="19">
        <v>12.5</v>
      </c>
      <c r="E214" s="19">
        <f>D214*E$213</f>
        <v>4862.5</v>
      </c>
      <c r="F214" s="10"/>
      <c r="G214" s="10">
        <f t="shared" si="32"/>
        <v>0</v>
      </c>
      <c r="H214" s="10"/>
      <c r="I214" s="10">
        <f t="shared" si="33"/>
        <v>0</v>
      </c>
      <c r="J214" s="10"/>
      <c r="K214" s="10">
        <f t="shared" si="34"/>
        <v>0</v>
      </c>
      <c r="L214" s="10">
        <f t="shared" si="35"/>
        <v>0</v>
      </c>
    </row>
    <row r="215" spans="1:12" x14ac:dyDescent="0.3">
      <c r="A215" s="2"/>
      <c r="B215" s="17" t="s">
        <v>117</v>
      </c>
      <c r="C215" s="18" t="s">
        <v>72</v>
      </c>
      <c r="D215" s="19">
        <v>12.5</v>
      </c>
      <c r="E215" s="19">
        <f>D215*E$213</f>
        <v>4862.5</v>
      </c>
      <c r="F215" s="10"/>
      <c r="G215" s="10">
        <f t="shared" si="32"/>
        <v>0</v>
      </c>
      <c r="H215" s="10"/>
      <c r="I215" s="10">
        <f t="shared" si="33"/>
        <v>0</v>
      </c>
      <c r="J215" s="10"/>
      <c r="K215" s="10">
        <f t="shared" si="34"/>
        <v>0</v>
      </c>
      <c r="L215" s="10">
        <f t="shared" si="35"/>
        <v>0</v>
      </c>
    </row>
    <row r="216" spans="1:12" x14ac:dyDescent="0.3">
      <c r="A216" s="2"/>
      <c r="B216" s="17" t="s">
        <v>118</v>
      </c>
      <c r="C216" s="18" t="s">
        <v>18</v>
      </c>
      <c r="D216" s="19">
        <f>0.014*1.02</f>
        <v>1.4280000000000001E-2</v>
      </c>
      <c r="E216" s="19">
        <f>D216*E$213</f>
        <v>5.5549200000000001</v>
      </c>
      <c r="F216" s="10"/>
      <c r="G216" s="10">
        <f t="shared" si="32"/>
        <v>0</v>
      </c>
      <c r="H216" s="10"/>
      <c r="I216" s="10">
        <f t="shared" si="33"/>
        <v>0</v>
      </c>
      <c r="J216" s="10"/>
      <c r="K216" s="10">
        <f t="shared" si="34"/>
        <v>0</v>
      </c>
      <c r="L216" s="10">
        <f t="shared" si="35"/>
        <v>0</v>
      </c>
    </row>
    <row r="217" spans="1:12" x14ac:dyDescent="0.3">
      <c r="A217" s="2"/>
      <c r="B217" s="17" t="s">
        <v>19</v>
      </c>
      <c r="C217" s="18" t="s">
        <v>16</v>
      </c>
      <c r="D217" s="19">
        <v>1</v>
      </c>
      <c r="E217" s="19">
        <f>D217*E$213</f>
        <v>389</v>
      </c>
      <c r="F217" s="10"/>
      <c r="G217" s="10">
        <f t="shared" ref="G217:G281" si="36">F217*E217</f>
        <v>0</v>
      </c>
      <c r="H217" s="10"/>
      <c r="I217" s="10">
        <f t="shared" ref="I217:I281" si="37">H217*E217</f>
        <v>0</v>
      </c>
      <c r="J217" s="10"/>
      <c r="K217" s="10">
        <f t="shared" ref="K217:K281" si="38">J217*E217</f>
        <v>0</v>
      </c>
      <c r="L217" s="10">
        <f t="shared" ref="L217:L281" si="39">K217+I217+G217</f>
        <v>0</v>
      </c>
    </row>
    <row r="218" spans="1:12" x14ac:dyDescent="0.3">
      <c r="A218" s="2">
        <f>A213+1</f>
        <v>31</v>
      </c>
      <c r="B218" s="14" t="s">
        <v>267</v>
      </c>
      <c r="C218" s="2" t="s">
        <v>16</v>
      </c>
      <c r="D218" s="15"/>
      <c r="E218" s="15">
        <f>25.1*2*0.8+13.8*2*1.55</f>
        <v>82.94</v>
      </c>
      <c r="F218" s="10"/>
      <c r="G218" s="10">
        <f t="shared" si="36"/>
        <v>0</v>
      </c>
      <c r="H218" s="10"/>
      <c r="I218" s="10">
        <f t="shared" si="37"/>
        <v>0</v>
      </c>
      <c r="J218" s="10"/>
      <c r="K218" s="10">
        <f t="shared" si="38"/>
        <v>0</v>
      </c>
      <c r="L218" s="10">
        <f t="shared" si="39"/>
        <v>0</v>
      </c>
    </row>
    <row r="219" spans="1:12" x14ac:dyDescent="0.3">
      <c r="A219" s="2"/>
      <c r="B219" s="17" t="s">
        <v>13</v>
      </c>
      <c r="C219" s="18" t="s">
        <v>72</v>
      </c>
      <c r="D219" s="19">
        <v>12.5</v>
      </c>
      <c r="E219" s="19">
        <f>D219*E$218</f>
        <v>1036.75</v>
      </c>
      <c r="F219" s="10"/>
      <c r="G219" s="10">
        <f t="shared" si="36"/>
        <v>0</v>
      </c>
      <c r="H219" s="10"/>
      <c r="I219" s="10">
        <f t="shared" si="37"/>
        <v>0</v>
      </c>
      <c r="J219" s="10"/>
      <c r="K219" s="10">
        <f t="shared" si="38"/>
        <v>0</v>
      </c>
      <c r="L219" s="10">
        <f t="shared" si="39"/>
        <v>0</v>
      </c>
    </row>
    <row r="220" spans="1:12" x14ac:dyDescent="0.3">
      <c r="A220" s="2"/>
      <c r="B220" s="17" t="s">
        <v>117</v>
      </c>
      <c r="C220" s="18" t="s">
        <v>72</v>
      </c>
      <c r="D220" s="19">
        <v>12.5</v>
      </c>
      <c r="E220" s="19">
        <f>D220*E$218</f>
        <v>1036.75</v>
      </c>
      <c r="F220" s="10"/>
      <c r="G220" s="10">
        <f t="shared" si="36"/>
        <v>0</v>
      </c>
      <c r="H220" s="10"/>
      <c r="I220" s="10">
        <f t="shared" si="37"/>
        <v>0</v>
      </c>
      <c r="J220" s="10"/>
      <c r="K220" s="10">
        <f t="shared" si="38"/>
        <v>0</v>
      </c>
      <c r="L220" s="10">
        <f t="shared" si="39"/>
        <v>0</v>
      </c>
    </row>
    <row r="221" spans="1:12" x14ac:dyDescent="0.3">
      <c r="A221" s="2"/>
      <c r="B221" s="17" t="s">
        <v>118</v>
      </c>
      <c r="C221" s="18" t="s">
        <v>18</v>
      </c>
      <c r="D221" s="19">
        <f>0.014*1.02</f>
        <v>1.4280000000000001E-2</v>
      </c>
      <c r="E221" s="19">
        <f>D221*E$218</f>
        <v>1.1843832000000001</v>
      </c>
      <c r="F221" s="10"/>
      <c r="G221" s="10">
        <f t="shared" si="36"/>
        <v>0</v>
      </c>
      <c r="H221" s="10"/>
      <c r="I221" s="10">
        <f t="shared" si="37"/>
        <v>0</v>
      </c>
      <c r="J221" s="10"/>
      <c r="K221" s="10">
        <f t="shared" si="38"/>
        <v>0</v>
      </c>
      <c r="L221" s="10">
        <f t="shared" si="39"/>
        <v>0</v>
      </c>
    </row>
    <row r="222" spans="1:12" x14ac:dyDescent="0.3">
      <c r="A222" s="2"/>
      <c r="B222" s="17" t="s">
        <v>19</v>
      </c>
      <c r="C222" s="18" t="s">
        <v>16</v>
      </c>
      <c r="D222" s="19">
        <v>1</v>
      </c>
      <c r="E222" s="19">
        <f>D222*E$218</f>
        <v>82.94</v>
      </c>
      <c r="F222" s="10"/>
      <c r="G222" s="10">
        <f t="shared" si="36"/>
        <v>0</v>
      </c>
      <c r="H222" s="10"/>
      <c r="I222" s="10">
        <f t="shared" si="37"/>
        <v>0</v>
      </c>
      <c r="J222" s="10"/>
      <c r="K222" s="10">
        <f t="shared" si="38"/>
        <v>0</v>
      </c>
      <c r="L222" s="10">
        <f t="shared" si="39"/>
        <v>0</v>
      </c>
    </row>
    <row r="223" spans="1:12" x14ac:dyDescent="0.3">
      <c r="A223" s="2">
        <f>A218+1</f>
        <v>32</v>
      </c>
      <c r="B223" s="14" t="s">
        <v>129</v>
      </c>
      <c r="C223" s="2" t="s">
        <v>12</v>
      </c>
      <c r="D223" s="32"/>
      <c r="E223" s="15">
        <f>(25.1*2+13.8*2)</f>
        <v>77.800000000000011</v>
      </c>
      <c r="F223" s="10"/>
      <c r="G223" s="10">
        <f t="shared" si="36"/>
        <v>0</v>
      </c>
      <c r="H223" s="10"/>
      <c r="I223" s="10">
        <f t="shared" si="37"/>
        <v>0</v>
      </c>
      <c r="J223" s="10"/>
      <c r="K223" s="10">
        <f t="shared" si="38"/>
        <v>0</v>
      </c>
      <c r="L223" s="10">
        <f t="shared" si="39"/>
        <v>0</v>
      </c>
    </row>
    <row r="224" spans="1:12" x14ac:dyDescent="0.3">
      <c r="A224" s="2"/>
      <c r="B224" s="17" t="s">
        <v>13</v>
      </c>
      <c r="C224" s="18" t="s">
        <v>12</v>
      </c>
      <c r="D224" s="19">
        <v>1</v>
      </c>
      <c r="E224" s="19">
        <f>D224*E$223</f>
        <v>77.800000000000011</v>
      </c>
      <c r="F224" s="10"/>
      <c r="G224" s="10">
        <f t="shared" si="36"/>
        <v>0</v>
      </c>
      <c r="H224" s="10"/>
      <c r="I224" s="10">
        <f t="shared" si="37"/>
        <v>0</v>
      </c>
      <c r="J224" s="10"/>
      <c r="K224" s="10">
        <f t="shared" si="38"/>
        <v>0</v>
      </c>
      <c r="L224" s="10">
        <f t="shared" si="39"/>
        <v>0</v>
      </c>
    </row>
    <row r="225" spans="1:12" x14ac:dyDescent="0.3">
      <c r="A225" s="2"/>
      <c r="B225" s="17" t="s">
        <v>37</v>
      </c>
      <c r="C225" s="18" t="s">
        <v>18</v>
      </c>
      <c r="D225" s="19">
        <f>0.3*0.2*1.02</f>
        <v>6.1199999999999997E-2</v>
      </c>
      <c r="E225" s="19">
        <f>D225*E$223</f>
        <v>4.7613600000000007</v>
      </c>
      <c r="F225" s="10"/>
      <c r="G225" s="10">
        <f t="shared" si="36"/>
        <v>0</v>
      </c>
      <c r="H225" s="10"/>
      <c r="I225" s="10">
        <f t="shared" si="37"/>
        <v>0</v>
      </c>
      <c r="J225" s="10"/>
      <c r="K225" s="10">
        <f t="shared" si="38"/>
        <v>0</v>
      </c>
      <c r="L225" s="10">
        <f t="shared" si="39"/>
        <v>0</v>
      </c>
    </row>
    <row r="226" spans="1:12" x14ac:dyDescent="0.3">
      <c r="A226" s="2"/>
      <c r="B226" s="5" t="s">
        <v>39</v>
      </c>
      <c r="C226" s="1" t="s">
        <v>38</v>
      </c>
      <c r="D226" s="19">
        <v>1.05</v>
      </c>
      <c r="E226" s="19">
        <f>E223*4*0.678*1.1/1000*1.05</f>
        <v>0.24369760800000009</v>
      </c>
      <c r="F226" s="10"/>
      <c r="G226" s="10">
        <f t="shared" si="36"/>
        <v>0</v>
      </c>
      <c r="H226" s="10"/>
      <c r="I226" s="10">
        <f t="shared" si="37"/>
        <v>0</v>
      </c>
      <c r="J226" s="10"/>
      <c r="K226" s="10">
        <f t="shared" si="38"/>
        <v>0</v>
      </c>
      <c r="L226" s="10">
        <f t="shared" si="39"/>
        <v>0</v>
      </c>
    </row>
    <row r="227" spans="1:12" x14ac:dyDescent="0.3">
      <c r="A227" s="2"/>
      <c r="B227" s="5" t="s">
        <v>40</v>
      </c>
      <c r="C227" s="1" t="s">
        <v>38</v>
      </c>
      <c r="D227" s="19">
        <v>1.05</v>
      </c>
      <c r="E227" s="19">
        <f>E224/0.2*1.1*0.395*1.1/1000*1.05</f>
        <v>0.19521867750000008</v>
      </c>
      <c r="F227" s="10"/>
      <c r="G227" s="10">
        <f t="shared" si="36"/>
        <v>0</v>
      </c>
      <c r="H227" s="10"/>
      <c r="I227" s="10">
        <f t="shared" si="37"/>
        <v>0</v>
      </c>
      <c r="J227" s="10"/>
      <c r="K227" s="10">
        <f t="shared" si="38"/>
        <v>0</v>
      </c>
      <c r="L227" s="10">
        <f t="shared" si="39"/>
        <v>0</v>
      </c>
    </row>
    <row r="228" spans="1:12" x14ac:dyDescent="0.3">
      <c r="A228" s="2"/>
      <c r="B228" s="17" t="s">
        <v>19</v>
      </c>
      <c r="C228" s="18" t="s">
        <v>12</v>
      </c>
      <c r="D228" s="19">
        <v>1</v>
      </c>
      <c r="E228" s="19">
        <f>D228*E$223</f>
        <v>77.800000000000011</v>
      </c>
      <c r="F228" s="10"/>
      <c r="G228" s="10">
        <f t="shared" si="36"/>
        <v>0</v>
      </c>
      <c r="H228" s="10"/>
      <c r="I228" s="10">
        <f t="shared" si="37"/>
        <v>0</v>
      </c>
      <c r="J228" s="10"/>
      <c r="K228" s="10">
        <f t="shared" si="38"/>
        <v>0</v>
      </c>
      <c r="L228" s="10">
        <f t="shared" si="39"/>
        <v>0</v>
      </c>
    </row>
    <row r="229" spans="1:12" x14ac:dyDescent="0.3">
      <c r="A229" s="2"/>
      <c r="B229" s="17" t="s">
        <v>45</v>
      </c>
      <c r="C229" s="18" t="s">
        <v>12</v>
      </c>
      <c r="D229" s="19">
        <v>1</v>
      </c>
      <c r="E229" s="19">
        <f>D229*E$223</f>
        <v>77.800000000000011</v>
      </c>
      <c r="F229" s="10"/>
      <c r="G229" s="10">
        <f t="shared" si="36"/>
        <v>0</v>
      </c>
      <c r="H229" s="10"/>
      <c r="I229" s="10">
        <f t="shared" si="37"/>
        <v>0</v>
      </c>
      <c r="J229" s="10"/>
      <c r="K229" s="10">
        <f t="shared" si="38"/>
        <v>0</v>
      </c>
      <c r="L229" s="10">
        <f t="shared" si="39"/>
        <v>0</v>
      </c>
    </row>
    <row r="230" spans="1:12" ht="28.8" x14ac:dyDescent="0.3">
      <c r="A230" s="2">
        <f>A223+1</f>
        <v>33</v>
      </c>
      <c r="B230" s="14" t="s">
        <v>270</v>
      </c>
      <c r="C230" s="2" t="s">
        <v>16</v>
      </c>
      <c r="D230" s="15"/>
      <c r="E230" s="15">
        <f>(25.1+25.1+13.8+13.8)*5.9+E218*2</f>
        <v>624.90000000000009</v>
      </c>
      <c r="F230" s="10"/>
      <c r="G230" s="10">
        <f t="shared" si="36"/>
        <v>0</v>
      </c>
      <c r="H230" s="10"/>
      <c r="I230" s="10">
        <f t="shared" si="37"/>
        <v>0</v>
      </c>
      <c r="J230" s="10"/>
      <c r="K230" s="10">
        <f t="shared" si="38"/>
        <v>0</v>
      </c>
      <c r="L230" s="10">
        <f t="shared" si="39"/>
        <v>0</v>
      </c>
    </row>
    <row r="231" spans="1:12" x14ac:dyDescent="0.3">
      <c r="A231" s="2"/>
      <c r="B231" s="17" t="s">
        <v>13</v>
      </c>
      <c r="C231" s="18" t="s">
        <v>16</v>
      </c>
      <c r="D231" s="19">
        <v>1</v>
      </c>
      <c r="E231" s="19">
        <f>D231*E$230</f>
        <v>624.90000000000009</v>
      </c>
      <c r="F231" s="10"/>
      <c r="G231" s="10">
        <f t="shared" si="36"/>
        <v>0</v>
      </c>
      <c r="H231" s="10"/>
      <c r="I231" s="10">
        <f t="shared" si="37"/>
        <v>0</v>
      </c>
      <c r="J231" s="10"/>
      <c r="K231" s="10">
        <f t="shared" si="38"/>
        <v>0</v>
      </c>
      <c r="L231" s="10">
        <f t="shared" si="39"/>
        <v>0</v>
      </c>
    </row>
    <row r="232" spans="1:12" x14ac:dyDescent="0.3">
      <c r="A232" s="2"/>
      <c r="B232" s="17" t="s">
        <v>118</v>
      </c>
      <c r="C232" s="18" t="s">
        <v>18</v>
      </c>
      <c r="D232" s="19">
        <f>0.03*1.02</f>
        <v>3.0599999999999999E-2</v>
      </c>
      <c r="E232" s="19">
        <f>D232*E$230</f>
        <v>19.121940000000002</v>
      </c>
      <c r="F232" s="10"/>
      <c r="G232" s="10">
        <f t="shared" si="36"/>
        <v>0</v>
      </c>
      <c r="H232" s="10"/>
      <c r="I232" s="10">
        <f t="shared" si="37"/>
        <v>0</v>
      </c>
      <c r="J232" s="10"/>
      <c r="K232" s="10">
        <f t="shared" si="38"/>
        <v>0</v>
      </c>
      <c r="L232" s="10">
        <f t="shared" si="39"/>
        <v>0</v>
      </c>
    </row>
    <row r="233" spans="1:12" x14ac:dyDescent="0.3">
      <c r="A233" s="2"/>
      <c r="B233" s="17" t="s">
        <v>19</v>
      </c>
      <c r="C233" s="18" t="s">
        <v>16</v>
      </c>
      <c r="D233" s="19">
        <v>1</v>
      </c>
      <c r="E233" s="19">
        <f>D233*E$230</f>
        <v>624.90000000000009</v>
      </c>
      <c r="F233" s="10"/>
      <c r="G233" s="10">
        <f t="shared" si="36"/>
        <v>0</v>
      </c>
      <c r="H233" s="10"/>
      <c r="I233" s="10">
        <f t="shared" si="37"/>
        <v>0</v>
      </c>
      <c r="J233" s="10"/>
      <c r="K233" s="10">
        <f t="shared" si="38"/>
        <v>0</v>
      </c>
      <c r="L233" s="10">
        <f t="shared" si="39"/>
        <v>0</v>
      </c>
    </row>
    <row r="234" spans="1:12" x14ac:dyDescent="0.3">
      <c r="A234" s="2">
        <f>A230+1</f>
        <v>34</v>
      </c>
      <c r="B234" s="14" t="s">
        <v>269</v>
      </c>
      <c r="C234" s="2" t="s">
        <v>16</v>
      </c>
      <c r="D234" s="15"/>
      <c r="E234" s="15">
        <f>(25.1+25.1+13.8+13.8)*5.9+E218</f>
        <v>541.96</v>
      </c>
      <c r="F234" s="10"/>
      <c r="G234" s="10">
        <f t="shared" si="36"/>
        <v>0</v>
      </c>
      <c r="H234" s="10"/>
      <c r="I234" s="10">
        <f t="shared" si="37"/>
        <v>0</v>
      </c>
      <c r="J234" s="10"/>
      <c r="K234" s="10">
        <f t="shared" si="38"/>
        <v>0</v>
      </c>
      <c r="L234" s="10">
        <f t="shared" si="39"/>
        <v>0</v>
      </c>
    </row>
    <row r="235" spans="1:12" x14ac:dyDescent="0.3">
      <c r="A235" s="2"/>
      <c r="B235" s="17" t="s">
        <v>13</v>
      </c>
      <c r="C235" s="18" t="s">
        <v>16</v>
      </c>
      <c r="D235" s="19">
        <v>1</v>
      </c>
      <c r="E235" s="19">
        <f>D235*E$234</f>
        <v>541.96</v>
      </c>
      <c r="F235" s="10"/>
      <c r="G235" s="10">
        <f t="shared" si="36"/>
        <v>0</v>
      </c>
      <c r="H235" s="10"/>
      <c r="I235" s="10">
        <f t="shared" si="37"/>
        <v>0</v>
      </c>
      <c r="J235" s="10"/>
      <c r="K235" s="10">
        <f t="shared" si="38"/>
        <v>0</v>
      </c>
      <c r="L235" s="10">
        <f t="shared" si="39"/>
        <v>0</v>
      </c>
    </row>
    <row r="236" spans="1:12" x14ac:dyDescent="0.3">
      <c r="A236" s="2"/>
      <c r="B236" s="17" t="s">
        <v>271</v>
      </c>
      <c r="C236" s="18" t="s">
        <v>16</v>
      </c>
      <c r="D236" s="19">
        <v>1.05</v>
      </c>
      <c r="E236" s="19">
        <f>D236*E$234</f>
        <v>569.05800000000011</v>
      </c>
      <c r="F236" s="10"/>
      <c r="G236" s="10">
        <f t="shared" si="36"/>
        <v>0</v>
      </c>
      <c r="H236" s="10"/>
      <c r="I236" s="10">
        <f t="shared" si="37"/>
        <v>0</v>
      </c>
      <c r="J236" s="10"/>
      <c r="K236" s="10">
        <f t="shared" si="38"/>
        <v>0</v>
      </c>
      <c r="L236" s="10">
        <f t="shared" si="39"/>
        <v>0</v>
      </c>
    </row>
    <row r="237" spans="1:12" x14ac:dyDescent="0.3">
      <c r="A237" s="2"/>
      <c r="B237" s="17" t="s">
        <v>120</v>
      </c>
      <c r="C237" s="18" t="s">
        <v>72</v>
      </c>
      <c r="D237" s="19">
        <v>8</v>
      </c>
      <c r="E237" s="19">
        <f>D237*E$234</f>
        <v>4335.68</v>
      </c>
      <c r="F237" s="10"/>
      <c r="G237" s="10">
        <f t="shared" si="36"/>
        <v>0</v>
      </c>
      <c r="H237" s="10"/>
      <c r="I237" s="10">
        <f t="shared" si="37"/>
        <v>0</v>
      </c>
      <c r="J237" s="10"/>
      <c r="K237" s="10">
        <f t="shared" si="38"/>
        <v>0</v>
      </c>
      <c r="L237" s="10">
        <f t="shared" si="39"/>
        <v>0</v>
      </c>
    </row>
    <row r="238" spans="1:12" x14ac:dyDescent="0.3">
      <c r="A238" s="2"/>
      <c r="B238" s="17" t="s">
        <v>121</v>
      </c>
      <c r="C238" s="18" t="s">
        <v>47</v>
      </c>
      <c r="D238" s="19">
        <v>5</v>
      </c>
      <c r="E238" s="19">
        <f>D238*E$234</f>
        <v>2709.8</v>
      </c>
      <c r="F238" s="10"/>
      <c r="G238" s="10">
        <f t="shared" si="36"/>
        <v>0</v>
      </c>
      <c r="H238" s="10"/>
      <c r="I238" s="10">
        <f t="shared" si="37"/>
        <v>0</v>
      </c>
      <c r="J238" s="10"/>
      <c r="K238" s="10">
        <f t="shared" si="38"/>
        <v>0</v>
      </c>
      <c r="L238" s="10">
        <f t="shared" si="39"/>
        <v>0</v>
      </c>
    </row>
    <row r="239" spans="1:12" x14ac:dyDescent="0.3">
      <c r="A239" s="2"/>
      <c r="B239" s="17" t="s">
        <v>19</v>
      </c>
      <c r="C239" s="18" t="s">
        <v>16</v>
      </c>
      <c r="D239" s="19">
        <v>1</v>
      </c>
      <c r="E239" s="19">
        <f>D239*E$234</f>
        <v>541.96</v>
      </c>
      <c r="F239" s="10"/>
      <c r="G239" s="10">
        <f t="shared" si="36"/>
        <v>0</v>
      </c>
      <c r="H239" s="10"/>
      <c r="I239" s="10">
        <f t="shared" si="37"/>
        <v>0</v>
      </c>
      <c r="J239" s="10"/>
      <c r="K239" s="10">
        <f t="shared" si="38"/>
        <v>0</v>
      </c>
      <c r="L239" s="10">
        <f t="shared" si="39"/>
        <v>0</v>
      </c>
    </row>
    <row r="240" spans="1:12" x14ac:dyDescent="0.3">
      <c r="A240" s="2">
        <f>A234+1</f>
        <v>35</v>
      </c>
      <c r="B240" s="14" t="s">
        <v>272</v>
      </c>
      <c r="C240" s="2" t="s">
        <v>16</v>
      </c>
      <c r="D240" s="15"/>
      <c r="E240" s="15">
        <f>E234</f>
        <v>541.96</v>
      </c>
      <c r="F240" s="10"/>
      <c r="G240" s="10">
        <f t="shared" si="36"/>
        <v>0</v>
      </c>
      <c r="H240" s="10"/>
      <c r="I240" s="10">
        <f t="shared" si="37"/>
        <v>0</v>
      </c>
      <c r="J240" s="10"/>
      <c r="K240" s="10">
        <f t="shared" si="38"/>
        <v>0</v>
      </c>
      <c r="L240" s="10">
        <f t="shared" si="39"/>
        <v>0</v>
      </c>
    </row>
    <row r="241" spans="1:12" x14ac:dyDescent="0.3">
      <c r="A241" s="2"/>
      <c r="B241" s="17" t="s">
        <v>13</v>
      </c>
      <c r="C241" s="18" t="s">
        <v>16</v>
      </c>
      <c r="D241" s="19">
        <v>1</v>
      </c>
      <c r="E241" s="19">
        <f>D241*E$240</f>
        <v>541.96</v>
      </c>
      <c r="F241" s="10"/>
      <c r="G241" s="10">
        <f t="shared" si="36"/>
        <v>0</v>
      </c>
      <c r="H241" s="10"/>
      <c r="I241" s="10">
        <f t="shared" si="37"/>
        <v>0</v>
      </c>
      <c r="J241" s="10"/>
      <c r="K241" s="10">
        <f t="shared" si="38"/>
        <v>0</v>
      </c>
      <c r="L241" s="10">
        <f t="shared" si="39"/>
        <v>0</v>
      </c>
    </row>
    <row r="242" spans="1:12" x14ac:dyDescent="0.3">
      <c r="A242" s="2"/>
      <c r="B242" s="17" t="s">
        <v>124</v>
      </c>
      <c r="C242" s="18" t="s">
        <v>16</v>
      </c>
      <c r="D242" s="19">
        <v>1.03</v>
      </c>
      <c r="E242" s="19">
        <f>D242*E$240</f>
        <v>558.2188000000001</v>
      </c>
      <c r="F242" s="10"/>
      <c r="G242" s="10">
        <f t="shared" si="36"/>
        <v>0</v>
      </c>
      <c r="H242" s="10"/>
      <c r="I242" s="10">
        <f t="shared" si="37"/>
        <v>0</v>
      </c>
      <c r="J242" s="10"/>
      <c r="K242" s="10">
        <f t="shared" si="38"/>
        <v>0</v>
      </c>
      <c r="L242" s="10">
        <f t="shared" si="39"/>
        <v>0</v>
      </c>
    </row>
    <row r="243" spans="1:12" x14ac:dyDescent="0.3">
      <c r="A243" s="2">
        <f>A240+1</f>
        <v>36</v>
      </c>
      <c r="B243" s="14" t="s">
        <v>273</v>
      </c>
      <c r="C243" s="2" t="s">
        <v>16</v>
      </c>
      <c r="D243" s="15"/>
      <c r="E243" s="15">
        <f>E240</f>
        <v>541.96</v>
      </c>
      <c r="F243" s="10"/>
      <c r="G243" s="10">
        <f t="shared" si="36"/>
        <v>0</v>
      </c>
      <c r="H243" s="10"/>
      <c r="I243" s="10">
        <f t="shared" si="37"/>
        <v>0</v>
      </c>
      <c r="J243" s="10"/>
      <c r="K243" s="10">
        <f t="shared" si="38"/>
        <v>0</v>
      </c>
      <c r="L243" s="10">
        <f t="shared" si="39"/>
        <v>0</v>
      </c>
    </row>
    <row r="244" spans="1:12" x14ac:dyDescent="0.3">
      <c r="A244" s="2"/>
      <c r="B244" s="17" t="s">
        <v>13</v>
      </c>
      <c r="C244" s="18" t="s">
        <v>16</v>
      </c>
      <c r="D244" s="19">
        <v>1</v>
      </c>
      <c r="E244" s="19">
        <f>D244*E243</f>
        <v>541.96</v>
      </c>
      <c r="F244" s="10"/>
      <c r="G244" s="10">
        <f t="shared" si="36"/>
        <v>0</v>
      </c>
      <c r="H244" s="10"/>
      <c r="I244" s="10">
        <f t="shared" si="37"/>
        <v>0</v>
      </c>
      <c r="J244" s="10"/>
      <c r="K244" s="10">
        <f t="shared" si="38"/>
        <v>0</v>
      </c>
      <c r="L244" s="10">
        <f t="shared" si="39"/>
        <v>0</v>
      </c>
    </row>
    <row r="245" spans="1:12" x14ac:dyDescent="0.3">
      <c r="A245" s="2"/>
      <c r="B245" s="17" t="s">
        <v>274</v>
      </c>
      <c r="C245" s="18" t="s">
        <v>16</v>
      </c>
      <c r="D245" s="19">
        <v>1.03</v>
      </c>
      <c r="E245" s="19">
        <f>D245*E243</f>
        <v>558.2188000000001</v>
      </c>
      <c r="F245" s="10"/>
      <c r="G245" s="10">
        <f t="shared" si="36"/>
        <v>0</v>
      </c>
      <c r="H245" s="10"/>
      <c r="I245" s="10">
        <f t="shared" si="37"/>
        <v>0</v>
      </c>
      <c r="J245" s="10"/>
      <c r="K245" s="10">
        <f t="shared" si="38"/>
        <v>0</v>
      </c>
      <c r="L245" s="10">
        <f t="shared" si="39"/>
        <v>0</v>
      </c>
    </row>
    <row r="246" spans="1:12" x14ac:dyDescent="0.3">
      <c r="A246" s="2">
        <f>A243+1</f>
        <v>37</v>
      </c>
      <c r="B246" s="14" t="s">
        <v>275</v>
      </c>
      <c r="C246" s="2" t="s">
        <v>16</v>
      </c>
      <c r="D246" s="15"/>
      <c r="E246" s="15">
        <f>14.8*7.45*2+14.8*1.55*2</f>
        <v>266.40000000000003</v>
      </c>
      <c r="F246" s="10"/>
      <c r="G246" s="10">
        <f t="shared" si="36"/>
        <v>0</v>
      </c>
      <c r="H246" s="10"/>
      <c r="I246" s="10">
        <f t="shared" si="37"/>
        <v>0</v>
      </c>
      <c r="J246" s="10"/>
      <c r="K246" s="10">
        <f t="shared" si="38"/>
        <v>0</v>
      </c>
      <c r="L246" s="10">
        <f t="shared" si="39"/>
        <v>0</v>
      </c>
    </row>
    <row r="247" spans="1:12" x14ac:dyDescent="0.3">
      <c r="A247" s="2"/>
      <c r="B247" s="17" t="s">
        <v>13</v>
      </c>
      <c r="C247" s="18" t="s">
        <v>16</v>
      </c>
      <c r="D247" s="19">
        <v>1</v>
      </c>
      <c r="E247" s="19">
        <f>D247*E$246</f>
        <v>266.40000000000003</v>
      </c>
      <c r="F247" s="10"/>
      <c r="G247" s="10">
        <f t="shared" si="36"/>
        <v>0</v>
      </c>
      <c r="H247" s="10"/>
      <c r="I247" s="10">
        <f t="shared" si="37"/>
        <v>0</v>
      </c>
      <c r="J247" s="10"/>
      <c r="K247" s="10">
        <f t="shared" si="38"/>
        <v>0</v>
      </c>
      <c r="L247" s="10">
        <f t="shared" si="39"/>
        <v>0</v>
      </c>
    </row>
    <row r="248" spans="1:12" x14ac:dyDescent="0.3">
      <c r="A248" s="2"/>
      <c r="B248" s="5" t="s">
        <v>127</v>
      </c>
      <c r="C248" s="1" t="s">
        <v>16</v>
      </c>
      <c r="D248" s="8">
        <v>1.1499999999999999</v>
      </c>
      <c r="E248" s="19">
        <f>D248*E$246</f>
        <v>306.36</v>
      </c>
      <c r="F248" s="10"/>
      <c r="G248" s="10">
        <f t="shared" si="36"/>
        <v>0</v>
      </c>
      <c r="H248" s="10"/>
      <c r="I248" s="10">
        <f t="shared" si="37"/>
        <v>0</v>
      </c>
      <c r="J248" s="10"/>
      <c r="K248" s="10">
        <f t="shared" si="38"/>
        <v>0</v>
      </c>
      <c r="L248" s="10">
        <f t="shared" si="39"/>
        <v>0</v>
      </c>
    </row>
    <row r="249" spans="1:12" x14ac:dyDescent="0.3">
      <c r="A249" s="2"/>
      <c r="B249" s="5" t="s">
        <v>128</v>
      </c>
      <c r="C249" s="1" t="s">
        <v>16</v>
      </c>
      <c r="D249" s="8">
        <v>1</v>
      </c>
      <c r="E249" s="19">
        <f>D249*E$246</f>
        <v>266.40000000000003</v>
      </c>
      <c r="F249" s="10"/>
      <c r="G249" s="10">
        <f t="shared" si="36"/>
        <v>0</v>
      </c>
      <c r="H249" s="10"/>
      <c r="I249" s="10">
        <f t="shared" si="37"/>
        <v>0</v>
      </c>
      <c r="J249" s="10"/>
      <c r="K249" s="10">
        <f t="shared" si="38"/>
        <v>0</v>
      </c>
      <c r="L249" s="10">
        <f t="shared" si="39"/>
        <v>0</v>
      </c>
    </row>
    <row r="250" spans="1:12" x14ac:dyDescent="0.3">
      <c r="A250" s="2"/>
      <c r="B250" s="5" t="s">
        <v>19</v>
      </c>
      <c r="C250" s="1" t="s">
        <v>16</v>
      </c>
      <c r="D250" s="8">
        <v>1</v>
      </c>
      <c r="E250" s="19">
        <f>D250*E$246</f>
        <v>266.40000000000003</v>
      </c>
      <c r="F250" s="10"/>
      <c r="G250" s="10">
        <f t="shared" si="36"/>
        <v>0</v>
      </c>
      <c r="H250" s="10"/>
      <c r="I250" s="10">
        <f t="shared" si="37"/>
        <v>0</v>
      </c>
      <c r="J250" s="10"/>
      <c r="K250" s="10">
        <f t="shared" si="38"/>
        <v>0</v>
      </c>
      <c r="L250" s="10">
        <f t="shared" si="39"/>
        <v>0</v>
      </c>
    </row>
    <row r="251" spans="1:12" x14ac:dyDescent="0.3">
      <c r="A251" s="2">
        <f>A246+1</f>
        <v>38</v>
      </c>
      <c r="B251" s="14" t="s">
        <v>132</v>
      </c>
      <c r="C251" s="2" t="s">
        <v>12</v>
      </c>
      <c r="D251" s="15"/>
      <c r="E251" s="15">
        <f>14.8*2</f>
        <v>29.6</v>
      </c>
      <c r="F251" s="10"/>
      <c r="G251" s="10">
        <f t="shared" si="36"/>
        <v>0</v>
      </c>
      <c r="H251" s="10"/>
      <c r="I251" s="10">
        <f t="shared" si="37"/>
        <v>0</v>
      </c>
      <c r="J251" s="10"/>
      <c r="K251" s="10">
        <f t="shared" si="38"/>
        <v>0</v>
      </c>
      <c r="L251" s="10">
        <f t="shared" si="39"/>
        <v>0</v>
      </c>
    </row>
    <row r="252" spans="1:12" x14ac:dyDescent="0.3">
      <c r="A252" s="2"/>
      <c r="B252" s="5" t="s">
        <v>13</v>
      </c>
      <c r="C252" s="1" t="s">
        <v>12</v>
      </c>
      <c r="D252" s="8">
        <v>1</v>
      </c>
      <c r="E252" s="19">
        <f>D252*E$251</f>
        <v>29.6</v>
      </c>
      <c r="F252" s="10"/>
      <c r="G252" s="10">
        <f t="shared" si="36"/>
        <v>0</v>
      </c>
      <c r="H252" s="10"/>
      <c r="I252" s="10">
        <f t="shared" si="37"/>
        <v>0</v>
      </c>
      <c r="J252" s="10"/>
      <c r="K252" s="10">
        <f t="shared" si="38"/>
        <v>0</v>
      </c>
      <c r="L252" s="10">
        <f t="shared" si="39"/>
        <v>0</v>
      </c>
    </row>
    <row r="253" spans="1:12" x14ac:dyDescent="0.3">
      <c r="A253" s="2"/>
      <c r="B253" s="5" t="s">
        <v>127</v>
      </c>
      <c r="C253" s="1" t="s">
        <v>12</v>
      </c>
      <c r="D253" s="8">
        <v>1.05</v>
      </c>
      <c r="E253" s="19">
        <f>D253*E$251</f>
        <v>31.080000000000002</v>
      </c>
      <c r="F253" s="10"/>
      <c r="G253" s="10">
        <f t="shared" si="36"/>
        <v>0</v>
      </c>
      <c r="H253" s="10"/>
      <c r="I253" s="10">
        <f t="shared" si="37"/>
        <v>0</v>
      </c>
      <c r="J253" s="10"/>
      <c r="K253" s="10">
        <f t="shared" si="38"/>
        <v>0</v>
      </c>
      <c r="L253" s="10">
        <f t="shared" si="39"/>
        <v>0</v>
      </c>
    </row>
    <row r="254" spans="1:12" x14ac:dyDescent="0.3">
      <c r="A254" s="2"/>
      <c r="B254" s="5" t="s">
        <v>19</v>
      </c>
      <c r="C254" s="1" t="s">
        <v>12</v>
      </c>
      <c r="D254" s="8">
        <v>1</v>
      </c>
      <c r="E254" s="19">
        <f>D254*E$251</f>
        <v>29.6</v>
      </c>
      <c r="F254" s="10"/>
      <c r="G254" s="10">
        <f t="shared" si="36"/>
        <v>0</v>
      </c>
      <c r="H254" s="10"/>
      <c r="I254" s="10">
        <f t="shared" si="37"/>
        <v>0</v>
      </c>
      <c r="J254" s="10"/>
      <c r="K254" s="10">
        <f t="shared" si="38"/>
        <v>0</v>
      </c>
      <c r="L254" s="10">
        <f t="shared" si="39"/>
        <v>0</v>
      </c>
    </row>
    <row r="255" spans="1:12" x14ac:dyDescent="0.3">
      <c r="A255" s="2">
        <f>A251+1</f>
        <v>39</v>
      </c>
      <c r="B255" s="14" t="s">
        <v>276</v>
      </c>
      <c r="C255" s="2" t="s">
        <v>16</v>
      </c>
      <c r="D255" s="15"/>
      <c r="E255" s="15">
        <f>25.1*2*6.7+25.1*2*0.8</f>
        <v>376.50000000000006</v>
      </c>
      <c r="F255" s="10"/>
      <c r="G255" s="10">
        <f t="shared" si="36"/>
        <v>0</v>
      </c>
      <c r="H255" s="10"/>
      <c r="I255" s="10">
        <f t="shared" si="37"/>
        <v>0</v>
      </c>
      <c r="J255" s="10"/>
      <c r="K255" s="10">
        <f t="shared" si="38"/>
        <v>0</v>
      </c>
      <c r="L255" s="10">
        <f t="shared" si="39"/>
        <v>0</v>
      </c>
    </row>
    <row r="256" spans="1:12" x14ac:dyDescent="0.3">
      <c r="A256" s="2"/>
      <c r="B256" s="17" t="s">
        <v>13</v>
      </c>
      <c r="C256" s="18" t="s">
        <v>16</v>
      </c>
      <c r="D256" s="19">
        <v>1</v>
      </c>
      <c r="E256" s="19">
        <f>D256*E$255</f>
        <v>376.50000000000006</v>
      </c>
      <c r="F256" s="10"/>
      <c r="G256" s="10">
        <f t="shared" si="36"/>
        <v>0</v>
      </c>
      <c r="H256" s="10"/>
      <c r="I256" s="10">
        <f t="shared" si="37"/>
        <v>0</v>
      </c>
      <c r="J256" s="10"/>
      <c r="K256" s="10">
        <f t="shared" si="38"/>
        <v>0</v>
      </c>
      <c r="L256" s="10">
        <f t="shared" si="39"/>
        <v>0</v>
      </c>
    </row>
    <row r="257" spans="1:12" x14ac:dyDescent="0.3">
      <c r="A257" s="2"/>
      <c r="B257" s="17" t="s">
        <v>277</v>
      </c>
      <c r="C257" s="18" t="s">
        <v>16</v>
      </c>
      <c r="D257" s="19">
        <v>1.1000000000000001</v>
      </c>
      <c r="E257" s="19">
        <f>D257*E$255</f>
        <v>414.15000000000009</v>
      </c>
      <c r="F257" s="10"/>
      <c r="G257" s="10">
        <f t="shared" si="36"/>
        <v>0</v>
      </c>
      <c r="H257" s="10"/>
      <c r="I257" s="10">
        <f t="shared" si="37"/>
        <v>0</v>
      </c>
      <c r="J257" s="10"/>
      <c r="K257" s="10">
        <f t="shared" si="38"/>
        <v>0</v>
      </c>
      <c r="L257" s="10">
        <f t="shared" si="39"/>
        <v>0</v>
      </c>
    </row>
    <row r="258" spans="1:12" x14ac:dyDescent="0.3">
      <c r="A258" s="2"/>
      <c r="B258" s="17" t="s">
        <v>128</v>
      </c>
      <c r="C258" s="18" t="s">
        <v>16</v>
      </c>
      <c r="D258" s="19">
        <v>1</v>
      </c>
      <c r="E258" s="19">
        <f>D258*E$255</f>
        <v>376.50000000000006</v>
      </c>
      <c r="F258" s="10"/>
      <c r="G258" s="10">
        <f t="shared" si="36"/>
        <v>0</v>
      </c>
      <c r="H258" s="10"/>
      <c r="I258" s="10">
        <f t="shared" si="37"/>
        <v>0</v>
      </c>
      <c r="J258" s="10"/>
      <c r="K258" s="10">
        <f t="shared" si="38"/>
        <v>0</v>
      </c>
      <c r="L258" s="10">
        <f t="shared" si="39"/>
        <v>0</v>
      </c>
    </row>
    <row r="259" spans="1:12" x14ac:dyDescent="0.3">
      <c r="A259" s="2"/>
      <c r="B259" s="17" t="s">
        <v>19</v>
      </c>
      <c r="C259" s="18" t="s">
        <v>16</v>
      </c>
      <c r="D259" s="19">
        <v>1</v>
      </c>
      <c r="E259" s="19">
        <f>D259*E$255</f>
        <v>376.50000000000006</v>
      </c>
      <c r="F259" s="10"/>
      <c r="G259" s="10">
        <f t="shared" si="36"/>
        <v>0</v>
      </c>
      <c r="H259" s="10"/>
      <c r="I259" s="10">
        <f t="shared" si="37"/>
        <v>0</v>
      </c>
      <c r="J259" s="10"/>
      <c r="K259" s="10">
        <f t="shared" si="38"/>
        <v>0</v>
      </c>
      <c r="L259" s="10">
        <f t="shared" si="39"/>
        <v>0</v>
      </c>
    </row>
    <row r="260" spans="1:12" x14ac:dyDescent="0.3">
      <c r="A260" s="20"/>
      <c r="B260" s="20" t="s">
        <v>130</v>
      </c>
      <c r="C260" s="30"/>
      <c r="D260" s="31"/>
      <c r="E260" s="31"/>
      <c r="F260" s="23"/>
      <c r="G260" s="23">
        <f t="shared" si="36"/>
        <v>0</v>
      </c>
      <c r="H260" s="23"/>
      <c r="I260" s="23">
        <f t="shared" si="37"/>
        <v>0</v>
      </c>
      <c r="J260" s="23"/>
      <c r="K260" s="23">
        <f t="shared" si="38"/>
        <v>0</v>
      </c>
      <c r="L260" s="23">
        <f t="shared" si="39"/>
        <v>0</v>
      </c>
    </row>
    <row r="261" spans="1:12" x14ac:dyDescent="0.3">
      <c r="A261" s="2">
        <f>A255+1</f>
        <v>40</v>
      </c>
      <c r="B261" s="14" t="s">
        <v>284</v>
      </c>
      <c r="C261" s="2" t="s">
        <v>16</v>
      </c>
      <c r="D261" s="15"/>
      <c r="E261" s="15">
        <v>330</v>
      </c>
      <c r="F261" s="10"/>
      <c r="G261" s="10">
        <f t="shared" si="36"/>
        <v>0</v>
      </c>
      <c r="H261" s="10"/>
      <c r="I261" s="10">
        <f t="shared" si="37"/>
        <v>0</v>
      </c>
      <c r="J261" s="10"/>
      <c r="K261" s="10">
        <f t="shared" si="38"/>
        <v>0</v>
      </c>
      <c r="L261" s="10">
        <f t="shared" si="39"/>
        <v>0</v>
      </c>
    </row>
    <row r="262" spans="1:12" x14ac:dyDescent="0.3">
      <c r="A262" s="2"/>
      <c r="B262" s="17" t="s">
        <v>13</v>
      </c>
      <c r="C262" s="18" t="s">
        <v>16</v>
      </c>
      <c r="D262" s="19">
        <v>1</v>
      </c>
      <c r="E262" s="19">
        <f>D262*E$261</f>
        <v>330</v>
      </c>
      <c r="F262" s="10"/>
      <c r="G262" s="10">
        <f t="shared" si="36"/>
        <v>0</v>
      </c>
      <c r="H262" s="10"/>
      <c r="I262" s="10">
        <f t="shared" si="37"/>
        <v>0</v>
      </c>
      <c r="J262" s="10"/>
      <c r="K262" s="10">
        <f t="shared" si="38"/>
        <v>0</v>
      </c>
      <c r="L262" s="10">
        <f t="shared" si="39"/>
        <v>0</v>
      </c>
    </row>
    <row r="263" spans="1:12" x14ac:dyDescent="0.3">
      <c r="A263" s="2"/>
      <c r="B263" s="17" t="s">
        <v>283</v>
      </c>
      <c r="C263" s="18" t="s">
        <v>16</v>
      </c>
      <c r="D263" s="19">
        <v>1.05</v>
      </c>
      <c r="E263" s="19">
        <f>D263*E$261</f>
        <v>346.5</v>
      </c>
      <c r="F263" s="10"/>
      <c r="G263" s="10">
        <f t="shared" si="36"/>
        <v>0</v>
      </c>
      <c r="H263" s="10"/>
      <c r="I263" s="10">
        <f t="shared" si="37"/>
        <v>0</v>
      </c>
      <c r="J263" s="10"/>
      <c r="K263" s="10">
        <f t="shared" si="38"/>
        <v>0</v>
      </c>
      <c r="L263" s="10">
        <f t="shared" si="39"/>
        <v>0</v>
      </c>
    </row>
    <row r="264" spans="1:12" x14ac:dyDescent="0.3">
      <c r="A264" s="2"/>
      <c r="B264" s="17" t="s">
        <v>19</v>
      </c>
      <c r="C264" s="18" t="s">
        <v>16</v>
      </c>
      <c r="D264" s="19">
        <v>1</v>
      </c>
      <c r="E264" s="19">
        <f>D264*E$261</f>
        <v>330</v>
      </c>
      <c r="F264" s="10"/>
      <c r="G264" s="10">
        <f t="shared" si="36"/>
        <v>0</v>
      </c>
      <c r="H264" s="10"/>
      <c r="I264" s="10">
        <f t="shared" si="37"/>
        <v>0</v>
      </c>
      <c r="J264" s="10"/>
      <c r="K264" s="10">
        <f t="shared" si="38"/>
        <v>0</v>
      </c>
      <c r="L264" s="10">
        <f t="shared" si="39"/>
        <v>0</v>
      </c>
    </row>
    <row r="265" spans="1:12" ht="28.8" x14ac:dyDescent="0.3">
      <c r="A265" s="2">
        <f>A261+1</f>
        <v>41</v>
      </c>
      <c r="B265" s="14" t="s">
        <v>278</v>
      </c>
      <c r="C265" s="2" t="s">
        <v>16</v>
      </c>
      <c r="D265" s="15"/>
      <c r="E265" s="15">
        <f>E261</f>
        <v>330</v>
      </c>
      <c r="F265" s="10"/>
      <c r="G265" s="10">
        <f t="shared" si="36"/>
        <v>0</v>
      </c>
      <c r="H265" s="10"/>
      <c r="I265" s="10">
        <f t="shared" si="37"/>
        <v>0</v>
      </c>
      <c r="J265" s="10"/>
      <c r="K265" s="10">
        <f t="shared" si="38"/>
        <v>0</v>
      </c>
      <c r="L265" s="10">
        <f t="shared" si="39"/>
        <v>0</v>
      </c>
    </row>
    <row r="266" spans="1:12" x14ac:dyDescent="0.3">
      <c r="A266" s="2"/>
      <c r="B266" s="17" t="s">
        <v>13</v>
      </c>
      <c r="C266" s="18" t="s">
        <v>16</v>
      </c>
      <c r="D266" s="19">
        <v>1</v>
      </c>
      <c r="E266" s="19">
        <f>D266*E$265</f>
        <v>330</v>
      </c>
      <c r="F266" s="10"/>
      <c r="G266" s="10">
        <f t="shared" si="36"/>
        <v>0</v>
      </c>
      <c r="H266" s="10"/>
      <c r="I266" s="10">
        <f t="shared" si="37"/>
        <v>0</v>
      </c>
      <c r="J266" s="10"/>
      <c r="K266" s="10">
        <f t="shared" si="38"/>
        <v>0</v>
      </c>
      <c r="L266" s="10">
        <f t="shared" si="39"/>
        <v>0</v>
      </c>
    </row>
    <row r="267" spans="1:12" x14ac:dyDescent="0.3">
      <c r="A267" s="2"/>
      <c r="B267" s="17" t="s">
        <v>118</v>
      </c>
      <c r="C267" s="18" t="s">
        <v>18</v>
      </c>
      <c r="D267" s="19">
        <f>0.1*1.02</f>
        <v>0.10200000000000001</v>
      </c>
      <c r="E267" s="19">
        <f>D267*E$265</f>
        <v>33.660000000000004</v>
      </c>
      <c r="F267" s="10"/>
      <c r="G267" s="10">
        <f t="shared" si="36"/>
        <v>0</v>
      </c>
      <c r="H267" s="10"/>
      <c r="I267" s="10">
        <f t="shared" si="37"/>
        <v>0</v>
      </c>
      <c r="J267" s="10"/>
      <c r="K267" s="10">
        <f t="shared" si="38"/>
        <v>0</v>
      </c>
      <c r="L267" s="10">
        <f t="shared" si="39"/>
        <v>0</v>
      </c>
    </row>
    <row r="268" spans="1:12" x14ac:dyDescent="0.3">
      <c r="A268" s="2"/>
      <c r="B268" s="17" t="s">
        <v>19</v>
      </c>
      <c r="C268" s="18" t="s">
        <v>16</v>
      </c>
      <c r="D268" s="19">
        <v>1</v>
      </c>
      <c r="E268" s="19">
        <f>D268*E$265</f>
        <v>330</v>
      </c>
      <c r="F268" s="10"/>
      <c r="G268" s="10">
        <f t="shared" si="36"/>
        <v>0</v>
      </c>
      <c r="H268" s="10"/>
      <c r="I268" s="10">
        <f t="shared" si="37"/>
        <v>0</v>
      </c>
      <c r="J268" s="10"/>
      <c r="K268" s="10">
        <f t="shared" si="38"/>
        <v>0</v>
      </c>
      <c r="L268" s="10">
        <f t="shared" si="39"/>
        <v>0</v>
      </c>
    </row>
    <row r="269" spans="1:12" x14ac:dyDescent="0.3">
      <c r="A269" s="2">
        <f>A265+1</f>
        <v>42</v>
      </c>
      <c r="B269" s="14" t="s">
        <v>280</v>
      </c>
      <c r="C269" s="2" t="s">
        <v>16</v>
      </c>
      <c r="D269" s="15"/>
      <c r="E269" s="15">
        <f>E265+(25.1+25.1+13.8+13.8)*0.5</f>
        <v>368.9</v>
      </c>
      <c r="F269" s="10"/>
      <c r="G269" s="10">
        <f t="shared" si="36"/>
        <v>0</v>
      </c>
      <c r="H269" s="10"/>
      <c r="I269" s="10">
        <f t="shared" si="37"/>
        <v>0</v>
      </c>
      <c r="J269" s="10"/>
      <c r="K269" s="10">
        <f t="shared" si="38"/>
        <v>0</v>
      </c>
      <c r="L269" s="10">
        <f t="shared" si="39"/>
        <v>0</v>
      </c>
    </row>
    <row r="270" spans="1:12" x14ac:dyDescent="0.3">
      <c r="A270" s="2"/>
      <c r="B270" s="17" t="s">
        <v>13</v>
      </c>
      <c r="C270" s="18" t="s">
        <v>16</v>
      </c>
      <c r="D270" s="19">
        <v>1</v>
      </c>
      <c r="E270" s="19">
        <f>D270*E$269</f>
        <v>368.9</v>
      </c>
      <c r="F270" s="10"/>
      <c r="G270" s="10">
        <f t="shared" si="36"/>
        <v>0</v>
      </c>
      <c r="H270" s="10"/>
      <c r="I270" s="10">
        <f t="shared" si="37"/>
        <v>0</v>
      </c>
      <c r="J270" s="10"/>
      <c r="K270" s="10">
        <f t="shared" si="38"/>
        <v>0</v>
      </c>
      <c r="L270" s="10">
        <f t="shared" si="39"/>
        <v>0</v>
      </c>
    </row>
    <row r="271" spans="1:12" x14ac:dyDescent="0.3">
      <c r="A271" s="2"/>
      <c r="B271" s="17" t="s">
        <v>135</v>
      </c>
      <c r="C271" s="18" t="s">
        <v>16</v>
      </c>
      <c r="D271" s="19">
        <v>1.1499999999999999</v>
      </c>
      <c r="E271" s="19">
        <f>D271*E$269</f>
        <v>424.23499999999996</v>
      </c>
      <c r="F271" s="10"/>
      <c r="G271" s="10">
        <f t="shared" si="36"/>
        <v>0</v>
      </c>
      <c r="H271" s="10"/>
      <c r="I271" s="10">
        <f t="shared" si="37"/>
        <v>0</v>
      </c>
      <c r="J271" s="10"/>
      <c r="K271" s="10">
        <f t="shared" si="38"/>
        <v>0</v>
      </c>
      <c r="L271" s="10">
        <f t="shared" si="39"/>
        <v>0</v>
      </c>
    </row>
    <row r="272" spans="1:12" x14ac:dyDescent="0.3">
      <c r="A272" s="2"/>
      <c r="B272" s="17" t="s">
        <v>136</v>
      </c>
      <c r="C272" s="18" t="s">
        <v>16</v>
      </c>
      <c r="D272" s="19">
        <v>1.1499999999999999</v>
      </c>
      <c r="E272" s="19">
        <f>D272*E$269</f>
        <v>424.23499999999996</v>
      </c>
      <c r="F272" s="10"/>
      <c r="G272" s="10">
        <f t="shared" si="36"/>
        <v>0</v>
      </c>
      <c r="H272" s="10"/>
      <c r="I272" s="10">
        <f t="shared" si="37"/>
        <v>0</v>
      </c>
      <c r="J272" s="10"/>
      <c r="K272" s="10">
        <f t="shared" si="38"/>
        <v>0</v>
      </c>
      <c r="L272" s="10">
        <f t="shared" si="39"/>
        <v>0</v>
      </c>
    </row>
    <row r="273" spans="1:12" x14ac:dyDescent="0.3">
      <c r="A273" s="2"/>
      <c r="B273" s="17" t="s">
        <v>19</v>
      </c>
      <c r="C273" s="18" t="s">
        <v>16</v>
      </c>
      <c r="D273" s="19">
        <v>1</v>
      </c>
      <c r="E273" s="19">
        <f>D273*E$269</f>
        <v>368.9</v>
      </c>
      <c r="F273" s="10"/>
      <c r="G273" s="10">
        <f t="shared" si="36"/>
        <v>0</v>
      </c>
      <c r="H273" s="10"/>
      <c r="I273" s="10">
        <f t="shared" si="37"/>
        <v>0</v>
      </c>
      <c r="J273" s="10"/>
      <c r="K273" s="10">
        <f t="shared" si="38"/>
        <v>0</v>
      </c>
      <c r="L273" s="10">
        <f t="shared" si="39"/>
        <v>0</v>
      </c>
    </row>
    <row r="274" spans="1:12" x14ac:dyDescent="0.3">
      <c r="A274" s="2">
        <f>A269+1</f>
        <v>43</v>
      </c>
      <c r="B274" s="14" t="s">
        <v>281</v>
      </c>
      <c r="C274" s="2" t="s">
        <v>12</v>
      </c>
      <c r="D274" s="15"/>
      <c r="E274" s="15">
        <f>14.8+14.8+25.1+25.1</f>
        <v>79.800000000000011</v>
      </c>
      <c r="F274" s="10"/>
      <c r="G274" s="10">
        <f t="shared" si="36"/>
        <v>0</v>
      </c>
      <c r="H274" s="10"/>
      <c r="I274" s="10">
        <f t="shared" si="37"/>
        <v>0</v>
      </c>
      <c r="J274" s="10"/>
      <c r="K274" s="10">
        <f t="shared" si="38"/>
        <v>0</v>
      </c>
      <c r="L274" s="10">
        <f t="shared" si="39"/>
        <v>0</v>
      </c>
    </row>
    <row r="275" spans="1:12" x14ac:dyDescent="0.3">
      <c r="A275" s="2"/>
      <c r="B275" s="17" t="s">
        <v>13</v>
      </c>
      <c r="C275" s="18" t="s">
        <v>12</v>
      </c>
      <c r="D275" s="19">
        <v>1</v>
      </c>
      <c r="E275" s="19">
        <f>D275*E$274</f>
        <v>79.800000000000011</v>
      </c>
      <c r="F275" s="10"/>
      <c r="G275" s="10">
        <f t="shared" si="36"/>
        <v>0</v>
      </c>
      <c r="H275" s="10"/>
      <c r="I275" s="10">
        <f t="shared" si="37"/>
        <v>0</v>
      </c>
      <c r="J275" s="10"/>
      <c r="K275" s="10">
        <f t="shared" si="38"/>
        <v>0</v>
      </c>
      <c r="L275" s="10">
        <f t="shared" si="39"/>
        <v>0</v>
      </c>
    </row>
    <row r="276" spans="1:12" x14ac:dyDescent="0.3">
      <c r="A276" s="2"/>
      <c r="B276" s="17" t="s">
        <v>146</v>
      </c>
      <c r="C276" s="18" t="s">
        <v>16</v>
      </c>
      <c r="D276" s="19">
        <f>0.3+0.2+0.2</f>
        <v>0.7</v>
      </c>
      <c r="E276" s="19">
        <f>D276*E$274</f>
        <v>55.860000000000007</v>
      </c>
      <c r="F276" s="10"/>
      <c r="G276" s="10">
        <f t="shared" si="36"/>
        <v>0</v>
      </c>
      <c r="H276" s="10"/>
      <c r="I276" s="10">
        <f t="shared" si="37"/>
        <v>0</v>
      </c>
      <c r="J276" s="10"/>
      <c r="K276" s="10">
        <f t="shared" si="38"/>
        <v>0</v>
      </c>
      <c r="L276" s="10">
        <f t="shared" si="39"/>
        <v>0</v>
      </c>
    </row>
    <row r="277" spans="1:12" x14ac:dyDescent="0.3">
      <c r="A277" s="2"/>
      <c r="B277" s="17" t="s">
        <v>19</v>
      </c>
      <c r="C277" s="18" t="s">
        <v>12</v>
      </c>
      <c r="D277" s="19">
        <v>1</v>
      </c>
      <c r="E277" s="19">
        <f>D277*E$274</f>
        <v>79.800000000000011</v>
      </c>
      <c r="F277" s="10"/>
      <c r="G277" s="10">
        <f t="shared" si="36"/>
        <v>0</v>
      </c>
      <c r="H277" s="10"/>
      <c r="I277" s="10">
        <f t="shared" si="37"/>
        <v>0</v>
      </c>
      <c r="J277" s="10"/>
      <c r="K277" s="10">
        <f t="shared" si="38"/>
        <v>0</v>
      </c>
      <c r="L277" s="10">
        <f t="shared" si="39"/>
        <v>0</v>
      </c>
    </row>
    <row r="278" spans="1:12" x14ac:dyDescent="0.3">
      <c r="A278" s="2">
        <f>A274+1</f>
        <v>44</v>
      </c>
      <c r="B278" s="14" t="s">
        <v>282</v>
      </c>
      <c r="C278" s="2" t="s">
        <v>12</v>
      </c>
      <c r="D278" s="15"/>
      <c r="E278" s="15">
        <f>25.1+8*5</f>
        <v>65.099999999999994</v>
      </c>
      <c r="F278" s="10"/>
      <c r="G278" s="10">
        <f t="shared" si="36"/>
        <v>0</v>
      </c>
      <c r="H278" s="10"/>
      <c r="I278" s="10">
        <f t="shared" si="37"/>
        <v>0</v>
      </c>
      <c r="J278" s="10"/>
      <c r="K278" s="10">
        <f t="shared" si="38"/>
        <v>0</v>
      </c>
      <c r="L278" s="10">
        <f t="shared" si="39"/>
        <v>0</v>
      </c>
    </row>
    <row r="279" spans="1:12" x14ac:dyDescent="0.3">
      <c r="A279" s="2"/>
      <c r="B279" s="17" t="s">
        <v>13</v>
      </c>
      <c r="C279" s="18" t="s">
        <v>12</v>
      </c>
      <c r="D279" s="19">
        <v>1</v>
      </c>
      <c r="E279" s="19">
        <f>D279*E278</f>
        <v>65.099999999999994</v>
      </c>
      <c r="F279" s="10"/>
      <c r="G279" s="10">
        <f t="shared" si="36"/>
        <v>0</v>
      </c>
      <c r="H279" s="10"/>
      <c r="I279" s="10">
        <f t="shared" si="37"/>
        <v>0</v>
      </c>
      <c r="J279" s="10"/>
      <c r="K279" s="10">
        <f t="shared" si="38"/>
        <v>0</v>
      </c>
      <c r="L279" s="10">
        <f t="shared" si="39"/>
        <v>0</v>
      </c>
    </row>
    <row r="280" spans="1:12" x14ac:dyDescent="0.3">
      <c r="A280" s="2"/>
      <c r="B280" s="17" t="s">
        <v>142</v>
      </c>
      <c r="C280" s="18" t="s">
        <v>12</v>
      </c>
      <c r="D280" s="19"/>
      <c r="E280" s="19">
        <v>25.1</v>
      </c>
      <c r="F280" s="10"/>
      <c r="G280" s="10">
        <f t="shared" si="36"/>
        <v>0</v>
      </c>
      <c r="H280" s="10"/>
      <c r="I280" s="10">
        <f t="shared" si="37"/>
        <v>0</v>
      </c>
      <c r="J280" s="10"/>
      <c r="K280" s="10">
        <f t="shared" si="38"/>
        <v>0</v>
      </c>
      <c r="L280" s="10">
        <f t="shared" si="39"/>
        <v>0</v>
      </c>
    </row>
    <row r="281" spans="1:12" x14ac:dyDescent="0.3">
      <c r="A281" s="2"/>
      <c r="B281" s="17" t="s">
        <v>143</v>
      </c>
      <c r="C281" s="18" t="s">
        <v>12</v>
      </c>
      <c r="D281" s="19"/>
      <c r="E281" s="19">
        <f>8*5</f>
        <v>40</v>
      </c>
      <c r="F281" s="10"/>
      <c r="G281" s="10">
        <f t="shared" si="36"/>
        <v>0</v>
      </c>
      <c r="H281" s="10"/>
      <c r="I281" s="10">
        <f t="shared" si="37"/>
        <v>0</v>
      </c>
      <c r="J281" s="10"/>
      <c r="K281" s="10">
        <f t="shared" si="38"/>
        <v>0</v>
      </c>
      <c r="L281" s="10">
        <f t="shared" si="39"/>
        <v>0</v>
      </c>
    </row>
    <row r="282" spans="1:12" x14ac:dyDescent="0.3">
      <c r="A282" s="2"/>
      <c r="B282" s="17" t="s">
        <v>144</v>
      </c>
      <c r="C282" s="18" t="s">
        <v>72</v>
      </c>
      <c r="D282" s="19"/>
      <c r="E282" s="19">
        <v>5</v>
      </c>
      <c r="F282" s="10"/>
      <c r="G282" s="10">
        <f t="shared" ref="G282:G318" si="40">F282*E282</f>
        <v>0</v>
      </c>
      <c r="H282" s="10"/>
      <c r="I282" s="10">
        <f t="shared" ref="I282:I318" si="41">H282*E282</f>
        <v>0</v>
      </c>
      <c r="J282" s="10"/>
      <c r="K282" s="10">
        <f t="shared" ref="K282:K318" si="42">J282*E282</f>
        <v>0</v>
      </c>
      <c r="L282" s="10">
        <f t="shared" ref="L282:L318" si="43">K282+I282+G282</f>
        <v>0</v>
      </c>
    </row>
    <row r="283" spans="1:12" x14ac:dyDescent="0.3">
      <c r="A283" s="2"/>
      <c r="B283" s="17" t="s">
        <v>145</v>
      </c>
      <c r="C283" s="18" t="s">
        <v>72</v>
      </c>
      <c r="D283" s="19"/>
      <c r="E283" s="19">
        <v>10</v>
      </c>
      <c r="F283" s="10"/>
      <c r="G283" s="10">
        <f t="shared" si="40"/>
        <v>0</v>
      </c>
      <c r="H283" s="10"/>
      <c r="I283" s="10">
        <f t="shared" si="41"/>
        <v>0</v>
      </c>
      <c r="J283" s="10"/>
      <c r="K283" s="10">
        <f t="shared" si="42"/>
        <v>0</v>
      </c>
      <c r="L283" s="10">
        <f t="shared" si="43"/>
        <v>0</v>
      </c>
    </row>
    <row r="284" spans="1:12" x14ac:dyDescent="0.3">
      <c r="A284" s="2"/>
      <c r="B284" s="17" t="s">
        <v>120</v>
      </c>
      <c r="C284" s="18" t="s">
        <v>72</v>
      </c>
      <c r="D284" s="19">
        <v>1.6</v>
      </c>
      <c r="E284" s="19">
        <f>D284*E278</f>
        <v>104.16</v>
      </c>
      <c r="F284" s="10"/>
      <c r="G284" s="10">
        <f>F284*E284</f>
        <v>0</v>
      </c>
      <c r="H284" s="10"/>
      <c r="I284" s="10">
        <f>H284*E284</f>
        <v>0</v>
      </c>
      <c r="J284" s="10"/>
      <c r="K284" s="10">
        <f>J284*E284</f>
        <v>0</v>
      </c>
      <c r="L284" s="10">
        <f>K284+I284+G284</f>
        <v>0</v>
      </c>
    </row>
    <row r="285" spans="1:12" x14ac:dyDescent="0.3">
      <c r="A285" s="2"/>
      <c r="B285" s="17" t="s">
        <v>19</v>
      </c>
      <c r="C285" s="18" t="s">
        <v>12</v>
      </c>
      <c r="D285" s="19">
        <v>1</v>
      </c>
      <c r="E285" s="19">
        <f>D285*E278</f>
        <v>65.099999999999994</v>
      </c>
      <c r="F285" s="10"/>
      <c r="G285" s="10">
        <f t="shared" si="40"/>
        <v>0</v>
      </c>
      <c r="H285" s="10"/>
      <c r="I285" s="10">
        <f t="shared" si="41"/>
        <v>0</v>
      </c>
      <c r="J285" s="10"/>
      <c r="K285" s="10">
        <f t="shared" si="42"/>
        <v>0</v>
      </c>
      <c r="L285" s="10">
        <f t="shared" si="43"/>
        <v>0</v>
      </c>
    </row>
    <row r="286" spans="1:12" x14ac:dyDescent="0.3">
      <c r="A286" s="2">
        <f>A278+1</f>
        <v>45</v>
      </c>
      <c r="B286" s="14" t="s">
        <v>1085</v>
      </c>
      <c r="C286" s="2" t="s">
        <v>38</v>
      </c>
      <c r="D286" s="15"/>
      <c r="E286" s="15">
        <f>(155+45+24)/1000</f>
        <v>0.224</v>
      </c>
      <c r="F286" s="10"/>
      <c r="G286" s="10">
        <f t="shared" si="40"/>
        <v>0</v>
      </c>
      <c r="H286" s="10"/>
      <c r="I286" s="10">
        <f t="shared" si="41"/>
        <v>0</v>
      </c>
      <c r="J286" s="10"/>
      <c r="K286" s="10">
        <f t="shared" si="42"/>
        <v>0</v>
      </c>
      <c r="L286" s="10">
        <f t="shared" si="43"/>
        <v>0</v>
      </c>
    </row>
    <row r="287" spans="1:12" x14ac:dyDescent="0.3">
      <c r="A287" s="11"/>
      <c r="B287" s="11" t="s">
        <v>150</v>
      </c>
      <c r="C287" s="28"/>
      <c r="D287" s="29"/>
      <c r="E287" s="29"/>
      <c r="F287" s="13"/>
      <c r="G287" s="13">
        <f t="shared" si="40"/>
        <v>0</v>
      </c>
      <c r="H287" s="13"/>
      <c r="I287" s="13">
        <f t="shared" si="41"/>
        <v>0</v>
      </c>
      <c r="J287" s="13"/>
      <c r="K287" s="13">
        <f t="shared" si="42"/>
        <v>0</v>
      </c>
      <c r="L287" s="13">
        <f t="shared" si="43"/>
        <v>0</v>
      </c>
    </row>
    <row r="288" spans="1:12" x14ac:dyDescent="0.3">
      <c r="A288" s="20"/>
      <c r="B288" s="20" t="s">
        <v>151</v>
      </c>
      <c r="C288" s="30"/>
      <c r="D288" s="31"/>
      <c r="E288" s="31"/>
      <c r="F288" s="23"/>
      <c r="G288" s="23">
        <f t="shared" si="40"/>
        <v>0</v>
      </c>
      <c r="H288" s="23"/>
      <c r="I288" s="23">
        <f t="shared" si="41"/>
        <v>0</v>
      </c>
      <c r="J288" s="23"/>
      <c r="K288" s="23">
        <f t="shared" si="42"/>
        <v>0</v>
      </c>
      <c r="L288" s="23">
        <f t="shared" si="43"/>
        <v>0</v>
      </c>
    </row>
    <row r="289" spans="1:12" x14ac:dyDescent="0.3">
      <c r="A289" s="2">
        <f>A286+1</f>
        <v>46</v>
      </c>
      <c r="B289" s="14" t="s">
        <v>285</v>
      </c>
      <c r="C289" s="2" t="s">
        <v>16</v>
      </c>
      <c r="D289" s="15"/>
      <c r="E289" s="15">
        <v>330</v>
      </c>
      <c r="F289" s="10"/>
      <c r="G289" s="10">
        <f t="shared" si="40"/>
        <v>0</v>
      </c>
      <c r="H289" s="10"/>
      <c r="I289" s="10">
        <f t="shared" si="41"/>
        <v>0</v>
      </c>
      <c r="J289" s="10"/>
      <c r="K289" s="10">
        <f t="shared" si="42"/>
        <v>0</v>
      </c>
      <c r="L289" s="10">
        <f t="shared" si="43"/>
        <v>0</v>
      </c>
    </row>
    <row r="290" spans="1:12" x14ac:dyDescent="0.3">
      <c r="A290" s="2"/>
      <c r="B290" s="17" t="s">
        <v>13</v>
      </c>
      <c r="C290" s="18" t="s">
        <v>16</v>
      </c>
      <c r="D290" s="19">
        <v>1</v>
      </c>
      <c r="E290" s="19">
        <f>D290*E289</f>
        <v>330</v>
      </c>
      <c r="F290" s="10"/>
      <c r="G290" s="10">
        <f t="shared" si="40"/>
        <v>0</v>
      </c>
      <c r="H290" s="10"/>
      <c r="I290" s="10">
        <f t="shared" si="41"/>
        <v>0</v>
      </c>
      <c r="J290" s="10"/>
      <c r="K290" s="10">
        <f t="shared" si="42"/>
        <v>0</v>
      </c>
      <c r="L290" s="10">
        <f t="shared" si="43"/>
        <v>0</v>
      </c>
    </row>
    <row r="291" spans="1:12" x14ac:dyDescent="0.3">
      <c r="A291" s="2"/>
      <c r="B291" s="17" t="s">
        <v>65</v>
      </c>
      <c r="C291" s="18" t="s">
        <v>16</v>
      </c>
      <c r="D291" s="19">
        <v>1.1499999999999999</v>
      </c>
      <c r="E291" s="19">
        <f>D291*E289</f>
        <v>379.49999999999994</v>
      </c>
      <c r="F291" s="10"/>
      <c r="G291" s="10">
        <f t="shared" si="40"/>
        <v>0</v>
      </c>
      <c r="H291" s="10"/>
      <c r="I291" s="10">
        <f t="shared" si="41"/>
        <v>0</v>
      </c>
      <c r="J291" s="10"/>
      <c r="K291" s="10">
        <f t="shared" si="42"/>
        <v>0</v>
      </c>
      <c r="L291" s="10">
        <f t="shared" si="43"/>
        <v>0</v>
      </c>
    </row>
    <row r="292" spans="1:12" x14ac:dyDescent="0.3">
      <c r="A292" s="2">
        <f>A289+1</f>
        <v>47</v>
      </c>
      <c r="B292" s="14" t="s">
        <v>286</v>
      </c>
      <c r="C292" s="2" t="s">
        <v>16</v>
      </c>
      <c r="D292" s="15"/>
      <c r="E292" s="15">
        <f>E289</f>
        <v>330</v>
      </c>
      <c r="F292" s="10"/>
      <c r="G292" s="10">
        <f t="shared" si="40"/>
        <v>0</v>
      </c>
      <c r="H292" s="10"/>
      <c r="I292" s="10">
        <f t="shared" si="41"/>
        <v>0</v>
      </c>
      <c r="J292" s="10"/>
      <c r="K292" s="10">
        <f t="shared" si="42"/>
        <v>0</v>
      </c>
      <c r="L292" s="10">
        <f t="shared" si="43"/>
        <v>0</v>
      </c>
    </row>
    <row r="293" spans="1:12" x14ac:dyDescent="0.3">
      <c r="A293" s="2"/>
      <c r="B293" s="17" t="s">
        <v>13</v>
      </c>
      <c r="C293" s="18" t="s">
        <v>16</v>
      </c>
      <c r="D293" s="19">
        <v>1</v>
      </c>
      <c r="E293" s="19">
        <f>D293*E$292</f>
        <v>330</v>
      </c>
      <c r="F293" s="10"/>
      <c r="G293" s="10">
        <f t="shared" si="40"/>
        <v>0</v>
      </c>
      <c r="H293" s="10"/>
      <c r="I293" s="10">
        <f t="shared" si="41"/>
        <v>0</v>
      </c>
      <c r="J293" s="10"/>
      <c r="K293" s="10">
        <f t="shared" si="42"/>
        <v>0</v>
      </c>
      <c r="L293" s="10">
        <f t="shared" si="43"/>
        <v>0</v>
      </c>
    </row>
    <row r="294" spans="1:12" x14ac:dyDescent="0.3">
      <c r="A294" s="2"/>
      <c r="B294" s="17" t="s">
        <v>133</v>
      </c>
      <c r="C294" s="18" t="s">
        <v>16</v>
      </c>
      <c r="D294" s="19">
        <v>1.03</v>
      </c>
      <c r="E294" s="19">
        <f>D294*E$292</f>
        <v>339.90000000000003</v>
      </c>
      <c r="F294" s="10"/>
      <c r="G294" s="10">
        <f t="shared" si="40"/>
        <v>0</v>
      </c>
      <c r="H294" s="10"/>
      <c r="I294" s="10">
        <f t="shared" si="41"/>
        <v>0</v>
      </c>
      <c r="J294" s="10"/>
      <c r="K294" s="10">
        <f t="shared" si="42"/>
        <v>0</v>
      </c>
      <c r="L294" s="10">
        <f t="shared" si="43"/>
        <v>0</v>
      </c>
    </row>
    <row r="295" spans="1:12" x14ac:dyDescent="0.3">
      <c r="A295" s="2"/>
      <c r="B295" s="17" t="s">
        <v>19</v>
      </c>
      <c r="C295" s="18" t="s">
        <v>16</v>
      </c>
      <c r="D295" s="19">
        <v>1</v>
      </c>
      <c r="E295" s="19">
        <f>D295*E$292</f>
        <v>330</v>
      </c>
      <c r="F295" s="10"/>
      <c r="G295" s="10">
        <f t="shared" si="40"/>
        <v>0</v>
      </c>
      <c r="H295" s="10"/>
      <c r="I295" s="10">
        <f t="shared" si="41"/>
        <v>0</v>
      </c>
      <c r="J295" s="10"/>
      <c r="K295" s="10">
        <f t="shared" si="42"/>
        <v>0</v>
      </c>
      <c r="L295" s="10">
        <f t="shared" si="43"/>
        <v>0</v>
      </c>
    </row>
    <row r="296" spans="1:12" x14ac:dyDescent="0.3">
      <c r="A296" s="2">
        <f>A292+1</f>
        <v>48</v>
      </c>
      <c r="B296" s="14" t="s">
        <v>287</v>
      </c>
      <c r="C296" s="2" t="s">
        <v>16</v>
      </c>
      <c r="D296" s="15"/>
      <c r="E296" s="15">
        <f>E292</f>
        <v>330</v>
      </c>
      <c r="F296" s="10"/>
      <c r="G296" s="10">
        <f t="shared" si="40"/>
        <v>0</v>
      </c>
      <c r="H296" s="10"/>
      <c r="I296" s="10">
        <f t="shared" si="41"/>
        <v>0</v>
      </c>
      <c r="J296" s="10"/>
      <c r="K296" s="10">
        <f t="shared" si="42"/>
        <v>0</v>
      </c>
      <c r="L296" s="10">
        <f t="shared" si="43"/>
        <v>0</v>
      </c>
    </row>
    <row r="297" spans="1:12" x14ac:dyDescent="0.3">
      <c r="A297" s="2"/>
      <c r="B297" s="17" t="s">
        <v>13</v>
      </c>
      <c r="C297" s="18" t="s">
        <v>16</v>
      </c>
      <c r="D297" s="19">
        <v>1</v>
      </c>
      <c r="E297" s="19">
        <f>D297*E$296</f>
        <v>330</v>
      </c>
      <c r="F297" s="10"/>
      <c r="G297" s="10">
        <f t="shared" si="40"/>
        <v>0</v>
      </c>
      <c r="H297" s="10"/>
      <c r="I297" s="10">
        <f t="shared" si="41"/>
        <v>0</v>
      </c>
      <c r="J297" s="10"/>
      <c r="K297" s="10">
        <f t="shared" si="42"/>
        <v>0</v>
      </c>
      <c r="L297" s="10">
        <f t="shared" si="43"/>
        <v>0</v>
      </c>
    </row>
    <row r="298" spans="1:12" x14ac:dyDescent="0.3">
      <c r="A298" s="2"/>
      <c r="B298" s="17" t="s">
        <v>124</v>
      </c>
      <c r="C298" s="18" t="s">
        <v>16</v>
      </c>
      <c r="D298" s="19">
        <v>1.03</v>
      </c>
      <c r="E298" s="19">
        <f>D298*E$296</f>
        <v>339.90000000000003</v>
      </c>
      <c r="F298" s="10"/>
      <c r="G298" s="10">
        <f t="shared" si="40"/>
        <v>0</v>
      </c>
      <c r="H298" s="10"/>
      <c r="I298" s="10">
        <f t="shared" si="41"/>
        <v>0</v>
      </c>
      <c r="J298" s="10"/>
      <c r="K298" s="10">
        <f t="shared" si="42"/>
        <v>0</v>
      </c>
      <c r="L298" s="10">
        <f t="shared" si="43"/>
        <v>0</v>
      </c>
    </row>
    <row r="299" spans="1:12" x14ac:dyDescent="0.3">
      <c r="A299" s="2">
        <f>A296+1</f>
        <v>49</v>
      </c>
      <c r="B299" s="14" t="s">
        <v>288</v>
      </c>
      <c r="C299" s="2" t="s">
        <v>16</v>
      </c>
      <c r="D299" s="15"/>
      <c r="E299" s="15">
        <f>E296</f>
        <v>330</v>
      </c>
      <c r="F299" s="10"/>
      <c r="G299" s="10">
        <f t="shared" si="40"/>
        <v>0</v>
      </c>
      <c r="H299" s="10"/>
      <c r="I299" s="10">
        <f t="shared" si="41"/>
        <v>0</v>
      </c>
      <c r="J299" s="10"/>
      <c r="K299" s="10">
        <f t="shared" si="42"/>
        <v>0</v>
      </c>
      <c r="L299" s="10">
        <f t="shared" si="43"/>
        <v>0</v>
      </c>
    </row>
    <row r="300" spans="1:12" x14ac:dyDescent="0.3">
      <c r="A300" s="2"/>
      <c r="B300" s="17" t="s">
        <v>13</v>
      </c>
      <c r="C300" s="18" t="s">
        <v>16</v>
      </c>
      <c r="D300" s="19">
        <v>1</v>
      </c>
      <c r="E300" s="19">
        <f>D300*E$299</f>
        <v>330</v>
      </c>
      <c r="F300" s="10"/>
      <c r="G300" s="10">
        <f t="shared" si="40"/>
        <v>0</v>
      </c>
      <c r="H300" s="10"/>
      <c r="I300" s="10">
        <f t="shared" si="41"/>
        <v>0</v>
      </c>
      <c r="J300" s="10"/>
      <c r="K300" s="10">
        <f t="shared" si="42"/>
        <v>0</v>
      </c>
      <c r="L300" s="10">
        <f t="shared" si="43"/>
        <v>0</v>
      </c>
    </row>
    <row r="301" spans="1:12" x14ac:dyDescent="0.3">
      <c r="A301" s="2"/>
      <c r="B301" s="17" t="s">
        <v>118</v>
      </c>
      <c r="C301" s="18" t="s">
        <v>18</v>
      </c>
      <c r="D301" s="19">
        <f>0.15*1.02</f>
        <v>0.153</v>
      </c>
      <c r="E301" s="19">
        <f>D301*E$299</f>
        <v>50.49</v>
      </c>
      <c r="F301" s="10"/>
      <c r="G301" s="10">
        <f t="shared" si="40"/>
        <v>0</v>
      </c>
      <c r="H301" s="10"/>
      <c r="I301" s="10">
        <f t="shared" si="41"/>
        <v>0</v>
      </c>
      <c r="J301" s="10"/>
      <c r="K301" s="10">
        <f t="shared" si="42"/>
        <v>0</v>
      </c>
      <c r="L301" s="10">
        <f t="shared" si="43"/>
        <v>0</v>
      </c>
    </row>
    <row r="302" spans="1:12" x14ac:dyDescent="0.3">
      <c r="A302" s="2"/>
      <c r="B302" s="17" t="s">
        <v>19</v>
      </c>
      <c r="C302" s="18" t="s">
        <v>16</v>
      </c>
      <c r="D302" s="19">
        <v>1</v>
      </c>
      <c r="E302" s="19">
        <f>D302*E$299</f>
        <v>330</v>
      </c>
      <c r="F302" s="10"/>
      <c r="G302" s="10">
        <f t="shared" si="40"/>
        <v>0</v>
      </c>
      <c r="H302" s="10"/>
      <c r="I302" s="10">
        <f t="shared" si="41"/>
        <v>0</v>
      </c>
      <c r="J302" s="10"/>
      <c r="K302" s="10">
        <f t="shared" si="42"/>
        <v>0</v>
      </c>
      <c r="L302" s="10">
        <f t="shared" si="43"/>
        <v>0</v>
      </c>
    </row>
    <row r="303" spans="1:12" x14ac:dyDescent="0.3">
      <c r="A303" s="2">
        <f>A299+1</f>
        <v>50</v>
      </c>
      <c r="B303" s="14" t="s">
        <v>154</v>
      </c>
      <c r="C303" s="2" t="s">
        <v>16</v>
      </c>
      <c r="D303" s="15"/>
      <c r="E303" s="15">
        <f>E299</f>
        <v>330</v>
      </c>
      <c r="F303" s="10"/>
      <c r="G303" s="10">
        <f t="shared" si="40"/>
        <v>0</v>
      </c>
      <c r="H303" s="10"/>
      <c r="I303" s="10">
        <f t="shared" si="41"/>
        <v>0</v>
      </c>
      <c r="J303" s="10"/>
      <c r="K303" s="10">
        <f t="shared" si="42"/>
        <v>0</v>
      </c>
      <c r="L303" s="10">
        <f t="shared" si="43"/>
        <v>0</v>
      </c>
    </row>
    <row r="304" spans="1:12" x14ac:dyDescent="0.3">
      <c r="A304" s="2"/>
      <c r="B304" s="17" t="s">
        <v>13</v>
      </c>
      <c r="C304" s="18" t="s">
        <v>16</v>
      </c>
      <c r="D304" s="19">
        <v>1</v>
      </c>
      <c r="E304" s="19">
        <f>D304*E$303</f>
        <v>330</v>
      </c>
      <c r="F304" s="10"/>
      <c r="G304" s="10">
        <f t="shared" si="40"/>
        <v>0</v>
      </c>
      <c r="H304" s="10"/>
      <c r="I304" s="10">
        <f t="shared" si="41"/>
        <v>0</v>
      </c>
      <c r="J304" s="10"/>
      <c r="K304" s="10">
        <f t="shared" si="42"/>
        <v>0</v>
      </c>
      <c r="L304" s="10">
        <f t="shared" si="43"/>
        <v>0</v>
      </c>
    </row>
    <row r="305" spans="1:12" x14ac:dyDescent="0.3">
      <c r="A305" s="2"/>
      <c r="B305" s="17" t="s">
        <v>155</v>
      </c>
      <c r="C305" s="18" t="s">
        <v>16</v>
      </c>
      <c r="D305" s="19">
        <v>1.05</v>
      </c>
      <c r="E305" s="19">
        <f>D305*E$303</f>
        <v>346.5</v>
      </c>
      <c r="F305" s="10"/>
      <c r="G305" s="10">
        <f t="shared" si="40"/>
        <v>0</v>
      </c>
      <c r="H305" s="10"/>
      <c r="I305" s="10">
        <f t="shared" si="41"/>
        <v>0</v>
      </c>
      <c r="J305" s="10"/>
      <c r="K305" s="10">
        <f t="shared" si="42"/>
        <v>0</v>
      </c>
      <c r="L305" s="10">
        <f t="shared" si="43"/>
        <v>0</v>
      </c>
    </row>
    <row r="306" spans="1:12" x14ac:dyDescent="0.3">
      <c r="A306" s="2"/>
      <c r="B306" s="17" t="s">
        <v>121</v>
      </c>
      <c r="C306" s="18" t="s">
        <v>47</v>
      </c>
      <c r="D306" s="19">
        <v>7</v>
      </c>
      <c r="E306" s="19">
        <f>D306*E$303</f>
        <v>2310</v>
      </c>
      <c r="F306" s="10"/>
      <c r="G306" s="10">
        <f t="shared" si="40"/>
        <v>0</v>
      </c>
      <c r="H306" s="10"/>
      <c r="I306" s="10">
        <f t="shared" si="41"/>
        <v>0</v>
      </c>
      <c r="J306" s="10"/>
      <c r="K306" s="10">
        <f t="shared" si="42"/>
        <v>0</v>
      </c>
      <c r="L306" s="10">
        <f t="shared" si="43"/>
        <v>0</v>
      </c>
    </row>
    <row r="307" spans="1:12" x14ac:dyDescent="0.3">
      <c r="A307" s="2"/>
      <c r="B307" s="17" t="s">
        <v>19</v>
      </c>
      <c r="C307" s="18" t="s">
        <v>16</v>
      </c>
      <c r="D307" s="19">
        <v>1</v>
      </c>
      <c r="E307" s="19">
        <f>D307*E$303</f>
        <v>330</v>
      </c>
      <c r="F307" s="10"/>
      <c r="G307" s="10">
        <f t="shared" si="40"/>
        <v>0</v>
      </c>
      <c r="H307" s="10"/>
      <c r="I307" s="10">
        <f t="shared" si="41"/>
        <v>0</v>
      </c>
      <c r="J307" s="10"/>
      <c r="K307" s="10">
        <f t="shared" si="42"/>
        <v>0</v>
      </c>
      <c r="L307" s="10">
        <f t="shared" si="43"/>
        <v>0</v>
      </c>
    </row>
    <row r="308" spans="1:12" x14ac:dyDescent="0.3">
      <c r="A308" s="20"/>
      <c r="B308" s="20" t="s">
        <v>163</v>
      </c>
      <c r="C308" s="30"/>
      <c r="D308" s="31"/>
      <c r="E308" s="31"/>
      <c r="F308" s="23"/>
      <c r="G308" s="23">
        <f t="shared" si="40"/>
        <v>0</v>
      </c>
      <c r="H308" s="23"/>
      <c r="I308" s="23">
        <f t="shared" si="41"/>
        <v>0</v>
      </c>
      <c r="J308" s="23"/>
      <c r="K308" s="23">
        <f t="shared" si="42"/>
        <v>0</v>
      </c>
      <c r="L308" s="23">
        <f t="shared" si="43"/>
        <v>0</v>
      </c>
    </row>
    <row r="309" spans="1:12" x14ac:dyDescent="0.3">
      <c r="A309" s="2">
        <f>A303+1</f>
        <v>51</v>
      </c>
      <c r="B309" s="14" t="s">
        <v>294</v>
      </c>
      <c r="C309" s="2" t="s">
        <v>16</v>
      </c>
      <c r="D309" s="15"/>
      <c r="E309" s="15">
        <f>E213</f>
        <v>389</v>
      </c>
      <c r="F309" s="10"/>
      <c r="G309" s="10">
        <f t="shared" si="40"/>
        <v>0</v>
      </c>
      <c r="H309" s="10"/>
      <c r="I309" s="10">
        <f t="shared" si="41"/>
        <v>0</v>
      </c>
      <c r="J309" s="10"/>
      <c r="K309" s="10">
        <f t="shared" si="42"/>
        <v>0</v>
      </c>
      <c r="L309" s="10">
        <f t="shared" si="43"/>
        <v>0</v>
      </c>
    </row>
    <row r="310" spans="1:12" x14ac:dyDescent="0.3">
      <c r="A310" s="2"/>
      <c r="B310" s="17" t="s">
        <v>13</v>
      </c>
      <c r="C310" s="18" t="s">
        <v>16</v>
      </c>
      <c r="D310" s="19">
        <v>1</v>
      </c>
      <c r="E310" s="19">
        <f>D310*E$309</f>
        <v>389</v>
      </c>
      <c r="F310" s="10"/>
      <c r="G310" s="10">
        <f t="shared" si="40"/>
        <v>0</v>
      </c>
      <c r="H310" s="10"/>
      <c r="I310" s="10">
        <f t="shared" si="41"/>
        <v>0</v>
      </c>
      <c r="J310" s="10"/>
      <c r="K310" s="10">
        <f t="shared" si="42"/>
        <v>0</v>
      </c>
      <c r="L310" s="10">
        <f t="shared" si="43"/>
        <v>0</v>
      </c>
    </row>
    <row r="311" spans="1:12" x14ac:dyDescent="0.3">
      <c r="A311" s="2"/>
      <c r="B311" s="17" t="s">
        <v>118</v>
      </c>
      <c r="C311" s="18" t="s">
        <v>18</v>
      </c>
      <c r="D311" s="19">
        <f>0.03*1.02</f>
        <v>3.0599999999999999E-2</v>
      </c>
      <c r="E311" s="19">
        <f>D311*E$309</f>
        <v>11.9034</v>
      </c>
      <c r="F311" s="10"/>
      <c r="G311" s="10">
        <f t="shared" si="40"/>
        <v>0</v>
      </c>
      <c r="H311" s="10"/>
      <c r="I311" s="10">
        <f t="shared" si="41"/>
        <v>0</v>
      </c>
      <c r="J311" s="10"/>
      <c r="K311" s="10">
        <f t="shared" si="42"/>
        <v>0</v>
      </c>
      <c r="L311" s="10">
        <f t="shared" si="43"/>
        <v>0</v>
      </c>
    </row>
    <row r="312" spans="1:12" x14ac:dyDescent="0.3">
      <c r="A312" s="2"/>
      <c r="B312" s="17" t="s">
        <v>19</v>
      </c>
      <c r="C312" s="18" t="s">
        <v>16</v>
      </c>
      <c r="D312" s="19">
        <v>1</v>
      </c>
      <c r="E312" s="19">
        <f>D312*E$309</f>
        <v>389</v>
      </c>
      <c r="F312" s="10"/>
      <c r="G312" s="10">
        <f t="shared" si="40"/>
        <v>0</v>
      </c>
      <c r="H312" s="10"/>
      <c r="I312" s="10">
        <f t="shared" si="41"/>
        <v>0</v>
      </c>
      <c r="J312" s="10"/>
      <c r="K312" s="10">
        <f t="shared" si="42"/>
        <v>0</v>
      </c>
      <c r="L312" s="10">
        <f t="shared" si="43"/>
        <v>0</v>
      </c>
    </row>
    <row r="313" spans="1:12" x14ac:dyDescent="0.3">
      <c r="A313" s="2">
        <f>A309+1</f>
        <v>52</v>
      </c>
      <c r="B313" s="14" t="s">
        <v>185</v>
      </c>
      <c r="C313" s="2" t="s">
        <v>16</v>
      </c>
      <c r="D313" s="15"/>
      <c r="E313" s="15">
        <f>E309</f>
        <v>389</v>
      </c>
      <c r="F313" s="10"/>
      <c r="G313" s="10">
        <f t="shared" si="40"/>
        <v>0</v>
      </c>
      <c r="H313" s="10"/>
      <c r="I313" s="10">
        <f t="shared" si="41"/>
        <v>0</v>
      </c>
      <c r="J313" s="10"/>
      <c r="K313" s="10">
        <f t="shared" si="42"/>
        <v>0</v>
      </c>
      <c r="L313" s="10">
        <f t="shared" si="43"/>
        <v>0</v>
      </c>
    </row>
    <row r="314" spans="1:12" x14ac:dyDescent="0.3">
      <c r="A314" s="2"/>
      <c r="B314" s="17" t="s">
        <v>13</v>
      </c>
      <c r="C314" s="18" t="s">
        <v>16</v>
      </c>
      <c r="D314" s="19">
        <v>1</v>
      </c>
      <c r="E314" s="19">
        <f>D314*E$313</f>
        <v>389</v>
      </c>
      <c r="F314" s="10"/>
      <c r="G314" s="10">
        <f t="shared" si="40"/>
        <v>0</v>
      </c>
      <c r="H314" s="10"/>
      <c r="I314" s="10">
        <f t="shared" si="41"/>
        <v>0</v>
      </c>
      <c r="J314" s="10"/>
      <c r="K314" s="10">
        <f t="shared" si="42"/>
        <v>0</v>
      </c>
      <c r="L314" s="10">
        <f t="shared" si="43"/>
        <v>0</v>
      </c>
    </row>
    <row r="315" spans="1:12" x14ac:dyDescent="0.3">
      <c r="A315" s="2"/>
      <c r="B315" s="17" t="s">
        <v>107</v>
      </c>
      <c r="C315" s="18" t="s">
        <v>47</v>
      </c>
      <c r="D315" s="19">
        <v>0.39</v>
      </c>
      <c r="E315" s="19">
        <f>D315*E$313</f>
        <v>151.71</v>
      </c>
      <c r="F315" s="10"/>
      <c r="G315" s="10">
        <f t="shared" si="40"/>
        <v>0</v>
      </c>
      <c r="H315" s="10"/>
      <c r="I315" s="10">
        <f t="shared" si="41"/>
        <v>0</v>
      </c>
      <c r="J315" s="10"/>
      <c r="K315" s="10">
        <f t="shared" si="42"/>
        <v>0</v>
      </c>
      <c r="L315" s="10">
        <f t="shared" si="43"/>
        <v>0</v>
      </c>
    </row>
    <row r="316" spans="1:12" x14ac:dyDescent="0.3">
      <c r="A316" s="2"/>
      <c r="B316" s="17" t="s">
        <v>186</v>
      </c>
      <c r="C316" s="18" t="s">
        <v>47</v>
      </c>
      <c r="D316" s="19">
        <v>0.79</v>
      </c>
      <c r="E316" s="19">
        <f>D316*E$313</f>
        <v>307.31</v>
      </c>
      <c r="F316" s="10"/>
      <c r="G316" s="10">
        <f t="shared" si="40"/>
        <v>0</v>
      </c>
      <c r="H316" s="10"/>
      <c r="I316" s="10">
        <f t="shared" si="41"/>
        <v>0</v>
      </c>
      <c r="J316" s="10"/>
      <c r="K316" s="10">
        <f t="shared" si="42"/>
        <v>0</v>
      </c>
      <c r="L316" s="10">
        <f t="shared" si="43"/>
        <v>0</v>
      </c>
    </row>
    <row r="317" spans="1:12" x14ac:dyDescent="0.3">
      <c r="A317" s="2"/>
      <c r="B317" s="17" t="s">
        <v>187</v>
      </c>
      <c r="C317" s="18" t="s">
        <v>16</v>
      </c>
      <c r="D317" s="19">
        <v>8.9999999999999993E-3</v>
      </c>
      <c r="E317" s="19">
        <f>D317*E$313</f>
        <v>3.5009999999999999</v>
      </c>
      <c r="F317" s="10"/>
      <c r="G317" s="10">
        <f t="shared" si="40"/>
        <v>0</v>
      </c>
      <c r="H317" s="10"/>
      <c r="I317" s="10">
        <f t="shared" si="41"/>
        <v>0</v>
      </c>
      <c r="J317" s="10"/>
      <c r="K317" s="10">
        <f t="shared" si="42"/>
        <v>0</v>
      </c>
      <c r="L317" s="10">
        <f t="shared" si="43"/>
        <v>0</v>
      </c>
    </row>
    <row r="318" spans="1:12" x14ac:dyDescent="0.3">
      <c r="A318" s="2"/>
      <c r="B318" s="17" t="s">
        <v>19</v>
      </c>
      <c r="C318" s="18" t="s">
        <v>16</v>
      </c>
      <c r="D318" s="19">
        <v>1</v>
      </c>
      <c r="E318" s="19">
        <f>D318*E$313</f>
        <v>389</v>
      </c>
      <c r="F318" s="10"/>
      <c r="G318" s="10">
        <f t="shared" si="40"/>
        <v>0</v>
      </c>
      <c r="H318" s="10"/>
      <c r="I318" s="10">
        <f t="shared" si="41"/>
        <v>0</v>
      </c>
      <c r="J318" s="10"/>
      <c r="K318" s="10">
        <f t="shared" si="42"/>
        <v>0</v>
      </c>
      <c r="L318" s="10">
        <f t="shared" si="43"/>
        <v>0</v>
      </c>
    </row>
    <row r="319" spans="1:12" x14ac:dyDescent="0.3">
      <c r="A319" s="20"/>
      <c r="B319" s="20" t="s">
        <v>189</v>
      </c>
      <c r="C319" s="30"/>
      <c r="D319" s="31"/>
      <c r="E319" s="31"/>
      <c r="F319" s="23"/>
      <c r="G319" s="23">
        <f t="shared" ref="G319:G322" si="44">F319*E319</f>
        <v>0</v>
      </c>
      <c r="H319" s="23"/>
      <c r="I319" s="23">
        <f t="shared" ref="I319:I322" si="45">H319*E319</f>
        <v>0</v>
      </c>
      <c r="J319" s="23"/>
      <c r="K319" s="23">
        <f t="shared" ref="K319:K322" si="46">J319*E319</f>
        <v>0</v>
      </c>
      <c r="L319" s="23">
        <f t="shared" ref="L319:L322" si="47">K319+I319+G319</f>
        <v>0</v>
      </c>
    </row>
    <row r="320" spans="1:12" x14ac:dyDescent="0.3">
      <c r="A320" s="2">
        <f>A313+1</f>
        <v>53</v>
      </c>
      <c r="B320" s="14" t="s">
        <v>295</v>
      </c>
      <c r="C320" s="2" t="s">
        <v>16</v>
      </c>
      <c r="D320" s="15"/>
      <c r="E320" s="15">
        <f>E303</f>
        <v>330</v>
      </c>
      <c r="F320" s="10"/>
      <c r="G320" s="10">
        <f t="shared" si="44"/>
        <v>0</v>
      </c>
      <c r="H320" s="10"/>
      <c r="I320" s="10">
        <f t="shared" si="45"/>
        <v>0</v>
      </c>
      <c r="J320" s="10"/>
      <c r="K320" s="10">
        <f t="shared" si="46"/>
        <v>0</v>
      </c>
      <c r="L320" s="10">
        <f t="shared" si="47"/>
        <v>0</v>
      </c>
    </row>
    <row r="321" spans="1:12" x14ac:dyDescent="0.3">
      <c r="A321" s="2"/>
      <c r="B321" s="17" t="s">
        <v>13</v>
      </c>
      <c r="C321" s="18" t="s">
        <v>16</v>
      </c>
      <c r="D321" s="19">
        <v>1</v>
      </c>
      <c r="E321" s="19">
        <f>D321*E320</f>
        <v>330</v>
      </c>
      <c r="F321" s="10"/>
      <c r="G321" s="10">
        <f t="shared" si="44"/>
        <v>0</v>
      </c>
      <c r="H321" s="10"/>
      <c r="I321" s="10">
        <f t="shared" si="45"/>
        <v>0</v>
      </c>
      <c r="J321" s="10"/>
      <c r="K321" s="10">
        <f t="shared" si="46"/>
        <v>0</v>
      </c>
      <c r="L321" s="10">
        <f t="shared" si="47"/>
        <v>0</v>
      </c>
    </row>
    <row r="322" spans="1:12" x14ac:dyDescent="0.3">
      <c r="A322" s="2"/>
      <c r="B322" s="17" t="s">
        <v>296</v>
      </c>
      <c r="C322" s="18" t="s">
        <v>16</v>
      </c>
      <c r="D322" s="19">
        <v>1</v>
      </c>
      <c r="E322" s="19">
        <f>D322*E320</f>
        <v>330</v>
      </c>
      <c r="F322" s="10"/>
      <c r="G322" s="10">
        <f t="shared" si="44"/>
        <v>0</v>
      </c>
      <c r="H322" s="10"/>
      <c r="I322" s="10">
        <f t="shared" si="45"/>
        <v>0</v>
      </c>
      <c r="J322" s="10"/>
      <c r="K322" s="10">
        <f t="shared" si="46"/>
        <v>0</v>
      </c>
      <c r="L322" s="10">
        <f t="shared" si="47"/>
        <v>0</v>
      </c>
    </row>
    <row r="323" spans="1:12" x14ac:dyDescent="0.3">
      <c r="A323" s="11"/>
      <c r="B323" s="11" t="s">
        <v>213</v>
      </c>
      <c r="C323" s="28"/>
      <c r="D323" s="29"/>
      <c r="E323" s="29"/>
      <c r="F323" s="13"/>
      <c r="G323" s="13">
        <f t="shared" ref="G323:G343" si="48">F323*E323</f>
        <v>0</v>
      </c>
      <c r="H323" s="13"/>
      <c r="I323" s="13">
        <f t="shared" ref="I323:I343" si="49">H323*E323</f>
        <v>0</v>
      </c>
      <c r="J323" s="13"/>
      <c r="K323" s="13">
        <f t="shared" ref="K323:K343" si="50">J323*E323</f>
        <v>0</v>
      </c>
      <c r="L323" s="13">
        <f t="shared" ref="L323:L343" si="51">K323+I323+G323</f>
        <v>0</v>
      </c>
    </row>
    <row r="324" spans="1:12" x14ac:dyDescent="0.3">
      <c r="A324" s="2">
        <f>A320+1</f>
        <v>54</v>
      </c>
      <c r="B324" s="14" t="s">
        <v>289</v>
      </c>
      <c r="C324" s="2" t="s">
        <v>16</v>
      </c>
      <c r="D324" s="15"/>
      <c r="E324" s="15">
        <f>2*2.2+1*2.2</f>
        <v>6.6000000000000005</v>
      </c>
      <c r="F324" s="10"/>
      <c r="G324" s="10">
        <f t="shared" si="48"/>
        <v>0</v>
      </c>
      <c r="H324" s="10"/>
      <c r="I324" s="10">
        <f t="shared" si="49"/>
        <v>0</v>
      </c>
      <c r="J324" s="10"/>
      <c r="K324" s="10">
        <f t="shared" si="50"/>
        <v>0</v>
      </c>
      <c r="L324" s="10">
        <f t="shared" si="51"/>
        <v>0</v>
      </c>
    </row>
    <row r="325" spans="1:12" x14ac:dyDescent="0.3">
      <c r="A325" s="2">
        <f>A324+1</f>
        <v>55</v>
      </c>
      <c r="B325" s="14" t="s">
        <v>1079</v>
      </c>
      <c r="C325" s="2" t="s">
        <v>16</v>
      </c>
      <c r="D325" s="15"/>
      <c r="E325" s="15">
        <f>SUM(E327)</f>
        <v>7</v>
      </c>
      <c r="F325" s="10"/>
      <c r="G325" s="10">
        <f>F325*E325</f>
        <v>0</v>
      </c>
      <c r="H325" s="10"/>
      <c r="I325" s="10">
        <f>H325*E325</f>
        <v>0</v>
      </c>
      <c r="J325" s="10"/>
      <c r="K325" s="10">
        <f>J325*E325</f>
        <v>0</v>
      </c>
      <c r="L325" s="10">
        <f>K325+I325+G325</f>
        <v>0</v>
      </c>
    </row>
    <row r="326" spans="1:12" x14ac:dyDescent="0.3">
      <c r="A326" s="2"/>
      <c r="B326" s="17" t="s">
        <v>13</v>
      </c>
      <c r="C326" s="18" t="s">
        <v>16</v>
      </c>
      <c r="D326" s="19">
        <v>1</v>
      </c>
      <c r="E326" s="19">
        <f>D326*E325</f>
        <v>7</v>
      </c>
      <c r="F326" s="10"/>
      <c r="G326" s="10">
        <f t="shared" si="48"/>
        <v>0</v>
      </c>
      <c r="H326" s="10"/>
      <c r="I326" s="10">
        <f t="shared" si="49"/>
        <v>0</v>
      </c>
      <c r="J326" s="10"/>
      <c r="K326" s="10">
        <f t="shared" si="50"/>
        <v>0</v>
      </c>
      <c r="L326" s="10">
        <f t="shared" si="51"/>
        <v>0</v>
      </c>
    </row>
    <row r="327" spans="1:12" x14ac:dyDescent="0.3">
      <c r="A327" s="2"/>
      <c r="B327" s="17" t="s">
        <v>1080</v>
      </c>
      <c r="C327" s="18" t="s">
        <v>16</v>
      </c>
      <c r="D327" s="19">
        <v>1</v>
      </c>
      <c r="E327" s="19">
        <f>2.8*2.5</f>
        <v>7</v>
      </c>
      <c r="F327" s="10"/>
      <c r="G327" s="10">
        <f t="shared" si="48"/>
        <v>0</v>
      </c>
      <c r="H327" s="10"/>
      <c r="I327" s="10">
        <f t="shared" si="49"/>
        <v>0</v>
      </c>
      <c r="J327" s="10"/>
      <c r="K327" s="10">
        <f t="shared" si="50"/>
        <v>0</v>
      </c>
      <c r="L327" s="10">
        <f t="shared" si="51"/>
        <v>0</v>
      </c>
    </row>
    <row r="328" spans="1:12" x14ac:dyDescent="0.3">
      <c r="A328" s="2"/>
      <c r="B328" s="17" t="s">
        <v>19</v>
      </c>
      <c r="C328" s="18" t="s">
        <v>16</v>
      </c>
      <c r="D328" s="19">
        <v>1</v>
      </c>
      <c r="E328" s="19">
        <f>D328*E325</f>
        <v>7</v>
      </c>
      <c r="F328" s="10"/>
      <c r="G328" s="10">
        <f t="shared" si="48"/>
        <v>0</v>
      </c>
      <c r="H328" s="10"/>
      <c r="I328" s="10">
        <f t="shared" si="49"/>
        <v>0</v>
      </c>
      <c r="J328" s="10"/>
      <c r="K328" s="10">
        <f t="shared" si="50"/>
        <v>0</v>
      </c>
      <c r="L328" s="10">
        <f t="shared" si="51"/>
        <v>0</v>
      </c>
    </row>
    <row r="329" spans="1:12" x14ac:dyDescent="0.3">
      <c r="A329" s="2">
        <f>A325+1</f>
        <v>56</v>
      </c>
      <c r="B329" s="14" t="s">
        <v>203</v>
      </c>
      <c r="C329" s="2" t="s">
        <v>16</v>
      </c>
      <c r="D329" s="15"/>
      <c r="E329" s="15">
        <f>3*4</f>
        <v>12</v>
      </c>
      <c r="F329" s="10"/>
      <c r="G329" s="10">
        <f t="shared" si="48"/>
        <v>0</v>
      </c>
      <c r="H329" s="10"/>
      <c r="I329" s="10">
        <f t="shared" si="49"/>
        <v>0</v>
      </c>
      <c r="J329" s="10"/>
      <c r="K329" s="10">
        <f t="shared" si="50"/>
        <v>0</v>
      </c>
      <c r="L329" s="10">
        <f t="shared" si="51"/>
        <v>0</v>
      </c>
    </row>
    <row r="330" spans="1:12" x14ac:dyDescent="0.3">
      <c r="A330" s="2">
        <f>A329+1</f>
        <v>57</v>
      </c>
      <c r="B330" s="14" t="s">
        <v>208</v>
      </c>
      <c r="C330" s="2" t="s">
        <v>72</v>
      </c>
      <c r="D330" s="15"/>
      <c r="E330" s="15">
        <v>1</v>
      </c>
      <c r="F330" s="10"/>
      <c r="G330" s="10">
        <f t="shared" si="48"/>
        <v>0</v>
      </c>
      <c r="H330" s="10"/>
      <c r="I330" s="10">
        <f t="shared" si="49"/>
        <v>0</v>
      </c>
      <c r="J330" s="10"/>
      <c r="K330" s="10">
        <f t="shared" si="50"/>
        <v>0</v>
      </c>
      <c r="L330" s="10">
        <f t="shared" si="51"/>
        <v>0</v>
      </c>
    </row>
    <row r="331" spans="1:12" x14ac:dyDescent="0.3">
      <c r="A331" s="2">
        <f>A330+1</f>
        <v>58</v>
      </c>
      <c r="B331" s="14" t="s">
        <v>290</v>
      </c>
      <c r="C331" s="2" t="s">
        <v>72</v>
      </c>
      <c r="D331" s="15"/>
      <c r="E331" s="15">
        <v>1</v>
      </c>
      <c r="F331" s="10"/>
      <c r="G331" s="10">
        <f t="shared" si="48"/>
        <v>0</v>
      </c>
      <c r="H331" s="10"/>
      <c r="I331" s="10">
        <f t="shared" si="49"/>
        <v>0</v>
      </c>
      <c r="J331" s="10"/>
      <c r="K331" s="10">
        <f t="shared" si="50"/>
        <v>0</v>
      </c>
      <c r="L331" s="10">
        <f t="shared" si="51"/>
        <v>0</v>
      </c>
    </row>
    <row r="332" spans="1:12" x14ac:dyDescent="0.3">
      <c r="A332" s="2">
        <f>A331+1</f>
        <v>59</v>
      </c>
      <c r="B332" s="14" t="s">
        <v>223</v>
      </c>
      <c r="C332" s="2" t="s">
        <v>12</v>
      </c>
      <c r="D332" s="15"/>
      <c r="E332" s="15">
        <f>14*2+4</f>
        <v>32</v>
      </c>
      <c r="F332" s="10"/>
      <c r="G332" s="10">
        <f t="shared" si="48"/>
        <v>0</v>
      </c>
      <c r="H332" s="10"/>
      <c r="I332" s="10">
        <f t="shared" si="49"/>
        <v>0</v>
      </c>
      <c r="J332" s="10"/>
      <c r="K332" s="10">
        <f t="shared" si="50"/>
        <v>0</v>
      </c>
      <c r="L332" s="10">
        <f t="shared" si="51"/>
        <v>0</v>
      </c>
    </row>
    <row r="333" spans="1:12" x14ac:dyDescent="0.3">
      <c r="A333" s="2">
        <f>A332+1</f>
        <v>60</v>
      </c>
      <c r="B333" s="14" t="s">
        <v>291</v>
      </c>
      <c r="C333" s="2" t="s">
        <v>16</v>
      </c>
      <c r="D333" s="15"/>
      <c r="E333" s="15">
        <f>80*1.5</f>
        <v>120</v>
      </c>
      <c r="F333" s="10"/>
      <c r="G333" s="10">
        <f t="shared" si="48"/>
        <v>0</v>
      </c>
      <c r="H333" s="10"/>
      <c r="I333" s="10">
        <f t="shared" si="49"/>
        <v>0</v>
      </c>
      <c r="J333" s="10"/>
      <c r="K333" s="10">
        <f t="shared" si="50"/>
        <v>0</v>
      </c>
      <c r="L333" s="10">
        <f t="shared" si="51"/>
        <v>0</v>
      </c>
    </row>
    <row r="334" spans="1:12" x14ac:dyDescent="0.3">
      <c r="A334" s="2"/>
      <c r="B334" s="5" t="s">
        <v>13</v>
      </c>
      <c r="C334" s="1" t="s">
        <v>16</v>
      </c>
      <c r="D334" s="8">
        <v>1</v>
      </c>
      <c r="E334" s="19">
        <f>D334*E$333</f>
        <v>120</v>
      </c>
      <c r="F334" s="10"/>
      <c r="G334" s="10">
        <f t="shared" si="48"/>
        <v>0</v>
      </c>
      <c r="H334" s="10"/>
      <c r="I334" s="10">
        <f t="shared" si="49"/>
        <v>0</v>
      </c>
      <c r="J334" s="10"/>
      <c r="K334" s="10">
        <f t="shared" si="50"/>
        <v>0</v>
      </c>
      <c r="L334" s="10">
        <f t="shared" si="51"/>
        <v>0</v>
      </c>
    </row>
    <row r="335" spans="1:12" x14ac:dyDescent="0.3">
      <c r="A335" s="2"/>
      <c r="B335" s="5" t="s">
        <v>37</v>
      </c>
      <c r="C335" s="1" t="s">
        <v>18</v>
      </c>
      <c r="D335" s="8">
        <f>0.15*1.02</f>
        <v>0.153</v>
      </c>
      <c r="E335" s="19">
        <f>D335*E$333</f>
        <v>18.36</v>
      </c>
      <c r="F335" s="10"/>
      <c r="G335" s="10">
        <f t="shared" si="48"/>
        <v>0</v>
      </c>
      <c r="H335" s="10"/>
      <c r="I335" s="10">
        <f t="shared" si="49"/>
        <v>0</v>
      </c>
      <c r="J335" s="10"/>
      <c r="K335" s="10">
        <f t="shared" si="50"/>
        <v>0</v>
      </c>
      <c r="L335" s="10">
        <f t="shared" si="51"/>
        <v>0</v>
      </c>
    </row>
    <row r="336" spans="1:12" x14ac:dyDescent="0.3">
      <c r="A336" s="2"/>
      <c r="B336" s="5" t="s">
        <v>212</v>
      </c>
      <c r="C336" s="1" t="s">
        <v>16</v>
      </c>
      <c r="D336" s="8">
        <v>1.05</v>
      </c>
      <c r="E336" s="19">
        <f>D336*E$333</f>
        <v>126</v>
      </c>
      <c r="F336" s="10"/>
      <c r="G336" s="10">
        <f t="shared" si="48"/>
        <v>0</v>
      </c>
      <c r="H336" s="10"/>
      <c r="I336" s="10">
        <f t="shared" si="49"/>
        <v>0</v>
      </c>
      <c r="J336" s="10"/>
      <c r="K336" s="10">
        <f t="shared" si="50"/>
        <v>0</v>
      </c>
      <c r="L336" s="10">
        <f t="shared" si="51"/>
        <v>0</v>
      </c>
    </row>
    <row r="337" spans="1:18" x14ac:dyDescent="0.3">
      <c r="A337" s="2"/>
      <c r="B337" s="5" t="s">
        <v>19</v>
      </c>
      <c r="C337" s="1" t="s">
        <v>16</v>
      </c>
      <c r="D337" s="8">
        <v>1</v>
      </c>
      <c r="E337" s="19">
        <f>D337*E$333</f>
        <v>120</v>
      </c>
      <c r="F337" s="10"/>
      <c r="G337" s="10">
        <f t="shared" si="48"/>
        <v>0</v>
      </c>
      <c r="H337" s="10"/>
      <c r="I337" s="10">
        <f t="shared" si="49"/>
        <v>0</v>
      </c>
      <c r="J337" s="10"/>
      <c r="K337" s="10">
        <f t="shared" si="50"/>
        <v>0</v>
      </c>
      <c r="L337" s="10">
        <f t="shared" si="51"/>
        <v>0</v>
      </c>
    </row>
    <row r="338" spans="1:18" x14ac:dyDescent="0.3">
      <c r="A338" s="2"/>
      <c r="B338" s="5" t="s">
        <v>45</v>
      </c>
      <c r="C338" s="1" t="s">
        <v>16</v>
      </c>
      <c r="D338" s="8">
        <v>1</v>
      </c>
      <c r="E338" s="19">
        <f>D338*E$333</f>
        <v>120</v>
      </c>
      <c r="F338" s="10"/>
      <c r="G338" s="10">
        <f t="shared" si="48"/>
        <v>0</v>
      </c>
      <c r="H338" s="10"/>
      <c r="I338" s="10">
        <f t="shared" si="49"/>
        <v>0</v>
      </c>
      <c r="J338" s="10"/>
      <c r="K338" s="10">
        <f t="shared" si="50"/>
        <v>0</v>
      </c>
      <c r="L338" s="10">
        <f t="shared" si="51"/>
        <v>0</v>
      </c>
    </row>
    <row r="339" spans="1:18" x14ac:dyDescent="0.3">
      <c r="A339" s="11"/>
      <c r="B339" s="11" t="s">
        <v>214</v>
      </c>
      <c r="C339" s="28"/>
      <c r="D339" s="29"/>
      <c r="E339" s="29"/>
      <c r="F339" s="13"/>
      <c r="G339" s="13">
        <f t="shared" si="48"/>
        <v>0</v>
      </c>
      <c r="H339" s="13"/>
      <c r="I339" s="13">
        <f t="shared" si="49"/>
        <v>0</v>
      </c>
      <c r="J339" s="13"/>
      <c r="K339" s="13">
        <f t="shared" si="50"/>
        <v>0</v>
      </c>
      <c r="L339" s="13">
        <f t="shared" si="51"/>
        <v>0</v>
      </c>
    </row>
    <row r="340" spans="1:18" x14ac:dyDescent="0.3">
      <c r="A340" s="2">
        <f>A333+1</f>
        <v>61</v>
      </c>
      <c r="B340" s="14" t="s">
        <v>215</v>
      </c>
      <c r="C340" s="2" t="s">
        <v>216</v>
      </c>
      <c r="D340" s="15"/>
      <c r="E340" s="15">
        <f>4*4*26</f>
        <v>416</v>
      </c>
      <c r="F340" s="10"/>
      <c r="G340" s="10">
        <f t="shared" si="48"/>
        <v>0</v>
      </c>
      <c r="H340" s="10"/>
      <c r="I340" s="10">
        <f t="shared" si="49"/>
        <v>0</v>
      </c>
      <c r="J340" s="10"/>
      <c r="K340" s="10">
        <f t="shared" si="50"/>
        <v>0</v>
      </c>
      <c r="L340" s="10">
        <f t="shared" si="51"/>
        <v>0</v>
      </c>
      <c r="R340" s="38"/>
    </row>
    <row r="341" spans="1:18" x14ac:dyDescent="0.3">
      <c r="A341" s="2">
        <f>A340+1</f>
        <v>62</v>
      </c>
      <c r="B341" s="14" t="s">
        <v>292</v>
      </c>
      <c r="C341" s="2" t="s">
        <v>16</v>
      </c>
      <c r="D341" s="15"/>
      <c r="E341" s="15">
        <f>E213+E218</f>
        <v>471.94</v>
      </c>
      <c r="F341" s="10"/>
      <c r="G341" s="10">
        <f t="shared" si="48"/>
        <v>0</v>
      </c>
      <c r="H341" s="10"/>
      <c r="I341" s="10">
        <f t="shared" si="49"/>
        <v>0</v>
      </c>
      <c r="J341" s="10"/>
      <c r="K341" s="10">
        <f t="shared" si="50"/>
        <v>0</v>
      </c>
      <c r="L341" s="10">
        <f t="shared" si="51"/>
        <v>0</v>
      </c>
    </row>
    <row r="342" spans="1:18" x14ac:dyDescent="0.3">
      <c r="A342" s="2">
        <f>A341+1</f>
        <v>63</v>
      </c>
      <c r="B342" s="14" t="s">
        <v>217</v>
      </c>
      <c r="C342" s="2" t="s">
        <v>30</v>
      </c>
      <c r="D342" s="15"/>
      <c r="E342" s="15">
        <v>10</v>
      </c>
      <c r="F342" s="10"/>
      <c r="G342" s="10">
        <f t="shared" si="48"/>
        <v>0</v>
      </c>
      <c r="H342" s="10"/>
      <c r="I342" s="10">
        <f t="shared" si="49"/>
        <v>0</v>
      </c>
      <c r="J342" s="10"/>
      <c r="K342" s="10">
        <f t="shared" si="50"/>
        <v>0</v>
      </c>
      <c r="L342" s="10">
        <f t="shared" si="51"/>
        <v>0</v>
      </c>
    </row>
    <row r="343" spans="1:18" x14ac:dyDescent="0.3">
      <c r="A343" s="2">
        <f>A342+1</f>
        <v>64</v>
      </c>
      <c r="B343" s="14" t="s">
        <v>293</v>
      </c>
      <c r="C343" s="2" t="s">
        <v>220</v>
      </c>
      <c r="D343" s="15"/>
      <c r="E343" s="15">
        <v>12</v>
      </c>
      <c r="F343" s="10"/>
      <c r="G343" s="10">
        <f t="shared" si="48"/>
        <v>0</v>
      </c>
      <c r="H343" s="10"/>
      <c r="I343" s="10">
        <f t="shared" si="49"/>
        <v>0</v>
      </c>
      <c r="J343" s="10"/>
      <c r="K343" s="10">
        <f t="shared" si="50"/>
        <v>0</v>
      </c>
      <c r="L343" s="10">
        <f t="shared" si="51"/>
        <v>0</v>
      </c>
      <c r="R343" s="38"/>
    </row>
    <row r="344" spans="1:18" x14ac:dyDescent="0.3">
      <c r="A344" s="3"/>
      <c r="B344" s="3" t="s">
        <v>7</v>
      </c>
      <c r="C344" s="3"/>
      <c r="D344" s="24"/>
      <c r="E344" s="24"/>
      <c r="F344" s="25"/>
      <c r="G344" s="25">
        <f>SUM(G10:G343)</f>
        <v>0</v>
      </c>
      <c r="H344" s="25"/>
      <c r="I344" s="25">
        <f>SUM(I10:I343)</f>
        <v>0</v>
      </c>
      <c r="J344" s="25"/>
      <c r="K344" s="25">
        <f>SUM(K10:K343)</f>
        <v>0</v>
      </c>
      <c r="L344" s="25">
        <f>SUM(L10:L343)</f>
        <v>0</v>
      </c>
    </row>
    <row r="345" spans="1:18" x14ac:dyDescent="0.3">
      <c r="A345" s="2"/>
      <c r="B345" s="5" t="s">
        <v>226</v>
      </c>
      <c r="C345" s="1"/>
      <c r="D345" s="8"/>
      <c r="E345" s="26">
        <v>0.03</v>
      </c>
      <c r="F345" s="10"/>
      <c r="G345" s="10"/>
      <c r="H345" s="10"/>
      <c r="I345" s="10"/>
      <c r="J345" s="10"/>
      <c r="K345" s="10"/>
      <c r="L345" s="10">
        <f>G344*E345</f>
        <v>0</v>
      </c>
    </row>
    <row r="346" spans="1:18" x14ac:dyDescent="0.3">
      <c r="A346" s="2"/>
      <c r="B346" s="2" t="s">
        <v>7</v>
      </c>
      <c r="C346" s="1"/>
      <c r="D346" s="8"/>
      <c r="E346" s="26"/>
      <c r="F346" s="10"/>
      <c r="G346" s="10"/>
      <c r="H346" s="10"/>
      <c r="I346" s="10"/>
      <c r="J346" s="10"/>
      <c r="K346" s="10"/>
      <c r="L346" s="10">
        <f>L345+L344</f>
        <v>0</v>
      </c>
    </row>
    <row r="347" spans="1:18" x14ac:dyDescent="0.3">
      <c r="A347" s="2"/>
      <c r="B347" s="5" t="s">
        <v>227</v>
      </c>
      <c r="C347" s="1"/>
      <c r="D347" s="8"/>
      <c r="E347" s="26">
        <v>0.1</v>
      </c>
      <c r="F347" s="10"/>
      <c r="G347" s="10"/>
      <c r="H347" s="10"/>
      <c r="I347" s="10"/>
      <c r="J347" s="10"/>
      <c r="K347" s="10"/>
      <c r="L347" s="10">
        <f>L346*E347</f>
        <v>0</v>
      </c>
    </row>
    <row r="348" spans="1:18" x14ac:dyDescent="0.3">
      <c r="A348" s="2"/>
      <c r="B348" s="2" t="s">
        <v>7</v>
      </c>
      <c r="C348" s="1"/>
      <c r="D348" s="8"/>
      <c r="E348" s="26"/>
      <c r="F348" s="10"/>
      <c r="G348" s="10"/>
      <c r="H348" s="10"/>
      <c r="I348" s="10"/>
      <c r="J348" s="10"/>
      <c r="K348" s="10"/>
      <c r="L348" s="10">
        <f>L347+L346</f>
        <v>0</v>
      </c>
    </row>
    <row r="349" spans="1:18" x14ac:dyDescent="0.3">
      <c r="A349" s="2"/>
      <c r="B349" s="5" t="s">
        <v>228</v>
      </c>
      <c r="C349" s="1"/>
      <c r="D349" s="8"/>
      <c r="E349" s="26">
        <v>0.01</v>
      </c>
      <c r="F349" s="10"/>
      <c r="G349" s="10"/>
      <c r="H349" s="10"/>
      <c r="I349" s="10"/>
      <c r="J349" s="10"/>
      <c r="K349" s="10"/>
      <c r="L349" s="10">
        <f>L348*E349</f>
        <v>0</v>
      </c>
    </row>
    <row r="350" spans="1:18" x14ac:dyDescent="0.3">
      <c r="A350" s="2"/>
      <c r="B350" s="2" t="s">
        <v>7</v>
      </c>
      <c r="C350" s="1"/>
      <c r="D350" s="8"/>
      <c r="E350" s="26"/>
      <c r="F350" s="10"/>
      <c r="G350" s="10"/>
      <c r="H350" s="10"/>
      <c r="I350" s="10"/>
      <c r="J350" s="10"/>
      <c r="K350" s="10"/>
      <c r="L350" s="10">
        <f>L349+L348</f>
        <v>0</v>
      </c>
    </row>
    <row r="351" spans="1:18" x14ac:dyDescent="0.3">
      <c r="A351" s="2"/>
      <c r="B351" s="5" t="s">
        <v>229</v>
      </c>
      <c r="C351" s="1"/>
      <c r="D351" s="8"/>
      <c r="E351" s="26">
        <v>0.08</v>
      </c>
      <c r="F351" s="10"/>
      <c r="G351" s="10"/>
      <c r="H351" s="10"/>
      <c r="I351" s="10"/>
      <c r="J351" s="10"/>
      <c r="K351" s="10"/>
      <c r="L351" s="10">
        <f>L350*E351</f>
        <v>0</v>
      </c>
    </row>
    <row r="352" spans="1:18" x14ac:dyDescent="0.3">
      <c r="A352" s="2"/>
      <c r="B352" s="2" t="s">
        <v>7</v>
      </c>
      <c r="C352" s="1"/>
      <c r="D352" s="8"/>
      <c r="E352" s="26"/>
      <c r="F352" s="10"/>
      <c r="G352" s="10"/>
      <c r="H352" s="10"/>
      <c r="I352" s="10"/>
      <c r="J352" s="10"/>
      <c r="K352" s="10"/>
      <c r="L352" s="10">
        <f>L351+L350</f>
        <v>0</v>
      </c>
    </row>
    <row r="353" spans="1:12" x14ac:dyDescent="0.3">
      <c r="A353" s="2"/>
      <c r="B353" s="5" t="s">
        <v>230</v>
      </c>
      <c r="C353" s="1"/>
      <c r="D353" s="8"/>
      <c r="E353" s="26">
        <v>0.03</v>
      </c>
      <c r="F353" s="10"/>
      <c r="G353" s="10"/>
      <c r="H353" s="10"/>
      <c r="I353" s="10"/>
      <c r="J353" s="10"/>
      <c r="K353" s="10"/>
      <c r="L353" s="10">
        <f>L352*E353</f>
        <v>0</v>
      </c>
    </row>
    <row r="354" spans="1:12" x14ac:dyDescent="0.3">
      <c r="A354" s="2"/>
      <c r="B354" s="2" t="s">
        <v>7</v>
      </c>
      <c r="C354" s="1"/>
      <c r="D354" s="8"/>
      <c r="E354" s="26"/>
      <c r="F354" s="10"/>
      <c r="G354" s="10"/>
      <c r="H354" s="10"/>
      <c r="I354" s="10"/>
      <c r="J354" s="10"/>
      <c r="K354" s="10"/>
      <c r="L354" s="10">
        <f>L353+L352</f>
        <v>0</v>
      </c>
    </row>
    <row r="355" spans="1:12" x14ac:dyDescent="0.3">
      <c r="A355" s="2"/>
      <c r="B355" s="5" t="s">
        <v>231</v>
      </c>
      <c r="C355" s="1"/>
      <c r="D355" s="8"/>
      <c r="E355" s="26">
        <v>0.18</v>
      </c>
      <c r="F355" s="10"/>
      <c r="G355" s="10"/>
      <c r="H355" s="10"/>
      <c r="I355" s="10"/>
      <c r="J355" s="10"/>
      <c r="K355" s="10"/>
      <c r="L355" s="10">
        <f>L354*E355</f>
        <v>0</v>
      </c>
    </row>
    <row r="356" spans="1:12" x14ac:dyDescent="0.3">
      <c r="A356" s="3"/>
      <c r="B356" s="3" t="s">
        <v>232</v>
      </c>
      <c r="C356" s="3"/>
      <c r="D356" s="24"/>
      <c r="E356" s="24"/>
      <c r="F356" s="25"/>
      <c r="G356" s="25"/>
      <c r="H356" s="25"/>
      <c r="I356" s="25"/>
      <c r="J356" s="25"/>
      <c r="K356" s="25"/>
      <c r="L356" s="25">
        <f>L355+L354</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75"/>
  <sheetViews>
    <sheetView zoomScale="85" zoomScaleNormal="85" workbookViewId="0">
      <selection activeCell="L5" sqref="L5"/>
    </sheetView>
  </sheetViews>
  <sheetFormatPr defaultRowHeight="14.4" x14ac:dyDescent="0.3"/>
  <cols>
    <col min="1" max="1" width="8.88671875" style="7"/>
    <col min="2" max="2" width="73.33203125"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9.21875" style="38" bestFit="1" customWidth="1"/>
    <col min="15" max="16" width="8.88671875" style="38"/>
    <col min="18" max="18" width="9.5546875" bestFit="1" customWidth="1"/>
  </cols>
  <sheetData>
    <row r="2" spans="1:18" x14ac:dyDescent="0.3">
      <c r="A2" s="40" t="s">
        <v>1036</v>
      </c>
      <c r="B2" s="40"/>
      <c r="C2" s="40"/>
      <c r="D2" s="40"/>
      <c r="E2" s="40"/>
      <c r="F2" s="40"/>
      <c r="G2" s="40"/>
      <c r="H2" s="40"/>
      <c r="I2" s="40"/>
      <c r="J2" s="40"/>
      <c r="K2" s="40"/>
      <c r="L2" s="40"/>
    </row>
    <row r="3" spans="1:18" x14ac:dyDescent="0.3">
      <c r="A3" s="40" t="s">
        <v>1037</v>
      </c>
      <c r="B3" s="40"/>
      <c r="C3" s="40"/>
      <c r="D3" s="40"/>
      <c r="E3" s="40"/>
      <c r="F3" s="40"/>
      <c r="G3" s="40"/>
      <c r="H3" s="40"/>
      <c r="I3" s="40"/>
      <c r="J3" s="40"/>
      <c r="K3" s="40"/>
      <c r="L3" s="40"/>
    </row>
    <row r="4" spans="1:18" x14ac:dyDescent="0.3">
      <c r="A4" s="36" t="s">
        <v>1047</v>
      </c>
      <c r="K4" s="33" t="s">
        <v>1038</v>
      </c>
      <c r="L4" s="34" t="str">
        <f>'2000 მ²'!L4</f>
        <v>001</v>
      </c>
    </row>
    <row r="5" spans="1:18" x14ac:dyDescent="0.3">
      <c r="A5" s="36" t="s">
        <v>1044</v>
      </c>
      <c r="K5" s="33" t="s">
        <v>1040</v>
      </c>
      <c r="L5" s="35">
        <f>'2000 მ²'!L5</f>
        <v>45887</v>
      </c>
    </row>
    <row r="6" spans="1:18" ht="28.8" customHeight="1" x14ac:dyDescent="0.3">
      <c r="A6" s="43" t="s">
        <v>0</v>
      </c>
      <c r="B6" s="43" t="s">
        <v>1</v>
      </c>
      <c r="C6" s="43" t="s">
        <v>2</v>
      </c>
      <c r="D6" s="45" t="s">
        <v>9</v>
      </c>
      <c r="E6" s="45" t="s">
        <v>3</v>
      </c>
      <c r="F6" s="41" t="s">
        <v>4</v>
      </c>
      <c r="G6" s="42"/>
      <c r="H6" s="41" t="s">
        <v>5</v>
      </c>
      <c r="I6" s="42"/>
      <c r="J6" s="41" t="s">
        <v>6</v>
      </c>
      <c r="K6" s="42"/>
      <c r="L6" s="43" t="s">
        <v>7</v>
      </c>
    </row>
    <row r="7" spans="1:18" ht="23.4" customHeight="1" x14ac:dyDescent="0.3">
      <c r="A7" s="44"/>
      <c r="B7" s="44"/>
      <c r="C7" s="44"/>
      <c r="D7" s="46"/>
      <c r="E7" s="46"/>
      <c r="F7" s="3" t="s">
        <v>8</v>
      </c>
      <c r="G7" s="3" t="s">
        <v>7</v>
      </c>
      <c r="H7" s="3" t="s">
        <v>8</v>
      </c>
      <c r="I7" s="3" t="s">
        <v>7</v>
      </c>
      <c r="J7" s="3" t="s">
        <v>8</v>
      </c>
      <c r="K7" s="3" t="s">
        <v>7</v>
      </c>
      <c r="L7" s="44"/>
    </row>
    <row r="8" spans="1:18" x14ac:dyDescent="0.3">
      <c r="A8" s="3">
        <v>1</v>
      </c>
      <c r="B8" s="3">
        <v>2</v>
      </c>
      <c r="C8" s="3">
        <v>3</v>
      </c>
      <c r="D8" s="3">
        <v>4</v>
      </c>
      <c r="E8" s="3">
        <v>5</v>
      </c>
      <c r="F8" s="3">
        <v>6</v>
      </c>
      <c r="G8" s="3">
        <v>7</v>
      </c>
      <c r="H8" s="3">
        <v>8</v>
      </c>
      <c r="I8" s="3">
        <v>9</v>
      </c>
      <c r="J8" s="3">
        <v>10</v>
      </c>
      <c r="K8" s="3">
        <v>11</v>
      </c>
      <c r="L8" s="3">
        <v>12</v>
      </c>
    </row>
    <row r="9" spans="1:18" x14ac:dyDescent="0.3">
      <c r="A9" s="11"/>
      <c r="B9" s="11" t="s">
        <v>427</v>
      </c>
      <c r="C9" s="4"/>
      <c r="D9" s="12"/>
      <c r="E9" s="12"/>
      <c r="F9" s="13"/>
      <c r="G9" s="13"/>
      <c r="H9" s="13"/>
      <c r="I9" s="13"/>
      <c r="J9" s="13"/>
      <c r="K9" s="13"/>
      <c r="L9" s="13"/>
    </row>
    <row r="10" spans="1:18" x14ac:dyDescent="0.3">
      <c r="A10" s="2">
        <v>1</v>
      </c>
      <c r="B10" s="14" t="s">
        <v>297</v>
      </c>
      <c r="C10" s="2" t="s">
        <v>18</v>
      </c>
      <c r="D10" s="15"/>
      <c r="E10" s="15">
        <f>3375*0.8</f>
        <v>2700</v>
      </c>
      <c r="F10" s="10"/>
      <c r="G10" s="10">
        <f t="shared" ref="G10:G58" si="0">F10*E10</f>
        <v>0</v>
      </c>
      <c r="H10" s="10"/>
      <c r="I10" s="10">
        <f t="shared" ref="I10:I58" si="1">H10*E10</f>
        <v>0</v>
      </c>
      <c r="J10" s="10"/>
      <c r="K10" s="10">
        <f t="shared" ref="K10:K58" si="2">J10*E10</f>
        <v>0</v>
      </c>
      <c r="L10" s="10">
        <f t="shared" ref="L10:L58" si="3">K10+I10+G10</f>
        <v>0</v>
      </c>
      <c r="R10" s="38"/>
    </row>
    <row r="11" spans="1:18" x14ac:dyDescent="0.3">
      <c r="A11" s="2">
        <f>A10+1</f>
        <v>2</v>
      </c>
      <c r="B11" s="14" t="s">
        <v>309</v>
      </c>
      <c r="C11" s="2" t="s">
        <v>16</v>
      </c>
      <c r="D11" s="15"/>
      <c r="E11" s="15">
        <v>3375</v>
      </c>
      <c r="F11" s="10"/>
      <c r="G11" s="10">
        <f t="shared" ref="G11:G13" si="4">F11*E11</f>
        <v>0</v>
      </c>
      <c r="H11" s="10"/>
      <c r="I11" s="10">
        <f t="shared" ref="I11:I13" si="5">H11*E11</f>
        <v>0</v>
      </c>
      <c r="J11" s="10"/>
      <c r="K11" s="10">
        <f t="shared" ref="K11:K13" si="6">J11*E11</f>
        <v>0</v>
      </c>
      <c r="L11" s="10">
        <f t="shared" ref="L11:L13" si="7">K11+I11+G11</f>
        <v>0</v>
      </c>
    </row>
    <row r="12" spans="1:18" x14ac:dyDescent="0.3">
      <c r="A12" s="2"/>
      <c r="B12" s="17" t="s">
        <v>13</v>
      </c>
      <c r="C12" s="18" t="s">
        <v>16</v>
      </c>
      <c r="D12" s="19">
        <v>1</v>
      </c>
      <c r="E12" s="19">
        <f>D12*E11</f>
        <v>3375</v>
      </c>
      <c r="F12" s="10"/>
      <c r="G12" s="10">
        <f t="shared" si="4"/>
        <v>0</v>
      </c>
      <c r="H12" s="10"/>
      <c r="I12" s="10">
        <f t="shared" si="5"/>
        <v>0</v>
      </c>
      <c r="J12" s="10"/>
      <c r="K12" s="10">
        <f t="shared" si="6"/>
        <v>0</v>
      </c>
      <c r="L12" s="10">
        <f t="shared" si="7"/>
        <v>0</v>
      </c>
    </row>
    <row r="13" spans="1:18" x14ac:dyDescent="0.3">
      <c r="A13" s="2"/>
      <c r="B13" s="17" t="s">
        <v>310</v>
      </c>
      <c r="C13" s="18" t="s">
        <v>16</v>
      </c>
      <c r="D13" s="19">
        <v>1.1000000000000001</v>
      </c>
      <c r="E13" s="19">
        <f>D13*E11</f>
        <v>3712.5000000000005</v>
      </c>
      <c r="F13" s="10"/>
      <c r="G13" s="10">
        <f t="shared" si="4"/>
        <v>0</v>
      </c>
      <c r="H13" s="10"/>
      <c r="I13" s="10">
        <f t="shared" si="5"/>
        <v>0</v>
      </c>
      <c r="J13" s="10"/>
      <c r="K13" s="10">
        <f t="shared" si="6"/>
        <v>0</v>
      </c>
      <c r="L13" s="10">
        <f t="shared" si="7"/>
        <v>0</v>
      </c>
      <c r="R13" s="38"/>
    </row>
    <row r="14" spans="1:18" x14ac:dyDescent="0.3">
      <c r="A14" s="2">
        <f>A11+1</f>
        <v>3</v>
      </c>
      <c r="B14" s="14" t="s">
        <v>1081</v>
      </c>
      <c r="C14" s="2" t="s">
        <v>18</v>
      </c>
      <c r="D14" s="15"/>
      <c r="E14" s="15">
        <f>3375*0.5</f>
        <v>1687.5</v>
      </c>
      <c r="F14" s="10"/>
      <c r="G14" s="10">
        <f t="shared" si="0"/>
        <v>0</v>
      </c>
      <c r="H14" s="10"/>
      <c r="I14" s="10">
        <f t="shared" si="1"/>
        <v>0</v>
      </c>
      <c r="J14" s="10"/>
      <c r="K14" s="10">
        <f t="shared" si="2"/>
        <v>0</v>
      </c>
      <c r="L14" s="10">
        <f t="shared" si="3"/>
        <v>0</v>
      </c>
    </row>
    <row r="15" spans="1:18" x14ac:dyDescent="0.3">
      <c r="A15" s="2"/>
      <c r="B15" s="17" t="s">
        <v>59</v>
      </c>
      <c r="C15" s="18" t="s">
        <v>18</v>
      </c>
      <c r="D15" s="27">
        <v>1.22</v>
      </c>
      <c r="E15" s="19">
        <f>D15*E$14</f>
        <v>2058.75</v>
      </c>
      <c r="F15" s="10"/>
      <c r="G15" s="10">
        <f t="shared" si="0"/>
        <v>0</v>
      </c>
      <c r="H15" s="10"/>
      <c r="I15" s="10">
        <f t="shared" si="1"/>
        <v>0</v>
      </c>
      <c r="J15" s="10"/>
      <c r="K15" s="10">
        <f t="shared" si="2"/>
        <v>0</v>
      </c>
      <c r="L15" s="10">
        <f t="shared" si="3"/>
        <v>0</v>
      </c>
      <c r="R15" s="38"/>
    </row>
    <row r="16" spans="1:18" x14ac:dyDescent="0.3">
      <c r="A16" s="2"/>
      <c r="B16" s="17" t="s">
        <v>32</v>
      </c>
      <c r="C16" s="18" t="s">
        <v>30</v>
      </c>
      <c r="D16" s="27">
        <v>5.0000000000000001E-3</v>
      </c>
      <c r="E16" s="19">
        <f>D16*E$14</f>
        <v>8.4375</v>
      </c>
      <c r="F16" s="10"/>
      <c r="G16" s="10">
        <f t="shared" si="0"/>
        <v>0</v>
      </c>
      <c r="H16" s="10"/>
      <c r="I16" s="10">
        <f t="shared" si="1"/>
        <v>0</v>
      </c>
      <c r="J16" s="10"/>
      <c r="K16" s="10">
        <f t="shared" si="2"/>
        <v>0</v>
      </c>
      <c r="L16" s="10">
        <f t="shared" si="3"/>
        <v>0</v>
      </c>
      <c r="R16" s="38"/>
    </row>
    <row r="17" spans="1:18" x14ac:dyDescent="0.3">
      <c r="A17" s="2"/>
      <c r="B17" s="17" t="s">
        <v>33</v>
      </c>
      <c r="C17" s="18" t="s">
        <v>30</v>
      </c>
      <c r="D17" s="27">
        <v>5.0000000000000001E-3</v>
      </c>
      <c r="E17" s="19">
        <f>D17*E$14</f>
        <v>8.4375</v>
      </c>
      <c r="F17" s="10"/>
      <c r="G17" s="10">
        <f t="shared" si="0"/>
        <v>0</v>
      </c>
      <c r="H17" s="10"/>
      <c r="I17" s="10">
        <f t="shared" si="1"/>
        <v>0</v>
      </c>
      <c r="J17" s="10"/>
      <c r="K17" s="10">
        <f t="shared" si="2"/>
        <v>0</v>
      </c>
      <c r="L17" s="10">
        <f t="shared" si="3"/>
        <v>0</v>
      </c>
      <c r="R17" s="38"/>
    </row>
    <row r="18" spans="1:18" x14ac:dyDescent="0.3">
      <c r="A18" s="2">
        <f>A14+1</f>
        <v>4</v>
      </c>
      <c r="B18" s="14" t="s">
        <v>298</v>
      </c>
      <c r="C18" s="2" t="s">
        <v>18</v>
      </c>
      <c r="D18" s="15"/>
      <c r="E18" s="15">
        <f>3375*0.1</f>
        <v>337.5</v>
      </c>
      <c r="F18" s="10"/>
      <c r="G18" s="10">
        <f t="shared" si="0"/>
        <v>0</v>
      </c>
      <c r="H18" s="10"/>
      <c r="I18" s="10">
        <f t="shared" si="1"/>
        <v>0</v>
      </c>
      <c r="J18" s="10"/>
      <c r="K18" s="10">
        <f t="shared" si="2"/>
        <v>0</v>
      </c>
      <c r="L18" s="10">
        <f t="shared" si="3"/>
        <v>0</v>
      </c>
    </row>
    <row r="19" spans="1:18" x14ac:dyDescent="0.3">
      <c r="A19" s="2"/>
      <c r="B19" s="17" t="s">
        <v>252</v>
      </c>
      <c r="C19" s="18" t="s">
        <v>18</v>
      </c>
      <c r="D19" s="19">
        <v>1.1499999999999999</v>
      </c>
      <c r="E19" s="19">
        <f>D19*E$18</f>
        <v>388.12499999999994</v>
      </c>
      <c r="F19" s="10"/>
      <c r="G19" s="10">
        <f t="shared" si="0"/>
        <v>0</v>
      </c>
      <c r="H19" s="10"/>
      <c r="I19" s="10">
        <f t="shared" si="1"/>
        <v>0</v>
      </c>
      <c r="J19" s="10"/>
      <c r="K19" s="10">
        <f t="shared" si="2"/>
        <v>0</v>
      </c>
      <c r="L19" s="10">
        <f t="shared" si="3"/>
        <v>0</v>
      </c>
    </row>
    <row r="20" spans="1:18" x14ac:dyDescent="0.3">
      <c r="A20" s="2"/>
      <c r="B20" s="17" t="s">
        <v>32</v>
      </c>
      <c r="C20" s="18" t="s">
        <v>30</v>
      </c>
      <c r="D20" s="19">
        <v>5.0000000000000001E-3</v>
      </c>
      <c r="E20" s="19">
        <f>D20*E$18</f>
        <v>1.6875</v>
      </c>
      <c r="F20" s="10"/>
      <c r="G20" s="10">
        <f t="shared" si="0"/>
        <v>0</v>
      </c>
      <c r="H20" s="10"/>
      <c r="I20" s="10">
        <f t="shared" si="1"/>
        <v>0</v>
      </c>
      <c r="J20" s="10"/>
      <c r="K20" s="10">
        <f t="shared" si="2"/>
        <v>0</v>
      </c>
      <c r="L20" s="10">
        <f t="shared" si="3"/>
        <v>0</v>
      </c>
    </row>
    <row r="21" spans="1:18" x14ac:dyDescent="0.3">
      <c r="A21" s="2"/>
      <c r="B21" s="17" t="s">
        <v>33</v>
      </c>
      <c r="C21" s="18" t="s">
        <v>30</v>
      </c>
      <c r="D21" s="19">
        <v>5.0000000000000001E-3</v>
      </c>
      <c r="E21" s="19">
        <f>D21*E$18</f>
        <v>1.6875</v>
      </c>
      <c r="F21" s="10"/>
      <c r="G21" s="10">
        <f t="shared" si="0"/>
        <v>0</v>
      </c>
      <c r="H21" s="10"/>
      <c r="I21" s="10">
        <f t="shared" si="1"/>
        <v>0</v>
      </c>
      <c r="J21" s="10"/>
      <c r="K21" s="10">
        <f t="shared" si="2"/>
        <v>0</v>
      </c>
      <c r="L21" s="10">
        <f t="shared" si="3"/>
        <v>0</v>
      </c>
    </row>
    <row r="22" spans="1:18" x14ac:dyDescent="0.3">
      <c r="A22" s="2">
        <f>A18+1</f>
        <v>5</v>
      </c>
      <c r="B22" s="14" t="s">
        <v>299</v>
      </c>
      <c r="C22" s="2" t="s">
        <v>16</v>
      </c>
      <c r="D22" s="15"/>
      <c r="E22" s="15">
        <v>3375</v>
      </c>
      <c r="F22" s="10"/>
      <c r="G22" s="10">
        <f t="shared" si="0"/>
        <v>0</v>
      </c>
      <c r="H22" s="10"/>
      <c r="I22" s="10">
        <f t="shared" si="1"/>
        <v>0</v>
      </c>
      <c r="J22" s="10"/>
      <c r="K22" s="10">
        <f t="shared" si="2"/>
        <v>0</v>
      </c>
      <c r="L22" s="10">
        <f t="shared" si="3"/>
        <v>0</v>
      </c>
    </row>
    <row r="23" spans="1:18" x14ac:dyDescent="0.3">
      <c r="A23" s="2"/>
      <c r="B23" s="17" t="s">
        <v>13</v>
      </c>
      <c r="C23" s="18" t="s">
        <v>16</v>
      </c>
      <c r="D23" s="19">
        <v>1</v>
      </c>
      <c r="E23" s="19">
        <f>D23*E$22</f>
        <v>3375</v>
      </c>
      <c r="F23" s="10"/>
      <c r="G23" s="10">
        <f t="shared" si="0"/>
        <v>0</v>
      </c>
      <c r="H23" s="10"/>
      <c r="I23" s="10">
        <f t="shared" si="1"/>
        <v>0</v>
      </c>
      <c r="J23" s="10"/>
      <c r="K23" s="10">
        <f t="shared" si="2"/>
        <v>0</v>
      </c>
      <c r="L23" s="10">
        <f t="shared" si="3"/>
        <v>0</v>
      </c>
    </row>
    <row r="24" spans="1:18" x14ac:dyDescent="0.3">
      <c r="A24" s="2"/>
      <c r="B24" s="17" t="s">
        <v>65</v>
      </c>
      <c r="C24" s="18" t="s">
        <v>16</v>
      </c>
      <c r="D24" s="19">
        <v>1.1499999999999999</v>
      </c>
      <c r="E24" s="19">
        <f>D24*E$22</f>
        <v>3881.2499999999995</v>
      </c>
      <c r="F24" s="10"/>
      <c r="G24" s="10">
        <f t="shared" si="0"/>
        <v>0</v>
      </c>
      <c r="H24" s="10"/>
      <c r="I24" s="10">
        <f t="shared" si="1"/>
        <v>0</v>
      </c>
      <c r="J24" s="10"/>
      <c r="K24" s="10">
        <f t="shared" si="2"/>
        <v>0</v>
      </c>
      <c r="L24" s="10">
        <f t="shared" si="3"/>
        <v>0</v>
      </c>
    </row>
    <row r="25" spans="1:18" x14ac:dyDescent="0.3">
      <c r="A25" s="2">
        <f>A22+1</f>
        <v>6</v>
      </c>
      <c r="B25" s="14" t="s">
        <v>300</v>
      </c>
      <c r="C25" s="2" t="s">
        <v>16</v>
      </c>
      <c r="D25" s="15"/>
      <c r="E25" s="15">
        <f>E22</f>
        <v>3375</v>
      </c>
      <c r="F25" s="10"/>
      <c r="G25" s="10">
        <f t="shared" si="0"/>
        <v>0</v>
      </c>
      <c r="H25" s="10"/>
      <c r="I25" s="10">
        <f t="shared" si="1"/>
        <v>0</v>
      </c>
      <c r="J25" s="10"/>
      <c r="K25" s="10">
        <f t="shared" si="2"/>
        <v>0</v>
      </c>
      <c r="L25" s="10">
        <f t="shared" si="3"/>
        <v>0</v>
      </c>
    </row>
    <row r="26" spans="1:18" x14ac:dyDescent="0.3">
      <c r="A26" s="2"/>
      <c r="B26" s="17" t="s">
        <v>13</v>
      </c>
      <c r="C26" s="18" t="s">
        <v>16</v>
      </c>
      <c r="D26" s="19">
        <v>1</v>
      </c>
      <c r="E26" s="19">
        <f>D26*E25</f>
        <v>3375</v>
      </c>
      <c r="F26" s="10"/>
      <c r="G26" s="10">
        <f t="shared" si="0"/>
        <v>0</v>
      </c>
      <c r="H26" s="10"/>
      <c r="I26" s="10">
        <f t="shared" si="1"/>
        <v>0</v>
      </c>
      <c r="J26" s="10"/>
      <c r="K26" s="10">
        <f t="shared" si="2"/>
        <v>0</v>
      </c>
      <c r="L26" s="10">
        <f t="shared" si="3"/>
        <v>0</v>
      </c>
    </row>
    <row r="27" spans="1:18" x14ac:dyDescent="0.3">
      <c r="A27" s="2"/>
      <c r="B27" s="17" t="s">
        <v>37</v>
      </c>
      <c r="C27" s="18" t="s">
        <v>18</v>
      </c>
      <c r="D27" s="19">
        <f>0.18*1.02</f>
        <v>0.18359999999999999</v>
      </c>
      <c r="E27" s="19">
        <f>D27*E25</f>
        <v>619.65</v>
      </c>
      <c r="F27" s="10"/>
      <c r="G27" s="10">
        <f t="shared" si="0"/>
        <v>0</v>
      </c>
      <c r="H27" s="10"/>
      <c r="I27" s="10">
        <f t="shared" si="1"/>
        <v>0</v>
      </c>
      <c r="J27" s="10"/>
      <c r="K27" s="10">
        <f t="shared" si="2"/>
        <v>0</v>
      </c>
      <c r="L27" s="10">
        <f t="shared" si="3"/>
        <v>0</v>
      </c>
    </row>
    <row r="28" spans="1:18" x14ac:dyDescent="0.3">
      <c r="A28" s="2"/>
      <c r="B28" s="17" t="s">
        <v>301</v>
      </c>
      <c r="C28" s="18" t="s">
        <v>16</v>
      </c>
      <c r="D28" s="19">
        <v>1.05</v>
      </c>
      <c r="E28" s="19">
        <f>D28*E25</f>
        <v>3543.75</v>
      </c>
      <c r="F28" s="10"/>
      <c r="G28" s="10">
        <f t="shared" si="0"/>
        <v>0</v>
      </c>
      <c r="H28" s="10"/>
      <c r="I28" s="10">
        <f t="shared" si="1"/>
        <v>0</v>
      </c>
      <c r="J28" s="10"/>
      <c r="K28" s="10">
        <f t="shared" si="2"/>
        <v>0</v>
      </c>
      <c r="L28" s="10">
        <f t="shared" si="3"/>
        <v>0</v>
      </c>
    </row>
    <row r="29" spans="1:18" x14ac:dyDescent="0.3">
      <c r="A29" s="2"/>
      <c r="B29" s="17" t="s">
        <v>41</v>
      </c>
      <c r="C29" s="18" t="s">
        <v>16</v>
      </c>
      <c r="D29" s="19">
        <f>7.54/100</f>
        <v>7.5399999999999995E-2</v>
      </c>
      <c r="E29" s="19">
        <f t="shared" ref="E29:E34" si="8">D29*E$27</f>
        <v>46.721609999999998</v>
      </c>
      <c r="F29" s="10"/>
      <c r="G29" s="10">
        <f t="shared" si="0"/>
        <v>0</v>
      </c>
      <c r="H29" s="10"/>
      <c r="I29" s="10">
        <f t="shared" si="1"/>
        <v>0</v>
      </c>
      <c r="J29" s="10"/>
      <c r="K29" s="10">
        <f t="shared" si="2"/>
        <v>0</v>
      </c>
      <c r="L29" s="10">
        <f t="shared" si="3"/>
        <v>0</v>
      </c>
    </row>
    <row r="30" spans="1:18" x14ac:dyDescent="0.3">
      <c r="A30" s="2"/>
      <c r="B30" s="17" t="s">
        <v>42</v>
      </c>
      <c r="C30" s="18" t="s">
        <v>18</v>
      </c>
      <c r="D30" s="27">
        <f>0.08/100</f>
        <v>8.0000000000000004E-4</v>
      </c>
      <c r="E30" s="19">
        <f t="shared" si="8"/>
        <v>0.49571999999999999</v>
      </c>
      <c r="F30" s="10"/>
      <c r="G30" s="10">
        <f t="shared" si="0"/>
        <v>0</v>
      </c>
      <c r="H30" s="10"/>
      <c r="I30" s="10">
        <f t="shared" si="1"/>
        <v>0</v>
      </c>
      <c r="J30" s="10"/>
      <c r="K30" s="10">
        <f t="shared" si="2"/>
        <v>0</v>
      </c>
      <c r="L30" s="10">
        <f t="shared" si="3"/>
        <v>0</v>
      </c>
    </row>
    <row r="31" spans="1:18" x14ac:dyDescent="0.3">
      <c r="A31" s="2"/>
      <c r="B31" s="17" t="s">
        <v>43</v>
      </c>
      <c r="C31" s="18" t="s">
        <v>47</v>
      </c>
      <c r="D31" s="19">
        <v>3.2000000000000001E-2</v>
      </c>
      <c r="E31" s="19">
        <f t="shared" si="8"/>
        <v>19.828800000000001</v>
      </c>
      <c r="F31" s="10"/>
      <c r="G31" s="10">
        <f t="shared" si="0"/>
        <v>0</v>
      </c>
      <c r="H31" s="10"/>
      <c r="I31" s="10">
        <f t="shared" si="1"/>
        <v>0</v>
      </c>
      <c r="J31" s="10"/>
      <c r="K31" s="10">
        <f t="shared" si="2"/>
        <v>0</v>
      </c>
      <c r="L31" s="10">
        <f t="shared" si="3"/>
        <v>0</v>
      </c>
    </row>
    <row r="32" spans="1:18" x14ac:dyDescent="0.3">
      <c r="A32" s="2"/>
      <c r="B32" s="17" t="s">
        <v>44</v>
      </c>
      <c r="C32" s="18" t="s">
        <v>47</v>
      </c>
      <c r="D32" s="19">
        <v>0.21</v>
      </c>
      <c r="E32" s="19">
        <f t="shared" si="8"/>
        <v>130.12649999999999</v>
      </c>
      <c r="F32" s="10"/>
      <c r="G32" s="10">
        <f t="shared" si="0"/>
        <v>0</v>
      </c>
      <c r="H32" s="10"/>
      <c r="I32" s="10">
        <f t="shared" si="1"/>
        <v>0</v>
      </c>
      <c r="J32" s="10"/>
      <c r="K32" s="10">
        <f t="shared" si="2"/>
        <v>0</v>
      </c>
      <c r="L32" s="10">
        <f t="shared" si="3"/>
        <v>0</v>
      </c>
    </row>
    <row r="33" spans="1:12" x14ac:dyDescent="0.3">
      <c r="A33" s="2"/>
      <c r="B33" s="17" t="s">
        <v>19</v>
      </c>
      <c r="C33" s="18" t="s">
        <v>18</v>
      </c>
      <c r="D33" s="19">
        <f>7/100</f>
        <v>7.0000000000000007E-2</v>
      </c>
      <c r="E33" s="19">
        <f t="shared" si="8"/>
        <v>43.375500000000002</v>
      </c>
      <c r="F33" s="10"/>
      <c r="G33" s="10">
        <f t="shared" si="0"/>
        <v>0</v>
      </c>
      <c r="H33" s="10"/>
      <c r="I33" s="10">
        <f t="shared" si="1"/>
        <v>0</v>
      </c>
      <c r="J33" s="10"/>
      <c r="K33" s="10">
        <f t="shared" si="2"/>
        <v>0</v>
      </c>
      <c r="L33" s="10">
        <f t="shared" si="3"/>
        <v>0</v>
      </c>
    </row>
    <row r="34" spans="1:12" x14ac:dyDescent="0.3">
      <c r="A34" s="2"/>
      <c r="B34" s="17" t="s">
        <v>45</v>
      </c>
      <c r="C34" s="18" t="s">
        <v>18</v>
      </c>
      <c r="D34" s="19">
        <f>77/100</f>
        <v>0.77</v>
      </c>
      <c r="E34" s="19">
        <f t="shared" si="8"/>
        <v>477.13049999999998</v>
      </c>
      <c r="F34" s="10"/>
      <c r="G34" s="10">
        <f t="shared" si="0"/>
        <v>0</v>
      </c>
      <c r="H34" s="10"/>
      <c r="I34" s="10">
        <f t="shared" si="1"/>
        <v>0</v>
      </c>
      <c r="J34" s="10"/>
      <c r="K34" s="10">
        <f t="shared" si="2"/>
        <v>0</v>
      </c>
      <c r="L34" s="10">
        <f t="shared" si="3"/>
        <v>0</v>
      </c>
    </row>
    <row r="35" spans="1:12" x14ac:dyDescent="0.3">
      <c r="A35" s="2"/>
      <c r="B35" s="17" t="s">
        <v>46</v>
      </c>
      <c r="C35" s="18" t="s">
        <v>18</v>
      </c>
      <c r="D35" s="19">
        <f>0.18*1.02</f>
        <v>0.18359999999999999</v>
      </c>
      <c r="E35" s="19">
        <f>D35*E25</f>
        <v>619.65</v>
      </c>
      <c r="F35" s="10"/>
      <c r="G35" s="10">
        <f t="shared" si="0"/>
        <v>0</v>
      </c>
      <c r="H35" s="10"/>
      <c r="I35" s="10">
        <f t="shared" si="1"/>
        <v>0</v>
      </c>
      <c r="J35" s="10"/>
      <c r="K35" s="10">
        <f t="shared" si="2"/>
        <v>0</v>
      </c>
      <c r="L35" s="10">
        <f t="shared" si="3"/>
        <v>0</v>
      </c>
    </row>
    <row r="36" spans="1:12" x14ac:dyDescent="0.3">
      <c r="A36" s="2">
        <f>A25+1</f>
        <v>7</v>
      </c>
      <c r="B36" s="14" t="s">
        <v>302</v>
      </c>
      <c r="C36" s="2" t="s">
        <v>16</v>
      </c>
      <c r="D36" s="15"/>
      <c r="E36" s="15">
        <f>E25</f>
        <v>3375</v>
      </c>
      <c r="F36" s="10"/>
      <c r="G36" s="10">
        <f t="shared" si="0"/>
        <v>0</v>
      </c>
      <c r="H36" s="10"/>
      <c r="I36" s="10">
        <f t="shared" si="1"/>
        <v>0</v>
      </c>
      <c r="J36" s="10"/>
      <c r="K36" s="10">
        <f t="shared" si="2"/>
        <v>0</v>
      </c>
      <c r="L36" s="10">
        <f t="shared" si="3"/>
        <v>0</v>
      </c>
    </row>
    <row r="37" spans="1:12" x14ac:dyDescent="0.3">
      <c r="A37" s="2"/>
      <c r="B37" s="17" t="s">
        <v>13</v>
      </c>
      <c r="C37" s="18" t="s">
        <v>16</v>
      </c>
      <c r="D37" s="19">
        <v>1</v>
      </c>
      <c r="E37" s="19">
        <f>D37*E36</f>
        <v>3375</v>
      </c>
      <c r="F37" s="10"/>
      <c r="G37" s="10">
        <f t="shared" si="0"/>
        <v>0</v>
      </c>
      <c r="H37" s="10"/>
      <c r="I37" s="10">
        <f t="shared" si="1"/>
        <v>0</v>
      </c>
      <c r="J37" s="10"/>
      <c r="K37" s="10">
        <f t="shared" si="2"/>
        <v>0</v>
      </c>
      <c r="L37" s="10">
        <f t="shared" si="3"/>
        <v>0</v>
      </c>
    </row>
    <row r="38" spans="1:12" x14ac:dyDescent="0.3">
      <c r="A38" s="2"/>
      <c r="B38" s="17" t="s">
        <v>110</v>
      </c>
      <c r="C38" s="18" t="s">
        <v>72</v>
      </c>
      <c r="D38" s="19">
        <v>8.9999999999999993E-3</v>
      </c>
      <c r="E38" s="19">
        <f>D38*E36</f>
        <v>30.374999999999996</v>
      </c>
      <c r="F38" s="10"/>
      <c r="G38" s="10">
        <f t="shared" si="0"/>
        <v>0</v>
      </c>
      <c r="H38" s="10"/>
      <c r="I38" s="10">
        <f t="shared" si="1"/>
        <v>0</v>
      </c>
      <c r="J38" s="10"/>
      <c r="K38" s="10">
        <f t="shared" si="2"/>
        <v>0</v>
      </c>
      <c r="L38" s="10">
        <f t="shared" si="3"/>
        <v>0</v>
      </c>
    </row>
    <row r="39" spans="1:12" x14ac:dyDescent="0.3">
      <c r="A39" s="2">
        <f>A36+1</f>
        <v>8</v>
      </c>
      <c r="B39" s="14" t="s">
        <v>303</v>
      </c>
      <c r="C39" s="2" t="s">
        <v>12</v>
      </c>
      <c r="D39" s="15"/>
      <c r="E39" s="15">
        <v>265</v>
      </c>
      <c r="F39" s="10"/>
      <c r="G39" s="10">
        <f t="shared" si="0"/>
        <v>0</v>
      </c>
      <c r="H39" s="10"/>
      <c r="I39" s="10">
        <f t="shared" si="1"/>
        <v>0</v>
      </c>
      <c r="J39" s="10"/>
      <c r="K39" s="10">
        <f t="shared" si="2"/>
        <v>0</v>
      </c>
      <c r="L39" s="10">
        <f t="shared" si="3"/>
        <v>0</v>
      </c>
    </row>
    <row r="40" spans="1:12" x14ac:dyDescent="0.3">
      <c r="A40" s="2"/>
      <c r="B40" s="17" t="s">
        <v>13</v>
      </c>
      <c r="C40" s="18" t="s">
        <v>12</v>
      </c>
      <c r="D40" s="19">
        <v>1</v>
      </c>
      <c r="E40" s="19">
        <f>D40*E$39</f>
        <v>265</v>
      </c>
      <c r="F40" s="10"/>
      <c r="G40" s="10">
        <f t="shared" si="0"/>
        <v>0</v>
      </c>
      <c r="H40" s="10"/>
      <c r="I40" s="10">
        <f t="shared" si="1"/>
        <v>0</v>
      </c>
      <c r="J40" s="10"/>
      <c r="K40" s="10">
        <f t="shared" si="2"/>
        <v>0</v>
      </c>
      <c r="L40" s="10">
        <f t="shared" si="3"/>
        <v>0</v>
      </c>
    </row>
    <row r="41" spans="1:12" x14ac:dyDescent="0.3">
      <c r="A41" s="2"/>
      <c r="B41" s="17" t="s">
        <v>304</v>
      </c>
      <c r="C41" s="18" t="s">
        <v>12</v>
      </c>
      <c r="D41" s="19">
        <v>1.05</v>
      </c>
      <c r="E41" s="19">
        <f>D41*E$39</f>
        <v>278.25</v>
      </c>
      <c r="F41" s="10"/>
      <c r="G41" s="10">
        <f t="shared" si="0"/>
        <v>0</v>
      </c>
      <c r="H41" s="10"/>
      <c r="I41" s="10">
        <f t="shared" si="1"/>
        <v>0</v>
      </c>
      <c r="J41" s="10"/>
      <c r="K41" s="10">
        <f t="shared" si="2"/>
        <v>0</v>
      </c>
      <c r="L41" s="10">
        <f t="shared" si="3"/>
        <v>0</v>
      </c>
    </row>
    <row r="42" spans="1:12" x14ac:dyDescent="0.3">
      <c r="A42" s="2"/>
      <c r="B42" s="17" t="s">
        <v>305</v>
      </c>
      <c r="C42" s="18" t="s">
        <v>18</v>
      </c>
      <c r="D42" s="19">
        <f>0.2*0.05</f>
        <v>1.0000000000000002E-2</v>
      </c>
      <c r="E42" s="19">
        <f>E39*D42</f>
        <v>2.6500000000000004</v>
      </c>
      <c r="F42" s="10"/>
      <c r="G42" s="10">
        <f t="shared" si="0"/>
        <v>0</v>
      </c>
      <c r="H42" s="10"/>
      <c r="I42" s="10">
        <f t="shared" si="1"/>
        <v>0</v>
      </c>
      <c r="J42" s="10"/>
      <c r="K42" s="10">
        <f t="shared" si="2"/>
        <v>0</v>
      </c>
      <c r="L42" s="10">
        <f t="shared" si="3"/>
        <v>0</v>
      </c>
    </row>
    <row r="43" spans="1:12" x14ac:dyDescent="0.3">
      <c r="A43" s="2"/>
      <c r="B43" s="17" t="s">
        <v>19</v>
      </c>
      <c r="C43" s="18" t="s">
        <v>12</v>
      </c>
      <c r="D43" s="19">
        <v>1</v>
      </c>
      <c r="E43" s="19">
        <f>D43*E$39</f>
        <v>265</v>
      </c>
      <c r="F43" s="10"/>
      <c r="G43" s="10">
        <f t="shared" si="0"/>
        <v>0</v>
      </c>
      <c r="H43" s="10"/>
      <c r="I43" s="10">
        <f t="shared" si="1"/>
        <v>0</v>
      </c>
      <c r="J43" s="10"/>
      <c r="K43" s="10">
        <f t="shared" si="2"/>
        <v>0</v>
      </c>
      <c r="L43" s="10">
        <f t="shared" si="3"/>
        <v>0</v>
      </c>
    </row>
    <row r="44" spans="1:12" x14ac:dyDescent="0.3">
      <c r="A44" s="2">
        <f>A39+1</f>
        <v>9</v>
      </c>
      <c r="B44" s="14" t="s">
        <v>306</v>
      </c>
      <c r="C44" s="2" t="s">
        <v>12</v>
      </c>
      <c r="D44" s="15"/>
      <c r="E44" s="15">
        <v>320</v>
      </c>
      <c r="F44" s="10"/>
      <c r="G44" s="10">
        <f t="shared" si="0"/>
        <v>0</v>
      </c>
      <c r="H44" s="10"/>
      <c r="I44" s="10">
        <f t="shared" si="1"/>
        <v>0</v>
      </c>
      <c r="J44" s="10"/>
      <c r="K44" s="10">
        <f t="shared" si="2"/>
        <v>0</v>
      </c>
      <c r="L44" s="10">
        <f t="shared" si="3"/>
        <v>0</v>
      </c>
    </row>
    <row r="45" spans="1:12" x14ac:dyDescent="0.3">
      <c r="A45" s="2"/>
      <c r="B45" s="17" t="s">
        <v>13</v>
      </c>
      <c r="C45" s="18" t="s">
        <v>12</v>
      </c>
      <c r="D45" s="19">
        <v>1</v>
      </c>
      <c r="E45" s="19">
        <f>D45*E$44</f>
        <v>320</v>
      </c>
      <c r="F45" s="10"/>
      <c r="G45" s="10">
        <f t="shared" si="0"/>
        <v>0</v>
      </c>
      <c r="H45" s="10"/>
      <c r="I45" s="10">
        <f t="shared" si="1"/>
        <v>0</v>
      </c>
      <c r="J45" s="10"/>
      <c r="K45" s="10">
        <f t="shared" si="2"/>
        <v>0</v>
      </c>
      <c r="L45" s="10">
        <f t="shared" si="3"/>
        <v>0</v>
      </c>
    </row>
    <row r="46" spans="1:12" x14ac:dyDescent="0.3">
      <c r="A46" s="2"/>
      <c r="B46" s="17" t="s">
        <v>37</v>
      </c>
      <c r="C46" s="18" t="s">
        <v>18</v>
      </c>
      <c r="D46" s="19">
        <f>0.4*0.3*1.02</f>
        <v>0.12239999999999999</v>
      </c>
      <c r="E46" s="19">
        <f>D46*E$44</f>
        <v>39.167999999999999</v>
      </c>
      <c r="F46" s="10"/>
      <c r="G46" s="10">
        <f t="shared" si="0"/>
        <v>0</v>
      </c>
      <c r="H46" s="10"/>
      <c r="I46" s="10">
        <f t="shared" si="1"/>
        <v>0</v>
      </c>
      <c r="J46" s="10"/>
      <c r="K46" s="10">
        <f t="shared" si="2"/>
        <v>0</v>
      </c>
      <c r="L46" s="10">
        <f t="shared" si="3"/>
        <v>0</v>
      </c>
    </row>
    <row r="47" spans="1:12" x14ac:dyDescent="0.3">
      <c r="A47" s="2"/>
      <c r="B47" s="17" t="s">
        <v>39</v>
      </c>
      <c r="C47" s="18" t="s">
        <v>38</v>
      </c>
      <c r="D47" s="19">
        <v>1.05</v>
      </c>
      <c r="E47" s="19">
        <f>E44*6*0.678*1.1/1000*1.07</f>
        <v>1.5321715200000001</v>
      </c>
      <c r="F47" s="10"/>
      <c r="G47" s="10">
        <f t="shared" si="0"/>
        <v>0</v>
      </c>
      <c r="H47" s="10"/>
      <c r="I47" s="10">
        <f t="shared" si="1"/>
        <v>0</v>
      </c>
      <c r="J47" s="10"/>
      <c r="K47" s="10">
        <f t="shared" si="2"/>
        <v>0</v>
      </c>
      <c r="L47" s="10">
        <f t="shared" si="3"/>
        <v>0</v>
      </c>
    </row>
    <row r="48" spans="1:12" x14ac:dyDescent="0.3">
      <c r="A48" s="2"/>
      <c r="B48" s="17" t="s">
        <v>40</v>
      </c>
      <c r="C48" s="18" t="s">
        <v>38</v>
      </c>
      <c r="D48" s="19">
        <v>1.05</v>
      </c>
      <c r="E48" s="19">
        <f>E44/0.2*2*0.395*1.1/1000*1.07</f>
        <v>1.4877280000000002</v>
      </c>
      <c r="F48" s="10"/>
      <c r="G48" s="10">
        <f t="shared" si="0"/>
        <v>0</v>
      </c>
      <c r="H48" s="10"/>
      <c r="I48" s="10">
        <f t="shared" si="1"/>
        <v>0</v>
      </c>
      <c r="J48" s="10"/>
      <c r="K48" s="10">
        <f t="shared" si="2"/>
        <v>0</v>
      </c>
      <c r="L48" s="10">
        <f t="shared" si="3"/>
        <v>0</v>
      </c>
    </row>
    <row r="49" spans="1:12" x14ac:dyDescent="0.3">
      <c r="A49" s="2"/>
      <c r="B49" s="17" t="s">
        <v>41</v>
      </c>
      <c r="C49" s="18" t="s">
        <v>16</v>
      </c>
      <c r="D49" s="19">
        <f>70.3/100</f>
        <v>0.70299999999999996</v>
      </c>
      <c r="E49" s="19">
        <f t="shared" ref="E49:E54" si="9">D49*E$46</f>
        <v>27.535103999999997</v>
      </c>
      <c r="F49" s="10"/>
      <c r="G49" s="10">
        <f t="shared" si="0"/>
        <v>0</v>
      </c>
      <c r="H49" s="10"/>
      <c r="I49" s="10">
        <f t="shared" si="1"/>
        <v>0</v>
      </c>
      <c r="J49" s="10"/>
      <c r="K49" s="10">
        <f t="shared" si="2"/>
        <v>0</v>
      </c>
      <c r="L49" s="10">
        <f t="shared" si="3"/>
        <v>0</v>
      </c>
    </row>
    <row r="50" spans="1:12" x14ac:dyDescent="0.3">
      <c r="A50" s="2"/>
      <c r="B50" s="17" t="s">
        <v>42</v>
      </c>
      <c r="C50" s="18" t="s">
        <v>18</v>
      </c>
      <c r="D50" s="19">
        <f>1.14/100</f>
        <v>1.1399999999999999E-2</v>
      </c>
      <c r="E50" s="19">
        <f t="shared" si="9"/>
        <v>0.44651519999999995</v>
      </c>
      <c r="F50" s="10"/>
      <c r="G50" s="10">
        <f t="shared" si="0"/>
        <v>0</v>
      </c>
      <c r="H50" s="10"/>
      <c r="I50" s="10">
        <f t="shared" si="1"/>
        <v>0</v>
      </c>
      <c r="J50" s="10"/>
      <c r="K50" s="10">
        <f t="shared" si="2"/>
        <v>0</v>
      </c>
      <c r="L50" s="10">
        <f t="shared" si="3"/>
        <v>0</v>
      </c>
    </row>
    <row r="51" spans="1:12" x14ac:dyDescent="0.3">
      <c r="A51" s="2"/>
      <c r="B51" s="17" t="s">
        <v>43</v>
      </c>
      <c r="C51" s="18" t="s">
        <v>47</v>
      </c>
      <c r="D51" s="19">
        <v>0.40600000000000003</v>
      </c>
      <c r="E51" s="19">
        <f t="shared" si="9"/>
        <v>15.902208</v>
      </c>
      <c r="F51" s="10"/>
      <c r="G51" s="10">
        <f t="shared" si="0"/>
        <v>0</v>
      </c>
      <c r="H51" s="10"/>
      <c r="I51" s="10">
        <f t="shared" si="1"/>
        <v>0</v>
      </c>
      <c r="J51" s="10"/>
      <c r="K51" s="10">
        <f t="shared" si="2"/>
        <v>0</v>
      </c>
      <c r="L51" s="10">
        <f t="shared" si="3"/>
        <v>0</v>
      </c>
    </row>
    <row r="52" spans="1:12" x14ac:dyDescent="0.3">
      <c r="A52" s="2"/>
      <c r="B52" s="17" t="s">
        <v>44</v>
      </c>
      <c r="C52" s="18" t="s">
        <v>47</v>
      </c>
      <c r="D52" s="19">
        <v>0.38</v>
      </c>
      <c r="E52" s="19">
        <f t="shared" si="9"/>
        <v>14.883839999999999</v>
      </c>
      <c r="F52" s="10"/>
      <c r="G52" s="10">
        <f t="shared" si="0"/>
        <v>0</v>
      </c>
      <c r="H52" s="10"/>
      <c r="I52" s="10">
        <f t="shared" si="1"/>
        <v>0</v>
      </c>
      <c r="J52" s="10"/>
      <c r="K52" s="10">
        <f t="shared" si="2"/>
        <v>0</v>
      </c>
      <c r="L52" s="10">
        <f t="shared" si="3"/>
        <v>0</v>
      </c>
    </row>
    <row r="53" spans="1:12" x14ac:dyDescent="0.3">
      <c r="A53" s="2"/>
      <c r="B53" s="17" t="s">
        <v>19</v>
      </c>
      <c r="C53" s="18" t="s">
        <v>18</v>
      </c>
      <c r="D53" s="19">
        <f>60/100</f>
        <v>0.6</v>
      </c>
      <c r="E53" s="19">
        <f t="shared" si="9"/>
        <v>23.500799999999998</v>
      </c>
      <c r="F53" s="10"/>
      <c r="G53" s="10">
        <f t="shared" si="0"/>
        <v>0</v>
      </c>
      <c r="H53" s="10"/>
      <c r="I53" s="10">
        <f t="shared" si="1"/>
        <v>0</v>
      </c>
      <c r="J53" s="10"/>
      <c r="K53" s="10">
        <f t="shared" si="2"/>
        <v>0</v>
      </c>
      <c r="L53" s="10">
        <f t="shared" si="3"/>
        <v>0</v>
      </c>
    </row>
    <row r="54" spans="1:12" x14ac:dyDescent="0.3">
      <c r="A54" s="2"/>
      <c r="B54" s="17" t="s">
        <v>45</v>
      </c>
      <c r="C54" s="18" t="s">
        <v>18</v>
      </c>
      <c r="D54" s="19">
        <f>92/100</f>
        <v>0.92</v>
      </c>
      <c r="E54" s="19">
        <f t="shared" si="9"/>
        <v>36.034559999999999</v>
      </c>
      <c r="F54" s="10"/>
      <c r="G54" s="10">
        <f t="shared" si="0"/>
        <v>0</v>
      </c>
      <c r="H54" s="10"/>
      <c r="I54" s="10">
        <f t="shared" si="1"/>
        <v>0</v>
      </c>
      <c r="J54" s="10"/>
      <c r="K54" s="10">
        <f t="shared" si="2"/>
        <v>0</v>
      </c>
      <c r="L54" s="10">
        <f t="shared" si="3"/>
        <v>0</v>
      </c>
    </row>
    <row r="55" spans="1:12" x14ac:dyDescent="0.3">
      <c r="A55" s="2">
        <f>A44+1</f>
        <v>10</v>
      </c>
      <c r="B55" s="14" t="s">
        <v>307</v>
      </c>
      <c r="C55" s="2" t="s">
        <v>16</v>
      </c>
      <c r="D55" s="15"/>
      <c r="E55" s="15">
        <f>E44*2</f>
        <v>640</v>
      </c>
      <c r="F55" s="10"/>
      <c r="G55" s="10">
        <f t="shared" si="0"/>
        <v>0</v>
      </c>
      <c r="H55" s="10"/>
      <c r="I55" s="10">
        <f t="shared" si="1"/>
        <v>0</v>
      </c>
      <c r="J55" s="10"/>
      <c r="K55" s="10">
        <f t="shared" si="2"/>
        <v>0</v>
      </c>
      <c r="L55" s="10">
        <f t="shared" si="3"/>
        <v>0</v>
      </c>
    </row>
    <row r="56" spans="1:12" x14ac:dyDescent="0.3">
      <c r="A56" s="2"/>
      <c r="B56" s="17" t="s">
        <v>13</v>
      </c>
      <c r="C56" s="18" t="s">
        <v>16</v>
      </c>
      <c r="D56" s="19">
        <v>1</v>
      </c>
      <c r="E56" s="19">
        <f>D56*E$55</f>
        <v>640</v>
      </c>
      <c r="F56" s="10"/>
      <c r="G56" s="10">
        <f t="shared" si="0"/>
        <v>0</v>
      </c>
      <c r="H56" s="10"/>
      <c r="I56" s="10">
        <f t="shared" si="1"/>
        <v>0</v>
      </c>
      <c r="J56" s="10"/>
      <c r="K56" s="10">
        <f t="shared" si="2"/>
        <v>0</v>
      </c>
      <c r="L56" s="10">
        <f t="shared" si="3"/>
        <v>0</v>
      </c>
    </row>
    <row r="57" spans="1:12" x14ac:dyDescent="0.3">
      <c r="A57" s="2"/>
      <c r="B57" s="17" t="s">
        <v>308</v>
      </c>
      <c r="C57" s="18" t="s">
        <v>16</v>
      </c>
      <c r="D57" s="19">
        <v>1.05</v>
      </c>
      <c r="E57" s="19">
        <f>D57*E$55</f>
        <v>672</v>
      </c>
      <c r="F57" s="10"/>
      <c r="G57" s="10">
        <f t="shared" si="0"/>
        <v>0</v>
      </c>
      <c r="H57" s="10"/>
      <c r="I57" s="10">
        <f t="shared" si="1"/>
        <v>0</v>
      </c>
      <c r="J57" s="10"/>
      <c r="K57" s="10">
        <f t="shared" si="2"/>
        <v>0</v>
      </c>
      <c r="L57" s="10">
        <f t="shared" si="3"/>
        <v>0</v>
      </c>
    </row>
    <row r="58" spans="1:12" x14ac:dyDescent="0.3">
      <c r="A58" s="2"/>
      <c r="B58" s="17" t="s">
        <v>19</v>
      </c>
      <c r="C58" s="18" t="s">
        <v>16</v>
      </c>
      <c r="D58" s="19">
        <v>1</v>
      </c>
      <c r="E58" s="19">
        <f>D58*E$55</f>
        <v>640</v>
      </c>
      <c r="F58" s="10"/>
      <c r="G58" s="10">
        <f t="shared" si="0"/>
        <v>0</v>
      </c>
      <c r="H58" s="10"/>
      <c r="I58" s="10">
        <f t="shared" si="1"/>
        <v>0</v>
      </c>
      <c r="J58" s="10"/>
      <c r="K58" s="10">
        <f t="shared" si="2"/>
        <v>0</v>
      </c>
      <c r="L58" s="10">
        <f t="shared" si="3"/>
        <v>0</v>
      </c>
    </row>
    <row r="59" spans="1:12" x14ac:dyDescent="0.3">
      <c r="A59" s="2">
        <f>A55+1</f>
        <v>11</v>
      </c>
      <c r="B59" s="14" t="s">
        <v>1082</v>
      </c>
      <c r="C59" s="2" t="s">
        <v>16</v>
      </c>
      <c r="D59" s="15"/>
      <c r="E59" s="15">
        <f>6*2*2</f>
        <v>24</v>
      </c>
      <c r="F59" s="10"/>
      <c r="G59" s="10">
        <f t="shared" ref="G59" si="10">F59*E59</f>
        <v>0</v>
      </c>
      <c r="H59" s="10"/>
      <c r="I59" s="10">
        <f t="shared" ref="I59" si="11">H59*E59</f>
        <v>0</v>
      </c>
      <c r="J59" s="10"/>
      <c r="K59" s="10">
        <f t="shared" ref="K59" si="12">J59*E59</f>
        <v>0</v>
      </c>
      <c r="L59" s="10">
        <f t="shared" ref="L59" si="13">K59+I59+G59</f>
        <v>0</v>
      </c>
    </row>
    <row r="60" spans="1:12" x14ac:dyDescent="0.3">
      <c r="A60" s="11"/>
      <c r="B60" s="11" t="s">
        <v>214</v>
      </c>
      <c r="C60" s="28"/>
      <c r="D60" s="29"/>
      <c r="E60" s="29"/>
      <c r="F60" s="13"/>
      <c r="G60" s="13">
        <f t="shared" ref="G60:G62" si="14">F60*E60</f>
        <v>0</v>
      </c>
      <c r="H60" s="13"/>
      <c r="I60" s="13">
        <f t="shared" ref="I60:I62" si="15">H60*E60</f>
        <v>0</v>
      </c>
      <c r="J60" s="13"/>
      <c r="K60" s="13">
        <f t="shared" ref="K60:K62" si="16">J60*E60</f>
        <v>0</v>
      </c>
      <c r="L60" s="13">
        <f t="shared" ref="L60:L62" si="17">K60+I60+G60</f>
        <v>0</v>
      </c>
    </row>
    <row r="61" spans="1:12" x14ac:dyDescent="0.3">
      <c r="A61" s="2">
        <f>A59+1</f>
        <v>12</v>
      </c>
      <c r="B61" s="14" t="s">
        <v>215</v>
      </c>
      <c r="C61" s="2" t="s">
        <v>216</v>
      </c>
      <c r="D61" s="15"/>
      <c r="E61" s="15">
        <f>2*30</f>
        <v>60</v>
      </c>
      <c r="F61" s="10"/>
      <c r="G61" s="10">
        <f t="shared" si="14"/>
        <v>0</v>
      </c>
      <c r="H61" s="10"/>
      <c r="I61" s="10">
        <f t="shared" si="15"/>
        <v>0</v>
      </c>
      <c r="J61" s="10"/>
      <c r="K61" s="10">
        <f t="shared" si="16"/>
        <v>0</v>
      </c>
      <c r="L61" s="10">
        <f t="shared" si="17"/>
        <v>0</v>
      </c>
    </row>
    <row r="62" spans="1:12" x14ac:dyDescent="0.3">
      <c r="A62" s="2">
        <f>A61+1</f>
        <v>13</v>
      </c>
      <c r="B62" s="14" t="s">
        <v>217</v>
      </c>
      <c r="C62" s="2" t="s">
        <v>30</v>
      </c>
      <c r="D62" s="15"/>
      <c r="E62" s="15">
        <v>2</v>
      </c>
      <c r="F62" s="10"/>
      <c r="G62" s="10">
        <f t="shared" si="14"/>
        <v>0</v>
      </c>
      <c r="H62" s="10"/>
      <c r="I62" s="10">
        <f t="shared" si="15"/>
        <v>0</v>
      </c>
      <c r="J62" s="10"/>
      <c r="K62" s="10">
        <f t="shared" si="16"/>
        <v>0</v>
      </c>
      <c r="L62" s="10">
        <f t="shared" si="17"/>
        <v>0</v>
      </c>
    </row>
    <row r="63" spans="1:12" x14ac:dyDescent="0.3">
      <c r="A63" s="3"/>
      <c r="B63" s="3" t="s">
        <v>7</v>
      </c>
      <c r="C63" s="3"/>
      <c r="D63" s="24"/>
      <c r="E63" s="24"/>
      <c r="F63" s="25"/>
      <c r="G63" s="25">
        <f>SUM(G10:G62)</f>
        <v>0</v>
      </c>
      <c r="H63" s="25"/>
      <c r="I63" s="25">
        <f>SUM(I10:I62)</f>
        <v>0</v>
      </c>
      <c r="J63" s="25"/>
      <c r="K63" s="25">
        <f>SUM(K10:K62)</f>
        <v>0</v>
      </c>
      <c r="L63" s="25">
        <f>SUM(L10:L62)</f>
        <v>0</v>
      </c>
    </row>
    <row r="64" spans="1:12" x14ac:dyDescent="0.3">
      <c r="A64" s="2"/>
      <c r="B64" s="5" t="s">
        <v>226</v>
      </c>
      <c r="C64" s="1"/>
      <c r="D64" s="8"/>
      <c r="E64" s="26">
        <v>0.03</v>
      </c>
      <c r="F64" s="10"/>
      <c r="G64" s="10"/>
      <c r="H64" s="10"/>
      <c r="I64" s="10"/>
      <c r="J64" s="10"/>
      <c r="K64" s="10"/>
      <c r="L64" s="10">
        <f>G63*E64</f>
        <v>0</v>
      </c>
    </row>
    <row r="65" spans="1:12" x14ac:dyDescent="0.3">
      <c r="A65" s="2"/>
      <c r="B65" s="2" t="s">
        <v>7</v>
      </c>
      <c r="C65" s="1"/>
      <c r="D65" s="8"/>
      <c r="E65" s="26"/>
      <c r="F65" s="10"/>
      <c r="G65" s="10"/>
      <c r="H65" s="10"/>
      <c r="I65" s="10"/>
      <c r="J65" s="10"/>
      <c r="K65" s="10"/>
      <c r="L65" s="10">
        <f>L64+L63</f>
        <v>0</v>
      </c>
    </row>
    <row r="66" spans="1:12" x14ac:dyDescent="0.3">
      <c r="A66" s="2"/>
      <c r="B66" s="5" t="s">
        <v>227</v>
      </c>
      <c r="C66" s="1"/>
      <c r="D66" s="8"/>
      <c r="E66" s="26">
        <v>0.1</v>
      </c>
      <c r="F66" s="10"/>
      <c r="G66" s="10"/>
      <c r="H66" s="10"/>
      <c r="I66" s="10"/>
      <c r="J66" s="10"/>
      <c r="K66" s="10"/>
      <c r="L66" s="10">
        <f>L65*E66</f>
        <v>0</v>
      </c>
    </row>
    <row r="67" spans="1:12" x14ac:dyDescent="0.3">
      <c r="A67" s="2"/>
      <c r="B67" s="2" t="s">
        <v>7</v>
      </c>
      <c r="C67" s="1"/>
      <c r="D67" s="8"/>
      <c r="E67" s="26"/>
      <c r="F67" s="10"/>
      <c r="G67" s="10"/>
      <c r="H67" s="10"/>
      <c r="I67" s="10"/>
      <c r="J67" s="10"/>
      <c r="K67" s="10"/>
      <c r="L67" s="10">
        <f>L66+L65</f>
        <v>0</v>
      </c>
    </row>
    <row r="68" spans="1:12" x14ac:dyDescent="0.3">
      <c r="A68" s="2"/>
      <c r="B68" s="5" t="s">
        <v>228</v>
      </c>
      <c r="C68" s="1"/>
      <c r="D68" s="8"/>
      <c r="E68" s="26">
        <v>0.01</v>
      </c>
      <c r="F68" s="10"/>
      <c r="G68" s="10"/>
      <c r="H68" s="10"/>
      <c r="I68" s="10"/>
      <c r="J68" s="10"/>
      <c r="K68" s="10"/>
      <c r="L68" s="10">
        <f>L67*E68</f>
        <v>0</v>
      </c>
    </row>
    <row r="69" spans="1:12" x14ac:dyDescent="0.3">
      <c r="A69" s="2"/>
      <c r="B69" s="2" t="s">
        <v>7</v>
      </c>
      <c r="C69" s="1"/>
      <c r="D69" s="8"/>
      <c r="E69" s="26"/>
      <c r="F69" s="10"/>
      <c r="G69" s="10"/>
      <c r="H69" s="10"/>
      <c r="I69" s="10"/>
      <c r="J69" s="10"/>
      <c r="K69" s="10"/>
      <c r="L69" s="10">
        <f>L68+L67</f>
        <v>0</v>
      </c>
    </row>
    <row r="70" spans="1:12" x14ac:dyDescent="0.3">
      <c r="A70" s="2"/>
      <c r="B70" s="5" t="s">
        <v>229</v>
      </c>
      <c r="C70" s="1"/>
      <c r="D70" s="8"/>
      <c r="E70" s="26">
        <v>0.08</v>
      </c>
      <c r="F70" s="10"/>
      <c r="G70" s="10"/>
      <c r="H70" s="10"/>
      <c r="I70" s="10"/>
      <c r="J70" s="10"/>
      <c r="K70" s="10"/>
      <c r="L70" s="10">
        <f>L69*E70</f>
        <v>0</v>
      </c>
    </row>
    <row r="71" spans="1:12" x14ac:dyDescent="0.3">
      <c r="A71" s="2"/>
      <c r="B71" s="2" t="s">
        <v>7</v>
      </c>
      <c r="C71" s="1"/>
      <c r="D71" s="8"/>
      <c r="E71" s="26"/>
      <c r="F71" s="10"/>
      <c r="G71" s="10"/>
      <c r="H71" s="10"/>
      <c r="I71" s="10"/>
      <c r="J71" s="10"/>
      <c r="K71" s="10"/>
      <c r="L71" s="10">
        <f>L70+L69</f>
        <v>0</v>
      </c>
    </row>
    <row r="72" spans="1:12" x14ac:dyDescent="0.3">
      <c r="A72" s="2"/>
      <c r="B72" s="5" t="s">
        <v>230</v>
      </c>
      <c r="C72" s="1"/>
      <c r="D72" s="8"/>
      <c r="E72" s="26">
        <v>0.03</v>
      </c>
      <c r="F72" s="10"/>
      <c r="G72" s="10"/>
      <c r="H72" s="10"/>
      <c r="I72" s="10"/>
      <c r="J72" s="10"/>
      <c r="K72" s="10"/>
      <c r="L72" s="10">
        <f>L71*E72</f>
        <v>0</v>
      </c>
    </row>
    <row r="73" spans="1:12" x14ac:dyDescent="0.3">
      <c r="A73" s="2"/>
      <c r="B73" s="2" t="s">
        <v>7</v>
      </c>
      <c r="C73" s="1"/>
      <c r="D73" s="8"/>
      <c r="E73" s="26"/>
      <c r="F73" s="10"/>
      <c r="G73" s="10"/>
      <c r="H73" s="10"/>
      <c r="I73" s="10"/>
      <c r="J73" s="10"/>
      <c r="K73" s="10"/>
      <c r="L73" s="10">
        <f>L72+L71</f>
        <v>0</v>
      </c>
    </row>
    <row r="74" spans="1:12" x14ac:dyDescent="0.3">
      <c r="A74" s="2"/>
      <c r="B74" s="5" t="s">
        <v>231</v>
      </c>
      <c r="C74" s="1"/>
      <c r="D74" s="8"/>
      <c r="E74" s="26">
        <v>0.18</v>
      </c>
      <c r="F74" s="10"/>
      <c r="G74" s="10"/>
      <c r="H74" s="10"/>
      <c r="I74" s="10"/>
      <c r="J74" s="10"/>
      <c r="K74" s="10"/>
      <c r="L74" s="10">
        <f>L73*E74</f>
        <v>0</v>
      </c>
    </row>
    <row r="75" spans="1:12" x14ac:dyDescent="0.3">
      <c r="A75" s="3"/>
      <c r="B75" s="3" t="s">
        <v>232</v>
      </c>
      <c r="C75" s="3"/>
      <c r="D75" s="24"/>
      <c r="E75" s="24"/>
      <c r="F75" s="25"/>
      <c r="G75" s="25"/>
      <c r="H75" s="25"/>
      <c r="I75" s="25"/>
      <c r="J75" s="25"/>
      <c r="K75" s="25"/>
      <c r="L75" s="25">
        <f>L74+L73</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4"/>
  <sheetViews>
    <sheetView topLeftCell="A55" zoomScale="85" zoomScaleNormal="85" workbookViewId="0">
      <selection activeCell="S71" sqref="S71"/>
    </sheetView>
  </sheetViews>
  <sheetFormatPr defaultRowHeight="14.4" x14ac:dyDescent="0.3"/>
  <cols>
    <col min="1" max="1" width="8.88671875" style="7"/>
    <col min="2" max="2" width="73.33203125"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9.21875" bestFit="1" customWidth="1"/>
  </cols>
  <sheetData>
    <row r="2" spans="1:12" x14ac:dyDescent="0.3">
      <c r="A2" s="40" t="s">
        <v>1036</v>
      </c>
      <c r="B2" s="40"/>
      <c r="C2" s="40"/>
      <c r="D2" s="40"/>
      <c r="E2" s="40"/>
      <c r="F2" s="40"/>
      <c r="G2" s="40"/>
      <c r="H2" s="40"/>
      <c r="I2" s="40"/>
      <c r="J2" s="40"/>
      <c r="K2" s="40"/>
      <c r="L2" s="40"/>
    </row>
    <row r="3" spans="1:12" x14ac:dyDescent="0.3">
      <c r="A3" s="40" t="s">
        <v>1037</v>
      </c>
      <c r="B3" s="40"/>
      <c r="C3" s="40"/>
      <c r="D3" s="40"/>
      <c r="E3" s="40"/>
      <c r="F3" s="40"/>
      <c r="G3" s="40"/>
      <c r="H3" s="40"/>
      <c r="I3" s="40"/>
      <c r="J3" s="40"/>
      <c r="K3" s="40"/>
      <c r="L3" s="40"/>
    </row>
    <row r="4" spans="1:12" x14ac:dyDescent="0.3">
      <c r="A4" s="36" t="s">
        <v>1048</v>
      </c>
      <c r="K4" s="33" t="s">
        <v>1038</v>
      </c>
      <c r="L4" s="34" t="str">
        <f>'2000 მ²'!L4</f>
        <v>001</v>
      </c>
    </row>
    <row r="5" spans="1:12" x14ac:dyDescent="0.3">
      <c r="A5" s="36" t="s">
        <v>1044</v>
      </c>
      <c r="K5" s="33" t="s">
        <v>1040</v>
      </c>
      <c r="L5" s="35">
        <f>'2000 მ²'!L5</f>
        <v>45887</v>
      </c>
    </row>
    <row r="6" spans="1:12" ht="28.8" customHeight="1" x14ac:dyDescent="0.3">
      <c r="A6" s="43" t="s">
        <v>0</v>
      </c>
      <c r="B6" s="43" t="s">
        <v>1</v>
      </c>
      <c r="C6" s="43" t="s">
        <v>2</v>
      </c>
      <c r="D6" s="45" t="s">
        <v>9</v>
      </c>
      <c r="E6" s="45" t="s">
        <v>3</v>
      </c>
      <c r="F6" s="41" t="s">
        <v>4</v>
      </c>
      <c r="G6" s="42"/>
      <c r="H6" s="41" t="s">
        <v>5</v>
      </c>
      <c r="I6" s="42"/>
      <c r="J6" s="41" t="s">
        <v>6</v>
      </c>
      <c r="K6" s="42"/>
      <c r="L6" s="43" t="s">
        <v>7</v>
      </c>
    </row>
    <row r="7" spans="1:12" ht="23.4" customHeight="1" x14ac:dyDescent="0.3">
      <c r="A7" s="44"/>
      <c r="B7" s="44"/>
      <c r="C7" s="44"/>
      <c r="D7" s="46"/>
      <c r="E7" s="46"/>
      <c r="F7" s="3" t="s">
        <v>8</v>
      </c>
      <c r="G7" s="3" t="s">
        <v>7</v>
      </c>
      <c r="H7" s="3" t="s">
        <v>8</v>
      </c>
      <c r="I7" s="3" t="s">
        <v>7</v>
      </c>
      <c r="J7" s="3" t="s">
        <v>8</v>
      </c>
      <c r="K7" s="3" t="s">
        <v>7</v>
      </c>
      <c r="L7" s="44"/>
    </row>
    <row r="8" spans="1:12" x14ac:dyDescent="0.3">
      <c r="A8" s="3">
        <v>1</v>
      </c>
      <c r="B8" s="3">
        <v>2</v>
      </c>
      <c r="C8" s="3">
        <v>3</v>
      </c>
      <c r="D8" s="3">
        <v>4</v>
      </c>
      <c r="E8" s="3">
        <v>5</v>
      </c>
      <c r="F8" s="3">
        <v>6</v>
      </c>
      <c r="G8" s="3">
        <v>7</v>
      </c>
      <c r="H8" s="3">
        <v>8</v>
      </c>
      <c r="I8" s="3">
        <v>9</v>
      </c>
      <c r="J8" s="3">
        <v>10</v>
      </c>
      <c r="K8" s="3">
        <v>11</v>
      </c>
      <c r="L8" s="3">
        <v>12</v>
      </c>
    </row>
    <row r="9" spans="1:12" x14ac:dyDescent="0.3">
      <c r="A9" s="11"/>
      <c r="B9" s="11" t="s">
        <v>466</v>
      </c>
      <c r="C9" s="4"/>
      <c r="D9" s="12"/>
      <c r="E9" s="12"/>
      <c r="F9" s="13"/>
      <c r="G9" s="13"/>
      <c r="H9" s="13"/>
      <c r="I9" s="13"/>
      <c r="J9" s="13"/>
      <c r="K9" s="13"/>
      <c r="L9" s="13"/>
    </row>
    <row r="10" spans="1:12" x14ac:dyDescent="0.3">
      <c r="A10" s="2">
        <v>1</v>
      </c>
      <c r="B10" s="14" t="s">
        <v>467</v>
      </c>
      <c r="C10" s="2" t="s">
        <v>72</v>
      </c>
      <c r="D10" s="15"/>
      <c r="E10" s="15">
        <v>22</v>
      </c>
      <c r="F10" s="10"/>
      <c r="G10" s="10">
        <f t="shared" ref="G10:G79" si="0">F10*E10</f>
        <v>0</v>
      </c>
      <c r="H10" s="10"/>
      <c r="I10" s="10">
        <f t="shared" ref="I10:I79" si="1">H10*E10</f>
        <v>0</v>
      </c>
      <c r="J10" s="10"/>
      <c r="K10" s="10">
        <f t="shared" ref="K10:K79" si="2">J10*E10</f>
        <v>0</v>
      </c>
      <c r="L10" s="10">
        <f t="shared" ref="L10:L79" si="3">K10+I10+G10</f>
        <v>0</v>
      </c>
    </row>
    <row r="11" spans="1:12" ht="28.8" x14ac:dyDescent="0.3">
      <c r="A11" s="2">
        <v>2</v>
      </c>
      <c r="B11" s="14" t="s">
        <v>468</v>
      </c>
      <c r="C11" s="2" t="s">
        <v>376</v>
      </c>
      <c r="D11" s="15"/>
      <c r="E11" s="15">
        <v>9</v>
      </c>
      <c r="F11" s="10"/>
      <c r="G11" s="10">
        <f t="shared" si="0"/>
        <v>0</v>
      </c>
      <c r="H11" s="10"/>
      <c r="I11" s="10">
        <f t="shared" si="1"/>
        <v>0</v>
      </c>
      <c r="J11" s="10"/>
      <c r="K11" s="10">
        <f t="shared" si="2"/>
        <v>0</v>
      </c>
      <c r="L11" s="10">
        <f t="shared" si="3"/>
        <v>0</v>
      </c>
    </row>
    <row r="12" spans="1:12" x14ac:dyDescent="0.3">
      <c r="A12" s="2"/>
      <c r="B12" s="17" t="s">
        <v>382</v>
      </c>
      <c r="C12" s="18" t="s">
        <v>376</v>
      </c>
      <c r="D12" s="19"/>
      <c r="E12" s="19">
        <v>9</v>
      </c>
      <c r="F12" s="10"/>
      <c r="G12" s="10">
        <f t="shared" si="0"/>
        <v>0</v>
      </c>
      <c r="H12" s="10"/>
      <c r="I12" s="10">
        <f t="shared" si="1"/>
        <v>0</v>
      </c>
      <c r="J12" s="10"/>
      <c r="K12" s="10">
        <f t="shared" si="2"/>
        <v>0</v>
      </c>
      <c r="L12" s="10">
        <f t="shared" si="3"/>
        <v>0</v>
      </c>
    </row>
    <row r="13" spans="1:12" x14ac:dyDescent="0.3">
      <c r="A13" s="2"/>
      <c r="B13" s="17" t="s">
        <v>469</v>
      </c>
      <c r="C13" s="18" t="s">
        <v>376</v>
      </c>
      <c r="D13" s="19"/>
      <c r="E13" s="19">
        <v>9</v>
      </c>
      <c r="F13" s="10"/>
      <c r="G13" s="10">
        <f t="shared" si="0"/>
        <v>0</v>
      </c>
      <c r="H13" s="10"/>
      <c r="I13" s="10">
        <f t="shared" si="1"/>
        <v>0</v>
      </c>
      <c r="J13" s="10"/>
      <c r="K13" s="10">
        <f t="shared" si="2"/>
        <v>0</v>
      </c>
      <c r="L13" s="10">
        <f t="shared" si="3"/>
        <v>0</v>
      </c>
    </row>
    <row r="14" spans="1:12" x14ac:dyDescent="0.3">
      <c r="A14" s="2">
        <v>3</v>
      </c>
      <c r="B14" s="14" t="s">
        <v>470</v>
      </c>
      <c r="C14" s="2" t="s">
        <v>72</v>
      </c>
      <c r="D14" s="15"/>
      <c r="E14" s="15">
        <v>352</v>
      </c>
      <c r="F14" s="10"/>
      <c r="G14" s="10">
        <f t="shared" si="0"/>
        <v>0</v>
      </c>
      <c r="H14" s="10"/>
      <c r="I14" s="10">
        <f t="shared" si="1"/>
        <v>0</v>
      </c>
      <c r="J14" s="10"/>
      <c r="K14" s="10">
        <f t="shared" si="2"/>
        <v>0</v>
      </c>
      <c r="L14" s="10">
        <f t="shared" si="3"/>
        <v>0</v>
      </c>
    </row>
    <row r="15" spans="1:12" x14ac:dyDescent="0.3">
      <c r="A15" s="2">
        <v>4</v>
      </c>
      <c r="B15" s="14" t="s">
        <v>471</v>
      </c>
      <c r="C15" s="2" t="s">
        <v>72</v>
      </c>
      <c r="D15" s="32"/>
      <c r="E15" s="15">
        <v>31</v>
      </c>
      <c r="F15" s="10"/>
      <c r="G15" s="10">
        <f t="shared" si="0"/>
        <v>0</v>
      </c>
      <c r="H15" s="10"/>
      <c r="I15" s="10">
        <f t="shared" si="1"/>
        <v>0</v>
      </c>
      <c r="J15" s="10"/>
      <c r="K15" s="10">
        <f t="shared" si="2"/>
        <v>0</v>
      </c>
      <c r="L15" s="10">
        <f t="shared" si="3"/>
        <v>0</v>
      </c>
    </row>
    <row r="16" spans="1:12" ht="28.8" x14ac:dyDescent="0.3">
      <c r="A16" s="2">
        <v>5</v>
      </c>
      <c r="B16" s="14" t="s">
        <v>472</v>
      </c>
      <c r="C16" s="2" t="s">
        <v>72</v>
      </c>
      <c r="D16" s="32"/>
      <c r="E16" s="15">
        <v>3.5</v>
      </c>
      <c r="F16" s="10"/>
      <c r="G16" s="10">
        <f t="shared" si="0"/>
        <v>0</v>
      </c>
      <c r="H16" s="10"/>
      <c r="I16" s="10">
        <f t="shared" si="1"/>
        <v>0</v>
      </c>
      <c r="J16" s="10"/>
      <c r="K16" s="10">
        <f t="shared" si="2"/>
        <v>0</v>
      </c>
      <c r="L16" s="10">
        <f t="shared" si="3"/>
        <v>0</v>
      </c>
    </row>
    <row r="17" spans="1:14" x14ac:dyDescent="0.3">
      <c r="A17" s="2"/>
      <c r="B17" s="17" t="s">
        <v>382</v>
      </c>
      <c r="C17" s="18" t="s">
        <v>491</v>
      </c>
      <c r="D17" s="27"/>
      <c r="E17" s="19">
        <v>21</v>
      </c>
      <c r="F17" s="10"/>
      <c r="G17" s="10">
        <f t="shared" si="0"/>
        <v>0</v>
      </c>
      <c r="H17" s="10"/>
      <c r="I17" s="10">
        <f t="shared" si="1"/>
        <v>0</v>
      </c>
      <c r="J17" s="10"/>
      <c r="K17" s="10">
        <f t="shared" si="2"/>
        <v>0</v>
      </c>
      <c r="L17" s="10">
        <f t="shared" si="3"/>
        <v>0</v>
      </c>
    </row>
    <row r="18" spans="1:14" x14ac:dyDescent="0.3">
      <c r="A18" s="2"/>
      <c r="B18" s="17" t="s">
        <v>384</v>
      </c>
      <c r="C18" s="18" t="s">
        <v>18</v>
      </c>
      <c r="D18" s="19"/>
      <c r="E18" s="19">
        <v>2.2000000000000002</v>
      </c>
      <c r="F18" s="10"/>
      <c r="G18" s="10">
        <f t="shared" si="0"/>
        <v>0</v>
      </c>
      <c r="H18" s="10"/>
      <c r="I18" s="10">
        <f t="shared" si="1"/>
        <v>0</v>
      </c>
      <c r="J18" s="10"/>
      <c r="K18" s="10">
        <f t="shared" si="2"/>
        <v>0</v>
      </c>
      <c r="L18" s="10">
        <f t="shared" si="3"/>
        <v>0</v>
      </c>
    </row>
    <row r="19" spans="1:14" x14ac:dyDescent="0.3">
      <c r="A19" s="2"/>
      <c r="B19" s="17" t="s">
        <v>473</v>
      </c>
      <c r="C19" s="18" t="s">
        <v>491</v>
      </c>
      <c r="D19" s="19"/>
      <c r="E19" s="19">
        <v>21</v>
      </c>
      <c r="F19" s="10"/>
      <c r="G19" s="10">
        <f t="shared" si="0"/>
        <v>0</v>
      </c>
      <c r="H19" s="10"/>
      <c r="I19" s="10">
        <f t="shared" si="1"/>
        <v>0</v>
      </c>
      <c r="J19" s="10"/>
      <c r="K19" s="10">
        <f t="shared" si="2"/>
        <v>0</v>
      </c>
      <c r="L19" s="10">
        <f t="shared" si="3"/>
        <v>0</v>
      </c>
    </row>
    <row r="20" spans="1:14" ht="28.8" x14ac:dyDescent="0.3">
      <c r="A20" s="2">
        <v>6</v>
      </c>
      <c r="B20" s="14" t="s">
        <v>474</v>
      </c>
      <c r="C20" s="2" t="s">
        <v>72</v>
      </c>
      <c r="D20" s="15"/>
      <c r="E20" s="15">
        <v>8</v>
      </c>
      <c r="F20" s="10"/>
      <c r="G20" s="10">
        <f t="shared" si="0"/>
        <v>0</v>
      </c>
      <c r="H20" s="10"/>
      <c r="I20" s="10">
        <f t="shared" si="1"/>
        <v>0</v>
      </c>
      <c r="J20" s="10"/>
      <c r="K20" s="10">
        <f t="shared" si="2"/>
        <v>0</v>
      </c>
      <c r="L20" s="10">
        <f t="shared" si="3"/>
        <v>0</v>
      </c>
    </row>
    <row r="21" spans="1:14" x14ac:dyDescent="0.3">
      <c r="A21" s="2"/>
      <c r="B21" s="17" t="s">
        <v>382</v>
      </c>
      <c r="C21" s="18" t="s">
        <v>491</v>
      </c>
      <c r="D21" s="19"/>
      <c r="E21" s="19">
        <v>48</v>
      </c>
      <c r="F21" s="10"/>
      <c r="G21" s="10">
        <f t="shared" si="0"/>
        <v>0</v>
      </c>
      <c r="H21" s="10"/>
      <c r="I21" s="10">
        <f t="shared" si="1"/>
        <v>0</v>
      </c>
      <c r="J21" s="10"/>
      <c r="K21" s="10">
        <f t="shared" si="2"/>
        <v>0</v>
      </c>
      <c r="L21" s="10">
        <f t="shared" si="3"/>
        <v>0</v>
      </c>
    </row>
    <row r="22" spans="1:14" x14ac:dyDescent="0.3">
      <c r="A22" s="2"/>
      <c r="B22" s="17" t="s">
        <v>384</v>
      </c>
      <c r="C22" s="18" t="s">
        <v>18</v>
      </c>
      <c r="D22" s="19"/>
      <c r="E22" s="19">
        <v>5</v>
      </c>
      <c r="F22" s="10"/>
      <c r="G22" s="10">
        <f t="shared" si="0"/>
        <v>0</v>
      </c>
      <c r="H22" s="10"/>
      <c r="I22" s="10">
        <f t="shared" si="1"/>
        <v>0</v>
      </c>
      <c r="J22" s="10"/>
      <c r="K22" s="10">
        <f t="shared" si="2"/>
        <v>0</v>
      </c>
      <c r="L22" s="10">
        <f t="shared" si="3"/>
        <v>0</v>
      </c>
    </row>
    <row r="23" spans="1:14" x14ac:dyDescent="0.3">
      <c r="A23" s="2"/>
      <c r="B23" s="17" t="s">
        <v>475</v>
      </c>
      <c r="C23" s="18" t="s">
        <v>491</v>
      </c>
      <c r="D23" s="19"/>
      <c r="E23" s="19">
        <v>48</v>
      </c>
      <c r="F23" s="10"/>
      <c r="G23" s="10">
        <f t="shared" si="0"/>
        <v>0</v>
      </c>
      <c r="H23" s="10"/>
      <c r="I23" s="10">
        <f t="shared" si="1"/>
        <v>0</v>
      </c>
      <c r="J23" s="10"/>
      <c r="K23" s="10">
        <f t="shared" si="2"/>
        <v>0</v>
      </c>
      <c r="L23" s="10">
        <f t="shared" si="3"/>
        <v>0</v>
      </c>
    </row>
    <row r="24" spans="1:14" ht="28.8" x14ac:dyDescent="0.3">
      <c r="A24" s="2">
        <v>7</v>
      </c>
      <c r="B24" s="14" t="s">
        <v>476</v>
      </c>
      <c r="C24" s="2" t="s">
        <v>72</v>
      </c>
      <c r="D24" s="15"/>
      <c r="E24" s="15">
        <v>12.33</v>
      </c>
      <c r="F24" s="10"/>
      <c r="G24" s="10">
        <f t="shared" si="0"/>
        <v>0</v>
      </c>
      <c r="H24" s="10"/>
      <c r="I24" s="10">
        <f t="shared" si="1"/>
        <v>0</v>
      </c>
      <c r="J24" s="10"/>
      <c r="K24" s="10">
        <f t="shared" si="2"/>
        <v>0</v>
      </c>
      <c r="L24" s="10">
        <f t="shared" si="3"/>
        <v>0</v>
      </c>
    </row>
    <row r="25" spans="1:14" x14ac:dyDescent="0.3">
      <c r="A25" s="2"/>
      <c r="B25" s="17" t="s">
        <v>382</v>
      </c>
      <c r="C25" s="18" t="s">
        <v>491</v>
      </c>
      <c r="D25" s="19"/>
      <c r="E25" s="19">
        <v>78</v>
      </c>
      <c r="F25" s="10"/>
      <c r="G25" s="10">
        <f t="shared" si="0"/>
        <v>0</v>
      </c>
      <c r="H25" s="10"/>
      <c r="I25" s="10">
        <f t="shared" si="1"/>
        <v>0</v>
      </c>
      <c r="J25" s="10"/>
      <c r="K25" s="10">
        <f t="shared" si="2"/>
        <v>0</v>
      </c>
      <c r="L25" s="10">
        <f t="shared" si="3"/>
        <v>0</v>
      </c>
    </row>
    <row r="26" spans="1:14" x14ac:dyDescent="0.3">
      <c r="A26" s="2"/>
      <c r="B26" s="17" t="s">
        <v>384</v>
      </c>
      <c r="C26" s="18" t="s">
        <v>18</v>
      </c>
      <c r="D26" s="19"/>
      <c r="E26" s="19">
        <v>8.1</v>
      </c>
      <c r="F26" s="10"/>
      <c r="G26" s="10">
        <f t="shared" si="0"/>
        <v>0</v>
      </c>
      <c r="H26" s="10"/>
      <c r="I26" s="10">
        <f t="shared" si="1"/>
        <v>0</v>
      </c>
      <c r="J26" s="10"/>
      <c r="K26" s="10">
        <f t="shared" si="2"/>
        <v>0</v>
      </c>
      <c r="L26" s="10">
        <f t="shared" si="3"/>
        <v>0</v>
      </c>
    </row>
    <row r="27" spans="1:14" x14ac:dyDescent="0.3">
      <c r="A27" s="2"/>
      <c r="B27" s="17" t="s">
        <v>477</v>
      </c>
      <c r="C27" s="18" t="s">
        <v>491</v>
      </c>
      <c r="D27" s="19"/>
      <c r="E27" s="19">
        <v>78</v>
      </c>
      <c r="F27" s="10"/>
      <c r="G27" s="10">
        <f t="shared" si="0"/>
        <v>0</v>
      </c>
      <c r="H27" s="10"/>
      <c r="I27" s="10">
        <f t="shared" si="1"/>
        <v>0</v>
      </c>
      <c r="J27" s="10"/>
      <c r="K27" s="10">
        <f t="shared" si="2"/>
        <v>0</v>
      </c>
      <c r="L27" s="10">
        <f t="shared" si="3"/>
        <v>0</v>
      </c>
    </row>
    <row r="28" spans="1:14" ht="28.8" x14ac:dyDescent="0.3">
      <c r="A28" s="2">
        <v>8</v>
      </c>
      <c r="B28" s="14" t="s">
        <v>478</v>
      </c>
      <c r="C28" s="2" t="s">
        <v>72</v>
      </c>
      <c r="D28" s="15"/>
      <c r="E28" s="15">
        <v>3</v>
      </c>
      <c r="F28" s="10"/>
      <c r="G28" s="10">
        <f t="shared" si="0"/>
        <v>0</v>
      </c>
      <c r="H28" s="10"/>
      <c r="I28" s="10">
        <f t="shared" si="1"/>
        <v>0</v>
      </c>
      <c r="J28" s="10"/>
      <c r="K28" s="10">
        <f t="shared" si="2"/>
        <v>0</v>
      </c>
      <c r="L28" s="10">
        <f t="shared" si="3"/>
        <v>0</v>
      </c>
    </row>
    <row r="29" spans="1:14" x14ac:dyDescent="0.3">
      <c r="A29" s="2"/>
      <c r="B29" s="17" t="s">
        <v>382</v>
      </c>
      <c r="C29" s="18" t="s">
        <v>491</v>
      </c>
      <c r="D29" s="19"/>
      <c r="E29" s="19">
        <v>18</v>
      </c>
      <c r="F29" s="10"/>
      <c r="G29" s="10">
        <f t="shared" si="0"/>
        <v>0</v>
      </c>
      <c r="H29" s="10"/>
      <c r="I29" s="10">
        <f t="shared" si="1"/>
        <v>0</v>
      </c>
      <c r="J29" s="10"/>
      <c r="K29" s="10">
        <f t="shared" si="2"/>
        <v>0</v>
      </c>
      <c r="L29" s="10">
        <f t="shared" si="3"/>
        <v>0</v>
      </c>
    </row>
    <row r="30" spans="1:14" x14ac:dyDescent="0.3">
      <c r="A30" s="2"/>
      <c r="B30" s="17" t="s">
        <v>384</v>
      </c>
      <c r="C30" s="18" t="s">
        <v>18</v>
      </c>
      <c r="D30" s="19"/>
      <c r="E30" s="19">
        <v>2.2000000000000002</v>
      </c>
      <c r="F30" s="10"/>
      <c r="G30" s="10">
        <f t="shared" si="0"/>
        <v>0</v>
      </c>
      <c r="H30" s="10"/>
      <c r="I30" s="10">
        <f t="shared" si="1"/>
        <v>0</v>
      </c>
      <c r="J30" s="10"/>
      <c r="K30" s="10">
        <f t="shared" si="2"/>
        <v>0</v>
      </c>
      <c r="L30" s="10">
        <f t="shared" si="3"/>
        <v>0</v>
      </c>
    </row>
    <row r="31" spans="1:14" x14ac:dyDescent="0.3">
      <c r="A31" s="2"/>
      <c r="B31" s="17" t="s">
        <v>479</v>
      </c>
      <c r="C31" s="18" t="s">
        <v>491</v>
      </c>
      <c r="D31" s="27"/>
      <c r="E31" s="19">
        <v>18</v>
      </c>
      <c r="F31" s="10"/>
      <c r="G31" s="10">
        <f t="shared" si="0"/>
        <v>0</v>
      </c>
      <c r="H31" s="10"/>
      <c r="I31" s="10">
        <f t="shared" si="1"/>
        <v>0</v>
      </c>
      <c r="J31" s="10"/>
      <c r="K31" s="10">
        <f t="shared" si="2"/>
        <v>0</v>
      </c>
      <c r="L31" s="10">
        <f t="shared" si="3"/>
        <v>0</v>
      </c>
    </row>
    <row r="32" spans="1:14" ht="57.6" x14ac:dyDescent="0.3">
      <c r="A32" s="2">
        <v>9</v>
      </c>
      <c r="B32" s="14" t="s">
        <v>480</v>
      </c>
      <c r="C32" s="2" t="s">
        <v>376</v>
      </c>
      <c r="D32" s="15"/>
      <c r="E32" s="15">
        <v>12</v>
      </c>
      <c r="F32" s="10"/>
      <c r="G32" s="10">
        <f t="shared" si="0"/>
        <v>0</v>
      </c>
      <c r="H32" s="10"/>
      <c r="I32" s="10">
        <f t="shared" si="1"/>
        <v>0</v>
      </c>
      <c r="J32" s="10"/>
      <c r="K32" s="10">
        <f t="shared" si="2"/>
        <v>0</v>
      </c>
      <c r="L32" s="10">
        <f t="shared" si="3"/>
        <v>0</v>
      </c>
      <c r="N32" s="9"/>
    </row>
    <row r="33" spans="1:16" ht="28.8" x14ac:dyDescent="0.3">
      <c r="A33" s="2">
        <v>10</v>
      </c>
      <c r="B33" s="14" t="s">
        <v>481</v>
      </c>
      <c r="C33" s="2" t="s">
        <v>376</v>
      </c>
      <c r="D33" s="15"/>
      <c r="E33" s="15">
        <v>132</v>
      </c>
      <c r="F33" s="10"/>
      <c r="G33" s="10">
        <f t="shared" si="0"/>
        <v>0</v>
      </c>
      <c r="H33" s="10"/>
      <c r="I33" s="10">
        <f t="shared" si="1"/>
        <v>0</v>
      </c>
      <c r="J33" s="10"/>
      <c r="K33" s="10">
        <f t="shared" si="2"/>
        <v>0</v>
      </c>
      <c r="L33" s="10">
        <f t="shared" si="3"/>
        <v>0</v>
      </c>
    </row>
    <row r="34" spans="1:16" ht="28.8" x14ac:dyDescent="0.3">
      <c r="A34" s="2">
        <v>11</v>
      </c>
      <c r="B34" s="14" t="s">
        <v>482</v>
      </c>
      <c r="C34" s="2" t="s">
        <v>12</v>
      </c>
      <c r="D34" s="15"/>
      <c r="E34" s="15">
        <v>132</v>
      </c>
      <c r="F34" s="10"/>
      <c r="G34" s="10">
        <f t="shared" si="0"/>
        <v>0</v>
      </c>
      <c r="H34" s="10"/>
      <c r="I34" s="10">
        <f t="shared" si="1"/>
        <v>0</v>
      </c>
      <c r="J34" s="10"/>
      <c r="K34" s="10">
        <f t="shared" si="2"/>
        <v>0</v>
      </c>
      <c r="L34" s="10">
        <f t="shared" si="3"/>
        <v>0</v>
      </c>
      <c r="N34" s="9"/>
      <c r="P34" s="9"/>
    </row>
    <row r="35" spans="1:16" x14ac:dyDescent="0.3">
      <c r="A35" s="2"/>
      <c r="B35" s="17" t="s">
        <v>382</v>
      </c>
      <c r="C35" s="18" t="s">
        <v>12</v>
      </c>
      <c r="D35" s="19"/>
      <c r="E35" s="19">
        <v>132</v>
      </c>
      <c r="F35" s="10"/>
      <c r="G35" s="10">
        <f t="shared" si="0"/>
        <v>0</v>
      </c>
      <c r="H35" s="10"/>
      <c r="I35" s="10">
        <f t="shared" si="1"/>
        <v>0</v>
      </c>
      <c r="J35" s="10"/>
      <c r="K35" s="10">
        <f t="shared" si="2"/>
        <v>0</v>
      </c>
      <c r="L35" s="10">
        <f t="shared" si="3"/>
        <v>0</v>
      </c>
    </row>
    <row r="36" spans="1:16" x14ac:dyDescent="0.3">
      <c r="A36" s="2"/>
      <c r="B36" s="17" t="s">
        <v>483</v>
      </c>
      <c r="C36" s="18" t="s">
        <v>72</v>
      </c>
      <c r="D36" s="19"/>
      <c r="E36" s="19">
        <v>66</v>
      </c>
      <c r="F36" s="10"/>
      <c r="G36" s="10">
        <f t="shared" si="0"/>
        <v>0</v>
      </c>
      <c r="H36" s="10"/>
      <c r="I36" s="10">
        <f t="shared" si="1"/>
        <v>0</v>
      </c>
      <c r="J36" s="10"/>
      <c r="K36" s="10">
        <f t="shared" si="2"/>
        <v>0</v>
      </c>
      <c r="L36" s="10">
        <f t="shared" si="3"/>
        <v>0</v>
      </c>
    </row>
    <row r="37" spans="1:16" x14ac:dyDescent="0.3">
      <c r="A37" s="2"/>
      <c r="B37" s="17" t="s">
        <v>484</v>
      </c>
      <c r="C37" s="18" t="s">
        <v>12</v>
      </c>
      <c r="D37" s="19"/>
      <c r="E37" s="19">
        <v>132</v>
      </c>
      <c r="F37" s="10"/>
      <c r="G37" s="10">
        <f t="shared" si="0"/>
        <v>0</v>
      </c>
      <c r="H37" s="10"/>
      <c r="I37" s="10">
        <f t="shared" si="1"/>
        <v>0</v>
      </c>
      <c r="J37" s="10"/>
      <c r="K37" s="10">
        <f t="shared" si="2"/>
        <v>0</v>
      </c>
      <c r="L37" s="10">
        <f t="shared" si="3"/>
        <v>0</v>
      </c>
    </row>
    <row r="38" spans="1:16" x14ac:dyDescent="0.3">
      <c r="A38" s="2">
        <v>12</v>
      </c>
      <c r="B38" s="14" t="s">
        <v>485</v>
      </c>
      <c r="C38" s="2" t="s">
        <v>72</v>
      </c>
      <c r="D38" s="15"/>
      <c r="E38" s="15">
        <v>170</v>
      </c>
      <c r="F38" s="10"/>
      <c r="G38" s="10">
        <f t="shared" si="0"/>
        <v>0</v>
      </c>
      <c r="H38" s="10"/>
      <c r="I38" s="10">
        <f t="shared" si="1"/>
        <v>0</v>
      </c>
      <c r="J38" s="10"/>
      <c r="K38" s="10">
        <f t="shared" si="2"/>
        <v>0</v>
      </c>
      <c r="L38" s="10">
        <f t="shared" si="3"/>
        <v>0</v>
      </c>
    </row>
    <row r="39" spans="1:16" ht="28.8" x14ac:dyDescent="0.3">
      <c r="A39" s="2">
        <v>13</v>
      </c>
      <c r="B39" s="14" t="s">
        <v>486</v>
      </c>
      <c r="C39" s="2" t="s">
        <v>72</v>
      </c>
      <c r="D39" s="15"/>
      <c r="E39" s="15">
        <v>5</v>
      </c>
      <c r="F39" s="10"/>
      <c r="G39" s="10">
        <f t="shared" si="0"/>
        <v>0</v>
      </c>
      <c r="H39" s="10"/>
      <c r="I39" s="10">
        <f t="shared" si="1"/>
        <v>0</v>
      </c>
      <c r="J39" s="10"/>
      <c r="K39" s="10">
        <f t="shared" si="2"/>
        <v>0</v>
      </c>
      <c r="L39" s="10">
        <f t="shared" si="3"/>
        <v>0</v>
      </c>
    </row>
    <row r="40" spans="1:16" x14ac:dyDescent="0.3">
      <c r="A40" s="2"/>
      <c r="B40" s="17" t="s">
        <v>382</v>
      </c>
      <c r="C40" s="18" t="s">
        <v>72</v>
      </c>
      <c r="D40" s="19"/>
      <c r="E40" s="19">
        <v>5</v>
      </c>
      <c r="F40" s="10"/>
      <c r="G40" s="10">
        <f t="shared" si="0"/>
        <v>0</v>
      </c>
      <c r="H40" s="10"/>
      <c r="I40" s="10">
        <f t="shared" si="1"/>
        <v>0</v>
      </c>
      <c r="J40" s="10"/>
      <c r="K40" s="10">
        <f t="shared" si="2"/>
        <v>0</v>
      </c>
      <c r="L40" s="10">
        <f t="shared" si="3"/>
        <v>0</v>
      </c>
    </row>
    <row r="41" spans="1:16" x14ac:dyDescent="0.3">
      <c r="A41" s="2"/>
      <c r="B41" s="17" t="s">
        <v>386</v>
      </c>
      <c r="C41" s="18" t="s">
        <v>464</v>
      </c>
      <c r="D41" s="19"/>
      <c r="E41" s="19">
        <v>0.05</v>
      </c>
      <c r="F41" s="10"/>
      <c r="G41" s="10">
        <f t="shared" si="0"/>
        <v>0</v>
      </c>
      <c r="H41" s="10"/>
      <c r="I41" s="10">
        <f t="shared" si="1"/>
        <v>0</v>
      </c>
      <c r="J41" s="10"/>
      <c r="K41" s="10">
        <f t="shared" si="2"/>
        <v>0</v>
      </c>
      <c r="L41" s="10">
        <f t="shared" si="3"/>
        <v>0</v>
      </c>
    </row>
    <row r="42" spans="1:16" x14ac:dyDescent="0.3">
      <c r="A42" s="2"/>
      <c r="B42" s="17" t="s">
        <v>387</v>
      </c>
      <c r="C42" s="18" t="s">
        <v>18</v>
      </c>
      <c r="D42" s="19"/>
      <c r="E42" s="19">
        <v>3.07</v>
      </c>
      <c r="F42" s="10"/>
      <c r="G42" s="10">
        <f t="shared" si="0"/>
        <v>0</v>
      </c>
      <c r="H42" s="10"/>
      <c r="I42" s="10">
        <f t="shared" si="1"/>
        <v>0</v>
      </c>
      <c r="J42" s="10"/>
      <c r="K42" s="10">
        <f t="shared" si="2"/>
        <v>0</v>
      </c>
      <c r="L42" s="10">
        <f t="shared" si="3"/>
        <v>0</v>
      </c>
    </row>
    <row r="43" spans="1:16" x14ac:dyDescent="0.3">
      <c r="A43" s="2"/>
      <c r="B43" s="17" t="s">
        <v>388</v>
      </c>
      <c r="C43" s="18" t="s">
        <v>492</v>
      </c>
      <c r="D43" s="19"/>
      <c r="E43" s="19">
        <v>5</v>
      </c>
      <c r="F43" s="10"/>
      <c r="G43" s="10">
        <f t="shared" si="0"/>
        <v>0</v>
      </c>
      <c r="H43" s="10"/>
      <c r="I43" s="10">
        <f t="shared" si="1"/>
        <v>0</v>
      </c>
      <c r="J43" s="10"/>
      <c r="K43" s="10">
        <f t="shared" si="2"/>
        <v>0</v>
      </c>
      <c r="L43" s="10">
        <f t="shared" si="3"/>
        <v>0</v>
      </c>
    </row>
    <row r="44" spans="1:16" x14ac:dyDescent="0.3">
      <c r="A44" s="2"/>
      <c r="B44" s="17" t="s">
        <v>389</v>
      </c>
      <c r="C44" s="18" t="s">
        <v>72</v>
      </c>
      <c r="D44" s="19"/>
      <c r="E44" s="19">
        <v>5</v>
      </c>
      <c r="F44" s="10"/>
      <c r="G44" s="10">
        <f t="shared" si="0"/>
        <v>0</v>
      </c>
      <c r="H44" s="10"/>
      <c r="I44" s="10">
        <f t="shared" si="1"/>
        <v>0</v>
      </c>
      <c r="J44" s="10"/>
      <c r="K44" s="10">
        <f t="shared" si="2"/>
        <v>0</v>
      </c>
      <c r="L44" s="10">
        <f t="shared" si="3"/>
        <v>0</v>
      </c>
    </row>
    <row r="45" spans="1:16" x14ac:dyDescent="0.3">
      <c r="A45" s="2"/>
      <c r="B45" s="17" t="s">
        <v>390</v>
      </c>
      <c r="C45" s="18" t="s">
        <v>72</v>
      </c>
      <c r="D45" s="19"/>
      <c r="E45" s="19">
        <v>5</v>
      </c>
      <c r="F45" s="10"/>
      <c r="G45" s="10">
        <f t="shared" si="0"/>
        <v>0</v>
      </c>
      <c r="H45" s="10"/>
      <c r="I45" s="10">
        <f t="shared" si="1"/>
        <v>0</v>
      </c>
      <c r="J45" s="10"/>
      <c r="K45" s="10">
        <f t="shared" si="2"/>
        <v>0</v>
      </c>
      <c r="L45" s="10">
        <f t="shared" si="3"/>
        <v>0</v>
      </c>
    </row>
    <row r="46" spans="1:16" x14ac:dyDescent="0.3">
      <c r="A46" s="2"/>
      <c r="B46" s="17" t="s">
        <v>391</v>
      </c>
      <c r="C46" s="18" t="s">
        <v>72</v>
      </c>
      <c r="D46" s="19"/>
      <c r="E46" s="19">
        <v>5</v>
      </c>
      <c r="F46" s="10"/>
      <c r="G46" s="10">
        <f t="shared" si="0"/>
        <v>0</v>
      </c>
      <c r="H46" s="10"/>
      <c r="I46" s="10">
        <f t="shared" si="1"/>
        <v>0</v>
      </c>
      <c r="J46" s="10"/>
      <c r="K46" s="10">
        <f t="shared" si="2"/>
        <v>0</v>
      </c>
      <c r="L46" s="10">
        <f t="shared" si="3"/>
        <v>0</v>
      </c>
    </row>
    <row r="47" spans="1:16" ht="28.8" x14ac:dyDescent="0.3">
      <c r="A47" s="2">
        <v>14</v>
      </c>
      <c r="B47" s="14" t="s">
        <v>487</v>
      </c>
      <c r="C47" s="2" t="s">
        <v>72</v>
      </c>
      <c r="D47" s="15"/>
      <c r="E47" s="15">
        <v>3</v>
      </c>
      <c r="F47" s="10"/>
      <c r="G47" s="10">
        <f t="shared" si="0"/>
        <v>0</v>
      </c>
      <c r="H47" s="10"/>
      <c r="I47" s="10">
        <f t="shared" si="1"/>
        <v>0</v>
      </c>
      <c r="J47" s="10"/>
      <c r="K47" s="10">
        <f t="shared" si="2"/>
        <v>0</v>
      </c>
      <c r="L47" s="10">
        <f t="shared" si="3"/>
        <v>0</v>
      </c>
    </row>
    <row r="48" spans="1:16" x14ac:dyDescent="0.3">
      <c r="A48" s="2"/>
      <c r="B48" s="17" t="s">
        <v>382</v>
      </c>
      <c r="C48" s="18" t="s">
        <v>72</v>
      </c>
      <c r="D48" s="19"/>
      <c r="E48" s="19">
        <v>3</v>
      </c>
      <c r="F48" s="10"/>
      <c r="G48" s="10">
        <f t="shared" si="0"/>
        <v>0</v>
      </c>
      <c r="H48" s="10"/>
      <c r="I48" s="10">
        <f t="shared" si="1"/>
        <v>0</v>
      </c>
      <c r="J48" s="10"/>
      <c r="K48" s="10">
        <f t="shared" si="2"/>
        <v>0</v>
      </c>
      <c r="L48" s="10">
        <f t="shared" si="3"/>
        <v>0</v>
      </c>
    </row>
    <row r="49" spans="1:14" x14ac:dyDescent="0.3">
      <c r="A49" s="2"/>
      <c r="B49" s="17" t="s">
        <v>386</v>
      </c>
      <c r="C49" s="18" t="s">
        <v>464</v>
      </c>
      <c r="D49" s="19"/>
      <c r="E49" s="19">
        <v>0.03</v>
      </c>
      <c r="F49" s="10"/>
      <c r="G49" s="10">
        <f t="shared" si="0"/>
        <v>0</v>
      </c>
      <c r="H49" s="10"/>
      <c r="I49" s="10">
        <f t="shared" si="1"/>
        <v>0</v>
      </c>
      <c r="J49" s="10"/>
      <c r="K49" s="10">
        <f t="shared" si="2"/>
        <v>0</v>
      </c>
      <c r="L49" s="10">
        <f t="shared" si="3"/>
        <v>0</v>
      </c>
    </row>
    <row r="50" spans="1:14" x14ac:dyDescent="0.3">
      <c r="A50" s="2"/>
      <c r="B50" s="17" t="s">
        <v>387</v>
      </c>
      <c r="C50" s="18" t="s">
        <v>18</v>
      </c>
      <c r="D50" s="19"/>
      <c r="E50" s="19">
        <v>0.45</v>
      </c>
      <c r="F50" s="10"/>
      <c r="G50" s="10">
        <f t="shared" si="0"/>
        <v>0</v>
      </c>
      <c r="H50" s="10"/>
      <c r="I50" s="10">
        <f t="shared" si="1"/>
        <v>0</v>
      </c>
      <c r="J50" s="10"/>
      <c r="K50" s="10">
        <f t="shared" si="2"/>
        <v>0</v>
      </c>
      <c r="L50" s="10">
        <f t="shared" si="3"/>
        <v>0</v>
      </c>
    </row>
    <row r="51" spans="1:14" x14ac:dyDescent="0.3">
      <c r="A51" s="2"/>
      <c r="B51" s="17" t="s">
        <v>388</v>
      </c>
      <c r="C51" s="18" t="s">
        <v>492</v>
      </c>
      <c r="D51" s="19"/>
      <c r="E51" s="19">
        <v>3</v>
      </c>
      <c r="F51" s="10"/>
      <c r="G51" s="10">
        <f t="shared" si="0"/>
        <v>0</v>
      </c>
      <c r="H51" s="10"/>
      <c r="I51" s="10">
        <f t="shared" si="1"/>
        <v>0</v>
      </c>
      <c r="J51" s="10"/>
      <c r="K51" s="10">
        <f t="shared" si="2"/>
        <v>0</v>
      </c>
      <c r="L51" s="10">
        <f t="shared" si="3"/>
        <v>0</v>
      </c>
    </row>
    <row r="52" spans="1:14" x14ac:dyDescent="0.3">
      <c r="A52" s="2"/>
      <c r="B52" s="17" t="s">
        <v>393</v>
      </c>
      <c r="C52" s="18" t="s">
        <v>72</v>
      </c>
      <c r="D52" s="19"/>
      <c r="E52" s="19">
        <v>3</v>
      </c>
      <c r="F52" s="10"/>
      <c r="G52" s="10">
        <f t="shared" si="0"/>
        <v>0</v>
      </c>
      <c r="H52" s="10"/>
      <c r="I52" s="10">
        <f t="shared" si="1"/>
        <v>0</v>
      </c>
      <c r="J52" s="10"/>
      <c r="K52" s="10">
        <f t="shared" si="2"/>
        <v>0</v>
      </c>
      <c r="L52" s="10">
        <f t="shared" si="3"/>
        <v>0</v>
      </c>
    </row>
    <row r="53" spans="1:14" x14ac:dyDescent="0.3">
      <c r="A53" s="2"/>
      <c r="B53" s="17" t="s">
        <v>390</v>
      </c>
      <c r="C53" s="18" t="s">
        <v>72</v>
      </c>
      <c r="D53" s="19"/>
      <c r="E53" s="19">
        <v>3</v>
      </c>
      <c r="F53" s="10"/>
      <c r="G53" s="10">
        <f t="shared" si="0"/>
        <v>0</v>
      </c>
      <c r="H53" s="10"/>
      <c r="I53" s="10">
        <f t="shared" si="1"/>
        <v>0</v>
      </c>
      <c r="J53" s="10"/>
      <c r="K53" s="10">
        <f t="shared" si="2"/>
        <v>0</v>
      </c>
      <c r="L53" s="10">
        <f t="shared" si="3"/>
        <v>0</v>
      </c>
    </row>
    <row r="54" spans="1:14" x14ac:dyDescent="0.3">
      <c r="A54" s="2"/>
      <c r="B54" s="17" t="s">
        <v>391</v>
      </c>
      <c r="C54" s="18" t="s">
        <v>72</v>
      </c>
      <c r="D54" s="19"/>
      <c r="E54" s="19">
        <v>3</v>
      </c>
      <c r="F54" s="10"/>
      <c r="G54" s="10">
        <f t="shared" si="0"/>
        <v>0</v>
      </c>
      <c r="H54" s="10"/>
      <c r="I54" s="10">
        <f t="shared" si="1"/>
        <v>0</v>
      </c>
      <c r="J54" s="10"/>
      <c r="K54" s="10">
        <f t="shared" si="2"/>
        <v>0</v>
      </c>
      <c r="L54" s="10">
        <f t="shared" si="3"/>
        <v>0</v>
      </c>
    </row>
    <row r="55" spans="1:14" ht="28.8" x14ac:dyDescent="0.3">
      <c r="A55" s="2">
        <v>15</v>
      </c>
      <c r="B55" s="14" t="s">
        <v>488</v>
      </c>
      <c r="C55" s="2" t="s">
        <v>72</v>
      </c>
      <c r="D55" s="15"/>
      <c r="E55" s="15">
        <v>1</v>
      </c>
      <c r="F55" s="10"/>
      <c r="G55" s="10">
        <f t="shared" si="0"/>
        <v>0</v>
      </c>
      <c r="H55" s="10"/>
      <c r="I55" s="10">
        <f t="shared" si="1"/>
        <v>0</v>
      </c>
      <c r="J55" s="10"/>
      <c r="K55" s="10">
        <f t="shared" si="2"/>
        <v>0</v>
      </c>
      <c r="L55" s="10">
        <f t="shared" si="3"/>
        <v>0</v>
      </c>
    </row>
    <row r="56" spans="1:14" x14ac:dyDescent="0.3">
      <c r="A56" s="2"/>
      <c r="B56" s="17" t="s">
        <v>382</v>
      </c>
      <c r="C56" s="18" t="s">
        <v>72</v>
      </c>
      <c r="D56" s="19"/>
      <c r="E56" s="19">
        <v>1</v>
      </c>
      <c r="F56" s="10"/>
      <c r="G56" s="10">
        <f t="shared" si="0"/>
        <v>0</v>
      </c>
      <c r="H56" s="10"/>
      <c r="I56" s="10">
        <f t="shared" si="1"/>
        <v>0</v>
      </c>
      <c r="J56" s="10"/>
      <c r="K56" s="10">
        <f t="shared" si="2"/>
        <v>0</v>
      </c>
      <c r="L56" s="10">
        <f t="shared" si="3"/>
        <v>0</v>
      </c>
    </row>
    <row r="57" spans="1:14" x14ac:dyDescent="0.3">
      <c r="A57" s="2"/>
      <c r="B57" s="17" t="s">
        <v>386</v>
      </c>
      <c r="C57" s="18" t="s">
        <v>464</v>
      </c>
      <c r="D57" s="19"/>
      <c r="E57" s="19">
        <v>0.01</v>
      </c>
      <c r="F57" s="10"/>
      <c r="G57" s="10">
        <f t="shared" si="0"/>
        <v>0</v>
      </c>
      <c r="H57" s="10"/>
      <c r="I57" s="10">
        <f t="shared" si="1"/>
        <v>0</v>
      </c>
      <c r="J57" s="10"/>
      <c r="K57" s="10">
        <f t="shared" si="2"/>
        <v>0</v>
      </c>
      <c r="L57" s="10">
        <f t="shared" si="3"/>
        <v>0</v>
      </c>
    </row>
    <row r="58" spans="1:14" x14ac:dyDescent="0.3">
      <c r="A58" s="2"/>
      <c r="B58" s="17" t="s">
        <v>395</v>
      </c>
      <c r="C58" s="18" t="s">
        <v>18</v>
      </c>
      <c r="D58" s="19"/>
      <c r="E58" s="19">
        <v>0.15</v>
      </c>
      <c r="F58" s="10"/>
      <c r="G58" s="10">
        <f t="shared" si="0"/>
        <v>0</v>
      </c>
      <c r="H58" s="10"/>
      <c r="I58" s="10">
        <f t="shared" si="1"/>
        <v>0</v>
      </c>
      <c r="J58" s="10"/>
      <c r="K58" s="10">
        <f t="shared" si="2"/>
        <v>0</v>
      </c>
      <c r="L58" s="10">
        <f t="shared" si="3"/>
        <v>0</v>
      </c>
    </row>
    <row r="59" spans="1:14" x14ac:dyDescent="0.3">
      <c r="A59" s="2"/>
      <c r="B59" s="17" t="s">
        <v>388</v>
      </c>
      <c r="C59" s="18" t="s">
        <v>492</v>
      </c>
      <c r="D59" s="19"/>
      <c r="E59" s="19">
        <v>1</v>
      </c>
      <c r="F59" s="10"/>
      <c r="G59" s="10">
        <f t="shared" si="0"/>
        <v>0</v>
      </c>
      <c r="H59" s="10"/>
      <c r="I59" s="10">
        <f t="shared" si="1"/>
        <v>0</v>
      </c>
      <c r="J59" s="10"/>
      <c r="K59" s="10">
        <f t="shared" si="2"/>
        <v>0</v>
      </c>
      <c r="L59" s="10">
        <f t="shared" si="3"/>
        <v>0</v>
      </c>
    </row>
    <row r="60" spans="1:14" x14ac:dyDescent="0.3">
      <c r="A60" s="2"/>
      <c r="B60" s="17" t="s">
        <v>396</v>
      </c>
      <c r="C60" s="18" t="s">
        <v>72</v>
      </c>
      <c r="D60" s="19"/>
      <c r="E60" s="19">
        <v>1</v>
      </c>
      <c r="F60" s="10"/>
      <c r="G60" s="10">
        <f t="shared" si="0"/>
        <v>0</v>
      </c>
      <c r="H60" s="10"/>
      <c r="I60" s="10">
        <f t="shared" si="1"/>
        <v>0</v>
      </c>
      <c r="J60" s="10"/>
      <c r="K60" s="10">
        <f t="shared" si="2"/>
        <v>0</v>
      </c>
      <c r="L60" s="10">
        <f t="shared" si="3"/>
        <v>0</v>
      </c>
    </row>
    <row r="61" spans="1:14" x14ac:dyDescent="0.3">
      <c r="A61" s="2"/>
      <c r="B61" s="17" t="s">
        <v>390</v>
      </c>
      <c r="C61" s="18" t="s">
        <v>72</v>
      </c>
      <c r="D61" s="19"/>
      <c r="E61" s="19">
        <v>1</v>
      </c>
      <c r="F61" s="10"/>
      <c r="G61" s="10">
        <f t="shared" si="0"/>
        <v>0</v>
      </c>
      <c r="H61" s="10"/>
      <c r="I61" s="10">
        <f t="shared" si="1"/>
        <v>0</v>
      </c>
      <c r="J61" s="10"/>
      <c r="K61" s="10">
        <f t="shared" si="2"/>
        <v>0</v>
      </c>
      <c r="L61" s="10">
        <f t="shared" si="3"/>
        <v>0</v>
      </c>
    </row>
    <row r="62" spans="1:14" x14ac:dyDescent="0.3">
      <c r="A62" s="2"/>
      <c r="B62" s="17" t="s">
        <v>391</v>
      </c>
      <c r="C62" s="18" t="s">
        <v>72</v>
      </c>
      <c r="D62" s="19"/>
      <c r="E62" s="19">
        <v>1</v>
      </c>
      <c r="F62" s="10"/>
      <c r="G62" s="10">
        <f t="shared" si="0"/>
        <v>0</v>
      </c>
      <c r="H62" s="10"/>
      <c r="I62" s="10">
        <f t="shared" si="1"/>
        <v>0</v>
      </c>
      <c r="J62" s="10"/>
      <c r="K62" s="10">
        <f t="shared" si="2"/>
        <v>0</v>
      </c>
      <c r="L62" s="10">
        <f t="shared" si="3"/>
        <v>0</v>
      </c>
    </row>
    <row r="63" spans="1:14" ht="28.8" x14ac:dyDescent="0.3">
      <c r="A63" s="2">
        <v>16</v>
      </c>
      <c r="B63" s="14" t="s">
        <v>489</v>
      </c>
      <c r="C63" s="2" t="s">
        <v>72</v>
      </c>
      <c r="D63" s="32"/>
      <c r="E63" s="15">
        <v>1</v>
      </c>
      <c r="F63" s="10"/>
      <c r="G63" s="10">
        <f t="shared" si="0"/>
        <v>0</v>
      </c>
      <c r="H63" s="10"/>
      <c r="I63" s="10">
        <f t="shared" si="1"/>
        <v>0</v>
      </c>
      <c r="J63" s="10"/>
      <c r="K63" s="10">
        <f t="shared" si="2"/>
        <v>0</v>
      </c>
      <c r="L63" s="10">
        <f t="shared" si="3"/>
        <v>0</v>
      </c>
    </row>
    <row r="64" spans="1:14" x14ac:dyDescent="0.3">
      <c r="A64" s="2"/>
      <c r="B64" s="17" t="s">
        <v>382</v>
      </c>
      <c r="C64" s="18" t="s">
        <v>72</v>
      </c>
      <c r="D64" s="19"/>
      <c r="E64" s="19">
        <v>1</v>
      </c>
      <c r="F64" s="10"/>
      <c r="G64" s="10">
        <f t="shared" si="0"/>
        <v>0</v>
      </c>
      <c r="H64" s="10"/>
      <c r="I64" s="10">
        <f t="shared" si="1"/>
        <v>0</v>
      </c>
      <c r="J64" s="10"/>
      <c r="K64" s="10">
        <f t="shared" si="2"/>
        <v>0</v>
      </c>
      <c r="L64" s="10">
        <f t="shared" si="3"/>
        <v>0</v>
      </c>
      <c r="N64" s="9"/>
    </row>
    <row r="65" spans="1:16" x14ac:dyDescent="0.3">
      <c r="A65" s="2"/>
      <c r="B65" s="17" t="s">
        <v>386</v>
      </c>
      <c r="C65" s="18" t="s">
        <v>464</v>
      </c>
      <c r="D65" s="19"/>
      <c r="E65" s="19">
        <v>0.01</v>
      </c>
      <c r="F65" s="10"/>
      <c r="G65" s="10">
        <f t="shared" si="0"/>
        <v>0</v>
      </c>
      <c r="H65" s="10"/>
      <c r="I65" s="10">
        <f t="shared" si="1"/>
        <v>0</v>
      </c>
      <c r="J65" s="10"/>
      <c r="K65" s="10">
        <f t="shared" si="2"/>
        <v>0</v>
      </c>
      <c r="L65" s="10">
        <f t="shared" si="3"/>
        <v>0</v>
      </c>
    </row>
    <row r="66" spans="1:16" x14ac:dyDescent="0.3">
      <c r="A66" s="2"/>
      <c r="B66" s="17" t="s">
        <v>395</v>
      </c>
      <c r="C66" s="18" t="s">
        <v>18</v>
      </c>
      <c r="D66" s="19"/>
      <c r="E66" s="19">
        <v>0.15</v>
      </c>
      <c r="F66" s="10"/>
      <c r="G66" s="10">
        <f t="shared" si="0"/>
        <v>0</v>
      </c>
      <c r="H66" s="10"/>
      <c r="I66" s="10">
        <f t="shared" si="1"/>
        <v>0</v>
      </c>
      <c r="J66" s="10"/>
      <c r="K66" s="10">
        <f t="shared" si="2"/>
        <v>0</v>
      </c>
      <c r="L66" s="10">
        <f t="shared" si="3"/>
        <v>0</v>
      </c>
      <c r="N66" s="9"/>
      <c r="P66" s="9"/>
    </row>
    <row r="67" spans="1:16" x14ac:dyDescent="0.3">
      <c r="A67" s="2"/>
      <c r="B67" s="17" t="s">
        <v>388</v>
      </c>
      <c r="C67" s="18" t="s">
        <v>492</v>
      </c>
      <c r="D67" s="19"/>
      <c r="E67" s="19">
        <v>1</v>
      </c>
      <c r="F67" s="10"/>
      <c r="G67" s="10">
        <f t="shared" si="0"/>
        <v>0</v>
      </c>
      <c r="H67" s="10"/>
      <c r="I67" s="10">
        <f t="shared" si="1"/>
        <v>0</v>
      </c>
      <c r="J67" s="10"/>
      <c r="K67" s="10">
        <f t="shared" si="2"/>
        <v>0</v>
      </c>
      <c r="L67" s="10">
        <f t="shared" si="3"/>
        <v>0</v>
      </c>
    </row>
    <row r="68" spans="1:16" x14ac:dyDescent="0.3">
      <c r="A68" s="2"/>
      <c r="B68" s="17" t="s">
        <v>490</v>
      </c>
      <c r="C68" s="18" t="s">
        <v>72</v>
      </c>
      <c r="D68" s="19"/>
      <c r="E68" s="19">
        <v>1</v>
      </c>
      <c r="F68" s="10"/>
      <c r="G68" s="10">
        <f t="shared" si="0"/>
        <v>0</v>
      </c>
      <c r="H68" s="10"/>
      <c r="I68" s="10">
        <f t="shared" si="1"/>
        <v>0</v>
      </c>
      <c r="J68" s="10"/>
      <c r="K68" s="10">
        <f t="shared" si="2"/>
        <v>0</v>
      </c>
      <c r="L68" s="10">
        <f t="shared" si="3"/>
        <v>0</v>
      </c>
    </row>
    <row r="69" spans="1:16" x14ac:dyDescent="0.3">
      <c r="A69" s="2"/>
      <c r="B69" s="17" t="s">
        <v>390</v>
      </c>
      <c r="C69" s="18" t="s">
        <v>72</v>
      </c>
      <c r="D69" s="19"/>
      <c r="E69" s="19">
        <v>1</v>
      </c>
      <c r="F69" s="10"/>
      <c r="G69" s="10">
        <f t="shared" si="0"/>
        <v>0</v>
      </c>
      <c r="H69" s="10"/>
      <c r="I69" s="10">
        <f t="shared" si="1"/>
        <v>0</v>
      </c>
      <c r="J69" s="10"/>
      <c r="K69" s="10">
        <f t="shared" si="2"/>
        <v>0</v>
      </c>
      <c r="L69" s="10">
        <f t="shared" si="3"/>
        <v>0</v>
      </c>
    </row>
    <row r="70" spans="1:16" x14ac:dyDescent="0.3">
      <c r="A70" s="2"/>
      <c r="B70" s="17" t="s">
        <v>391</v>
      </c>
      <c r="C70" s="18" t="s">
        <v>72</v>
      </c>
      <c r="D70" s="19"/>
      <c r="E70" s="19">
        <v>1</v>
      </c>
      <c r="F70" s="10"/>
      <c r="G70" s="10">
        <f t="shared" si="0"/>
        <v>0</v>
      </c>
      <c r="H70" s="10"/>
      <c r="I70" s="10">
        <f t="shared" si="1"/>
        <v>0</v>
      </c>
      <c r="J70" s="10"/>
      <c r="K70" s="10">
        <f t="shared" si="2"/>
        <v>0</v>
      </c>
      <c r="L70" s="10">
        <f t="shared" si="3"/>
        <v>0</v>
      </c>
    </row>
    <row r="71" spans="1:16" x14ac:dyDescent="0.3">
      <c r="A71" s="2">
        <v>17</v>
      </c>
      <c r="B71" s="14" t="s">
        <v>297</v>
      </c>
      <c r="C71" s="2" t="s">
        <v>18</v>
      </c>
      <c r="D71" s="15"/>
      <c r="E71" s="15">
        <v>776.73700000000008</v>
      </c>
      <c r="F71" s="10"/>
      <c r="G71" s="10">
        <f t="shared" si="0"/>
        <v>0</v>
      </c>
      <c r="H71" s="10"/>
      <c r="I71" s="10">
        <f t="shared" si="1"/>
        <v>0</v>
      </c>
      <c r="J71" s="10"/>
      <c r="K71" s="10">
        <f t="shared" si="2"/>
        <v>0</v>
      </c>
      <c r="L71" s="10">
        <f t="shared" si="3"/>
        <v>0</v>
      </c>
    </row>
    <row r="72" spans="1:16" x14ac:dyDescent="0.3">
      <c r="A72" s="2">
        <v>18</v>
      </c>
      <c r="B72" s="14" t="s">
        <v>414</v>
      </c>
      <c r="C72" s="2" t="s">
        <v>18</v>
      </c>
      <c r="D72" s="15"/>
      <c r="E72" s="15">
        <f>92.74*1.3</f>
        <v>120.562</v>
      </c>
      <c r="F72" s="10"/>
      <c r="G72" s="10">
        <f t="shared" si="0"/>
        <v>0</v>
      </c>
      <c r="H72" s="10"/>
      <c r="I72" s="10">
        <f t="shared" si="1"/>
        <v>0</v>
      </c>
      <c r="J72" s="10"/>
      <c r="K72" s="10">
        <f t="shared" si="2"/>
        <v>0</v>
      </c>
      <c r="L72" s="10">
        <f t="shared" si="3"/>
        <v>0</v>
      </c>
    </row>
    <row r="73" spans="1:16" x14ac:dyDescent="0.3">
      <c r="A73" s="2"/>
      <c r="B73" s="17" t="s">
        <v>384</v>
      </c>
      <c r="C73" s="18" t="s">
        <v>18</v>
      </c>
      <c r="D73" s="19"/>
      <c r="E73" s="19">
        <f>E72*1.1</f>
        <v>132.6182</v>
      </c>
      <c r="F73" s="10"/>
      <c r="G73" s="10">
        <f t="shared" si="0"/>
        <v>0</v>
      </c>
      <c r="H73" s="10"/>
      <c r="I73" s="10">
        <f t="shared" si="1"/>
        <v>0</v>
      </c>
      <c r="J73" s="10"/>
      <c r="K73" s="10">
        <f t="shared" si="2"/>
        <v>0</v>
      </c>
      <c r="L73" s="10">
        <f t="shared" si="3"/>
        <v>0</v>
      </c>
    </row>
    <row r="74" spans="1:16" x14ac:dyDescent="0.3">
      <c r="A74" s="2"/>
      <c r="B74" s="17" t="s">
        <v>32</v>
      </c>
      <c r="C74" s="18" t="s">
        <v>30</v>
      </c>
      <c r="D74" s="19"/>
      <c r="E74" s="19">
        <f>E72*0.01</f>
        <v>1.2056199999999999</v>
      </c>
      <c r="F74" s="10"/>
      <c r="G74" s="10">
        <f t="shared" si="0"/>
        <v>0</v>
      </c>
      <c r="H74" s="10"/>
      <c r="I74" s="10">
        <f t="shared" si="1"/>
        <v>0</v>
      </c>
      <c r="J74" s="10"/>
      <c r="K74" s="10">
        <f t="shared" si="2"/>
        <v>0</v>
      </c>
      <c r="L74" s="10">
        <f t="shared" si="3"/>
        <v>0</v>
      </c>
    </row>
    <row r="75" spans="1:16" x14ac:dyDescent="0.3">
      <c r="A75" s="2">
        <v>19</v>
      </c>
      <c r="B75" s="14" t="s">
        <v>1083</v>
      </c>
      <c r="C75" s="2" t="s">
        <v>18</v>
      </c>
      <c r="D75" s="15"/>
      <c r="E75" s="15">
        <f>140.6*1.3</f>
        <v>182.78</v>
      </c>
      <c r="F75" s="10"/>
      <c r="G75" s="10">
        <f t="shared" si="0"/>
        <v>0</v>
      </c>
      <c r="H75" s="10"/>
      <c r="I75" s="10">
        <f t="shared" si="1"/>
        <v>0</v>
      </c>
      <c r="J75" s="10"/>
      <c r="K75" s="10">
        <f t="shared" si="2"/>
        <v>0</v>
      </c>
      <c r="L75" s="10">
        <f t="shared" si="3"/>
        <v>0</v>
      </c>
    </row>
    <row r="76" spans="1:16" x14ac:dyDescent="0.3">
      <c r="A76" s="2"/>
      <c r="B76" s="17" t="s">
        <v>59</v>
      </c>
      <c r="C76" s="18" t="s">
        <v>18</v>
      </c>
      <c r="D76" s="19"/>
      <c r="E76" s="19">
        <f>E75*1.22</f>
        <v>222.99160000000001</v>
      </c>
      <c r="F76" s="10"/>
      <c r="G76" s="10">
        <f t="shared" si="0"/>
        <v>0</v>
      </c>
      <c r="H76" s="10"/>
      <c r="I76" s="10">
        <f t="shared" si="1"/>
        <v>0</v>
      </c>
      <c r="J76" s="10"/>
      <c r="K76" s="10">
        <f t="shared" si="2"/>
        <v>0</v>
      </c>
      <c r="L76" s="10">
        <f t="shared" si="3"/>
        <v>0</v>
      </c>
    </row>
    <row r="77" spans="1:16" x14ac:dyDescent="0.3">
      <c r="A77" s="2"/>
      <c r="B77" s="17" t="s">
        <v>32</v>
      </c>
      <c r="C77" s="18" t="s">
        <v>30</v>
      </c>
      <c r="D77" s="19"/>
      <c r="E77" s="19">
        <f>E75*0.01</f>
        <v>1.8278000000000001</v>
      </c>
      <c r="F77" s="10"/>
      <c r="G77" s="10">
        <f t="shared" si="0"/>
        <v>0</v>
      </c>
      <c r="H77" s="10"/>
      <c r="I77" s="10">
        <f t="shared" si="1"/>
        <v>0</v>
      </c>
      <c r="J77" s="10"/>
      <c r="K77" s="10">
        <f t="shared" si="2"/>
        <v>0</v>
      </c>
      <c r="L77" s="10">
        <f t="shared" si="3"/>
        <v>0</v>
      </c>
    </row>
    <row r="78" spans="1:16" x14ac:dyDescent="0.3">
      <c r="A78" s="2"/>
      <c r="B78" s="17" t="s">
        <v>33</v>
      </c>
      <c r="C78" s="18" t="s">
        <v>30</v>
      </c>
      <c r="D78" s="19"/>
      <c r="E78" s="19">
        <f>E77</f>
        <v>1.8278000000000001</v>
      </c>
      <c r="F78" s="10"/>
      <c r="G78" s="10">
        <f t="shared" ref="G78" si="4">F78*E78</f>
        <v>0</v>
      </c>
      <c r="H78" s="10"/>
      <c r="I78" s="10">
        <f t="shared" ref="I78" si="5">H78*E78</f>
        <v>0</v>
      </c>
      <c r="J78" s="10"/>
      <c r="K78" s="10">
        <f t="shared" ref="K78" si="6">J78*E78</f>
        <v>0</v>
      </c>
      <c r="L78" s="10">
        <f t="shared" ref="L78" si="7">K78+I78+G78</f>
        <v>0</v>
      </c>
    </row>
    <row r="79" spans="1:16" x14ac:dyDescent="0.3">
      <c r="A79" s="2">
        <v>20</v>
      </c>
      <c r="B79" s="14" t="s">
        <v>1029</v>
      </c>
      <c r="C79" s="2" t="s">
        <v>18</v>
      </c>
      <c r="D79" s="15"/>
      <c r="E79" s="15">
        <f>142.91*1.3</f>
        <v>185.78300000000002</v>
      </c>
      <c r="F79" s="10"/>
      <c r="G79" s="10">
        <f t="shared" si="0"/>
        <v>0</v>
      </c>
      <c r="H79" s="10"/>
      <c r="I79" s="10">
        <f t="shared" si="1"/>
        <v>0</v>
      </c>
      <c r="J79" s="10"/>
      <c r="K79" s="10">
        <f t="shared" si="2"/>
        <v>0</v>
      </c>
      <c r="L79" s="10">
        <f t="shared" si="3"/>
        <v>0</v>
      </c>
    </row>
    <row r="80" spans="1:16" x14ac:dyDescent="0.3">
      <c r="A80" s="2"/>
      <c r="B80" s="17" t="s">
        <v>252</v>
      </c>
      <c r="C80" s="18" t="s">
        <v>18</v>
      </c>
      <c r="D80" s="19"/>
      <c r="E80" s="19">
        <f>E79*1.15</f>
        <v>213.65045000000001</v>
      </c>
      <c r="F80" s="10"/>
      <c r="G80" s="10">
        <f t="shared" ref="G80" si="8">F80*E80</f>
        <v>0</v>
      </c>
      <c r="H80" s="10"/>
      <c r="I80" s="10">
        <f t="shared" ref="I80" si="9">H80*E80</f>
        <v>0</v>
      </c>
      <c r="J80" s="10"/>
      <c r="K80" s="10">
        <f t="shared" ref="K80" si="10">J80*E80</f>
        <v>0</v>
      </c>
      <c r="L80" s="10">
        <f t="shared" ref="L80" si="11">K80+I80+G80</f>
        <v>0</v>
      </c>
    </row>
    <row r="81" spans="1:12" x14ac:dyDescent="0.3">
      <c r="A81" s="2"/>
      <c r="B81" s="17" t="s">
        <v>32</v>
      </c>
      <c r="C81" s="18" t="s">
        <v>30</v>
      </c>
      <c r="D81" s="19"/>
      <c r="E81" s="19">
        <f>E79*0.01</f>
        <v>1.8578300000000001</v>
      </c>
      <c r="F81" s="10"/>
      <c r="G81" s="10">
        <f t="shared" ref="G81" si="12">F81*E81</f>
        <v>0</v>
      </c>
      <c r="H81" s="10"/>
      <c r="I81" s="10">
        <f t="shared" ref="I81" si="13">H81*E81</f>
        <v>0</v>
      </c>
      <c r="J81" s="10"/>
      <c r="K81" s="10">
        <f t="shared" ref="K81" si="14">J81*E81</f>
        <v>0</v>
      </c>
      <c r="L81" s="10">
        <f t="shared" ref="L81" si="15">K81+I81+G81</f>
        <v>0</v>
      </c>
    </row>
    <row r="82" spans="1:12" x14ac:dyDescent="0.3">
      <c r="A82" s="3"/>
      <c r="B82" s="3" t="s">
        <v>7</v>
      </c>
      <c r="C82" s="3"/>
      <c r="D82" s="24"/>
      <c r="E82" s="24"/>
      <c r="F82" s="25"/>
      <c r="G82" s="25">
        <f>SUM(G10:G81)</f>
        <v>0</v>
      </c>
      <c r="H82" s="25"/>
      <c r="I82" s="25">
        <f>SUM(I10:I81)</f>
        <v>0</v>
      </c>
      <c r="J82" s="25"/>
      <c r="K82" s="25">
        <f>SUM(K10:K81)</f>
        <v>0</v>
      </c>
      <c r="L82" s="25">
        <f>SUM(L10:L81)</f>
        <v>0</v>
      </c>
    </row>
    <row r="83" spans="1:12" x14ac:dyDescent="0.3">
      <c r="A83" s="2"/>
      <c r="B83" s="5" t="s">
        <v>226</v>
      </c>
      <c r="C83" s="1"/>
      <c r="D83" s="8"/>
      <c r="E83" s="26">
        <v>0.03</v>
      </c>
      <c r="F83" s="10"/>
      <c r="G83" s="10"/>
      <c r="H83" s="10"/>
      <c r="I83" s="10"/>
      <c r="J83" s="10"/>
      <c r="K83" s="10"/>
      <c r="L83" s="10">
        <f>G82*E83</f>
        <v>0</v>
      </c>
    </row>
    <row r="84" spans="1:12" x14ac:dyDescent="0.3">
      <c r="A84" s="2"/>
      <c r="B84" s="2" t="s">
        <v>7</v>
      </c>
      <c r="C84" s="1"/>
      <c r="D84" s="8"/>
      <c r="E84" s="26"/>
      <c r="F84" s="10"/>
      <c r="G84" s="10"/>
      <c r="H84" s="10"/>
      <c r="I84" s="10"/>
      <c r="J84" s="10"/>
      <c r="K84" s="10"/>
      <c r="L84" s="10">
        <f>L83+L82</f>
        <v>0</v>
      </c>
    </row>
    <row r="85" spans="1:12" x14ac:dyDescent="0.3">
      <c r="A85" s="2"/>
      <c r="B85" s="5" t="s">
        <v>227</v>
      </c>
      <c r="C85" s="1"/>
      <c r="D85" s="8"/>
      <c r="E85" s="26">
        <v>0.1</v>
      </c>
      <c r="F85" s="10"/>
      <c r="G85" s="10"/>
      <c r="H85" s="10"/>
      <c r="I85" s="10"/>
      <c r="J85" s="10"/>
      <c r="K85" s="10"/>
      <c r="L85" s="10">
        <f>L84*E85</f>
        <v>0</v>
      </c>
    </row>
    <row r="86" spans="1:12" x14ac:dyDescent="0.3">
      <c r="A86" s="2"/>
      <c r="B86" s="2" t="s">
        <v>7</v>
      </c>
      <c r="C86" s="1"/>
      <c r="D86" s="8"/>
      <c r="E86" s="26"/>
      <c r="F86" s="10"/>
      <c r="G86" s="10"/>
      <c r="H86" s="10"/>
      <c r="I86" s="10"/>
      <c r="J86" s="10"/>
      <c r="K86" s="10"/>
      <c r="L86" s="10">
        <f>L85+L84</f>
        <v>0</v>
      </c>
    </row>
    <row r="87" spans="1:12" x14ac:dyDescent="0.3">
      <c r="A87" s="2"/>
      <c r="B87" s="5" t="s">
        <v>228</v>
      </c>
      <c r="C87" s="1"/>
      <c r="D87" s="8"/>
      <c r="E87" s="26">
        <v>0.01</v>
      </c>
      <c r="F87" s="10"/>
      <c r="G87" s="10"/>
      <c r="H87" s="10"/>
      <c r="I87" s="10"/>
      <c r="J87" s="10"/>
      <c r="K87" s="10"/>
      <c r="L87" s="10">
        <f>L86*E87</f>
        <v>0</v>
      </c>
    </row>
    <row r="88" spans="1:12" x14ac:dyDescent="0.3">
      <c r="A88" s="2"/>
      <c r="B88" s="2" t="s">
        <v>7</v>
      </c>
      <c r="C88" s="1"/>
      <c r="D88" s="8"/>
      <c r="E88" s="26"/>
      <c r="F88" s="10"/>
      <c r="G88" s="10"/>
      <c r="H88" s="10"/>
      <c r="I88" s="10"/>
      <c r="J88" s="10"/>
      <c r="K88" s="10"/>
      <c r="L88" s="10">
        <f>L87+L86</f>
        <v>0</v>
      </c>
    </row>
    <row r="89" spans="1:12" x14ac:dyDescent="0.3">
      <c r="A89" s="2"/>
      <c r="B89" s="5" t="s">
        <v>229</v>
      </c>
      <c r="C89" s="1"/>
      <c r="D89" s="8"/>
      <c r="E89" s="26">
        <v>0.08</v>
      </c>
      <c r="F89" s="10"/>
      <c r="G89" s="10"/>
      <c r="H89" s="10"/>
      <c r="I89" s="10"/>
      <c r="J89" s="10"/>
      <c r="K89" s="10"/>
      <c r="L89" s="10">
        <f>L88*E89</f>
        <v>0</v>
      </c>
    </row>
    <row r="90" spans="1:12" x14ac:dyDescent="0.3">
      <c r="A90" s="2"/>
      <c r="B90" s="2" t="s">
        <v>7</v>
      </c>
      <c r="C90" s="1"/>
      <c r="D90" s="8"/>
      <c r="E90" s="26"/>
      <c r="F90" s="10"/>
      <c r="G90" s="10"/>
      <c r="H90" s="10"/>
      <c r="I90" s="10"/>
      <c r="J90" s="10"/>
      <c r="K90" s="10"/>
      <c r="L90" s="10">
        <f>L89+L88</f>
        <v>0</v>
      </c>
    </row>
    <row r="91" spans="1:12" x14ac:dyDescent="0.3">
      <c r="A91" s="2"/>
      <c r="B91" s="5" t="s">
        <v>230</v>
      </c>
      <c r="C91" s="1"/>
      <c r="D91" s="8"/>
      <c r="E91" s="26">
        <v>0.03</v>
      </c>
      <c r="F91" s="10"/>
      <c r="G91" s="10"/>
      <c r="H91" s="10"/>
      <c r="I91" s="10"/>
      <c r="J91" s="10"/>
      <c r="K91" s="10"/>
      <c r="L91" s="10">
        <f>L90*E91</f>
        <v>0</v>
      </c>
    </row>
    <row r="92" spans="1:12" x14ac:dyDescent="0.3">
      <c r="A92" s="2"/>
      <c r="B92" s="2" t="s">
        <v>7</v>
      </c>
      <c r="C92" s="1"/>
      <c r="D92" s="8"/>
      <c r="E92" s="26"/>
      <c r="F92" s="10"/>
      <c r="G92" s="10"/>
      <c r="H92" s="10"/>
      <c r="I92" s="10"/>
      <c r="J92" s="10"/>
      <c r="K92" s="10"/>
      <c r="L92" s="10">
        <f>L91+L90</f>
        <v>0</v>
      </c>
    </row>
    <row r="93" spans="1:12" x14ac:dyDescent="0.3">
      <c r="A93" s="2"/>
      <c r="B93" s="5" t="s">
        <v>231</v>
      </c>
      <c r="C93" s="1"/>
      <c r="D93" s="8"/>
      <c r="E93" s="26">
        <v>0.18</v>
      </c>
      <c r="F93" s="10"/>
      <c r="G93" s="10"/>
      <c r="H93" s="10"/>
      <c r="I93" s="10"/>
      <c r="J93" s="10"/>
      <c r="K93" s="10"/>
      <c r="L93" s="10">
        <f>L92*E93</f>
        <v>0</v>
      </c>
    </row>
    <row r="94" spans="1:12" x14ac:dyDescent="0.3">
      <c r="A94" s="3"/>
      <c r="B94" s="3" t="s">
        <v>232</v>
      </c>
      <c r="C94" s="3"/>
      <c r="D94" s="24"/>
      <c r="E94" s="24"/>
      <c r="F94" s="25"/>
      <c r="G94" s="25"/>
      <c r="H94" s="25"/>
      <c r="I94" s="25"/>
      <c r="J94" s="25"/>
      <c r="K94" s="25"/>
      <c r="L94" s="25">
        <f>L93+L92</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2"/>
  <sheetViews>
    <sheetView topLeftCell="A43" zoomScale="85" zoomScaleNormal="85" workbookViewId="0">
      <selection activeCell="R53" sqref="R53"/>
    </sheetView>
  </sheetViews>
  <sheetFormatPr defaultRowHeight="14.4" x14ac:dyDescent="0.3"/>
  <cols>
    <col min="1" max="1" width="8.88671875" style="7"/>
    <col min="2" max="2" width="73.33203125"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9.21875" bestFit="1" customWidth="1"/>
  </cols>
  <sheetData>
    <row r="2" spans="1:12" x14ac:dyDescent="0.3">
      <c r="A2" s="40" t="s">
        <v>1036</v>
      </c>
      <c r="B2" s="40"/>
      <c r="C2" s="40"/>
      <c r="D2" s="40"/>
      <c r="E2" s="40"/>
      <c r="F2" s="40"/>
      <c r="G2" s="40"/>
      <c r="H2" s="40"/>
      <c r="I2" s="40"/>
      <c r="J2" s="40"/>
      <c r="K2" s="40"/>
      <c r="L2" s="40"/>
    </row>
    <row r="3" spans="1:12" x14ac:dyDescent="0.3">
      <c r="A3" s="40" t="s">
        <v>1037</v>
      </c>
      <c r="B3" s="40"/>
      <c r="C3" s="40"/>
      <c r="D3" s="40"/>
      <c r="E3" s="40"/>
      <c r="F3" s="40"/>
      <c r="G3" s="40"/>
      <c r="H3" s="40"/>
      <c r="I3" s="40"/>
      <c r="J3" s="40"/>
      <c r="K3" s="40"/>
      <c r="L3" s="40"/>
    </row>
    <row r="4" spans="1:12" x14ac:dyDescent="0.3">
      <c r="A4" s="36" t="s">
        <v>1049</v>
      </c>
      <c r="K4" s="33" t="s">
        <v>1038</v>
      </c>
      <c r="L4" s="34" t="str">
        <f>'2000 მ²'!L4</f>
        <v>001</v>
      </c>
    </row>
    <row r="5" spans="1:12" x14ac:dyDescent="0.3">
      <c r="A5" s="36" t="s">
        <v>1044</v>
      </c>
      <c r="K5" s="33" t="s">
        <v>1040</v>
      </c>
      <c r="L5" s="35">
        <f>'2000 მ²'!L5</f>
        <v>45887</v>
      </c>
    </row>
    <row r="6" spans="1:12" ht="28.8" customHeight="1" x14ac:dyDescent="0.3">
      <c r="A6" s="43" t="s">
        <v>0</v>
      </c>
      <c r="B6" s="43" t="s">
        <v>1</v>
      </c>
      <c r="C6" s="43" t="s">
        <v>2</v>
      </c>
      <c r="D6" s="45" t="s">
        <v>9</v>
      </c>
      <c r="E6" s="45" t="s">
        <v>3</v>
      </c>
      <c r="F6" s="41" t="s">
        <v>4</v>
      </c>
      <c r="G6" s="42"/>
      <c r="H6" s="41" t="s">
        <v>5</v>
      </c>
      <c r="I6" s="42"/>
      <c r="J6" s="41" t="s">
        <v>6</v>
      </c>
      <c r="K6" s="42"/>
      <c r="L6" s="43" t="s">
        <v>7</v>
      </c>
    </row>
    <row r="7" spans="1:12" ht="23.4" customHeight="1" x14ac:dyDescent="0.3">
      <c r="A7" s="44"/>
      <c r="B7" s="44"/>
      <c r="C7" s="44"/>
      <c r="D7" s="46"/>
      <c r="E7" s="46"/>
      <c r="F7" s="3" t="s">
        <v>8</v>
      </c>
      <c r="G7" s="3" t="s">
        <v>7</v>
      </c>
      <c r="H7" s="3" t="s">
        <v>8</v>
      </c>
      <c r="I7" s="3" t="s">
        <v>7</v>
      </c>
      <c r="J7" s="3" t="s">
        <v>8</v>
      </c>
      <c r="K7" s="3" t="s">
        <v>7</v>
      </c>
      <c r="L7" s="44"/>
    </row>
    <row r="8" spans="1:12" x14ac:dyDescent="0.3">
      <c r="A8" s="3">
        <v>1</v>
      </c>
      <c r="B8" s="3">
        <v>2</v>
      </c>
      <c r="C8" s="3">
        <v>3</v>
      </c>
      <c r="D8" s="3">
        <v>4</v>
      </c>
      <c r="E8" s="3">
        <v>5</v>
      </c>
      <c r="F8" s="3">
        <v>6</v>
      </c>
      <c r="G8" s="3">
        <v>7</v>
      </c>
      <c r="H8" s="3">
        <v>8</v>
      </c>
      <c r="I8" s="3">
        <v>9</v>
      </c>
      <c r="J8" s="3">
        <v>10</v>
      </c>
      <c r="K8" s="3">
        <v>11</v>
      </c>
      <c r="L8" s="3">
        <v>12</v>
      </c>
    </row>
    <row r="9" spans="1:12" x14ac:dyDescent="0.3">
      <c r="A9" s="11"/>
      <c r="B9" s="11" t="s">
        <v>375</v>
      </c>
      <c r="C9" s="4"/>
      <c r="D9" s="12"/>
      <c r="E9" s="12"/>
      <c r="F9" s="13"/>
      <c r="G9" s="13"/>
      <c r="H9" s="13"/>
      <c r="I9" s="13"/>
      <c r="J9" s="13"/>
      <c r="K9" s="13"/>
      <c r="L9" s="13"/>
    </row>
    <row r="10" spans="1:12" x14ac:dyDescent="0.3">
      <c r="A10" s="2">
        <v>1</v>
      </c>
      <c r="B10" s="14" t="s">
        <v>311</v>
      </c>
      <c r="C10" s="2" t="s">
        <v>72</v>
      </c>
      <c r="D10" s="15"/>
      <c r="E10" s="15">
        <v>2</v>
      </c>
      <c r="F10" s="10"/>
      <c r="G10" s="10">
        <f t="shared" ref="G10:G53" si="0">F10*E10</f>
        <v>0</v>
      </c>
      <c r="H10" s="10"/>
      <c r="I10" s="10">
        <f t="shared" ref="I10:I53" si="1">H10*E10</f>
        <v>0</v>
      </c>
      <c r="J10" s="10"/>
      <c r="K10" s="10">
        <f t="shared" ref="K10:K53" si="2">J10*E10</f>
        <v>0</v>
      </c>
      <c r="L10" s="10">
        <f t="shared" ref="L10:L53" si="3">K10+I10+G10</f>
        <v>0</v>
      </c>
    </row>
    <row r="11" spans="1:12" x14ac:dyDescent="0.3">
      <c r="A11" s="2"/>
      <c r="B11" s="17" t="s">
        <v>312</v>
      </c>
      <c r="C11" s="18" t="s">
        <v>72</v>
      </c>
      <c r="D11" s="19"/>
      <c r="E11" s="19">
        <v>2</v>
      </c>
      <c r="F11" s="10"/>
      <c r="G11" s="10">
        <f t="shared" si="0"/>
        <v>0</v>
      </c>
      <c r="H11" s="10"/>
      <c r="I11" s="10">
        <f t="shared" si="1"/>
        <v>0</v>
      </c>
      <c r="J11" s="10"/>
      <c r="K11" s="10">
        <f t="shared" si="2"/>
        <v>0</v>
      </c>
      <c r="L11" s="10">
        <f t="shared" si="3"/>
        <v>0</v>
      </c>
    </row>
    <row r="12" spans="1:12" x14ac:dyDescent="0.3">
      <c r="A12" s="2"/>
      <c r="B12" s="17" t="s">
        <v>313</v>
      </c>
      <c r="C12" s="18" t="s">
        <v>72</v>
      </c>
      <c r="D12" s="19"/>
      <c r="E12" s="19">
        <v>2</v>
      </c>
      <c r="F12" s="10"/>
      <c r="G12" s="10">
        <f t="shared" si="0"/>
        <v>0</v>
      </c>
      <c r="H12" s="10"/>
      <c r="I12" s="10">
        <f t="shared" si="1"/>
        <v>0</v>
      </c>
      <c r="J12" s="10"/>
      <c r="K12" s="10">
        <f t="shared" si="2"/>
        <v>0</v>
      </c>
      <c r="L12" s="10">
        <f t="shared" si="3"/>
        <v>0</v>
      </c>
    </row>
    <row r="13" spans="1:12" x14ac:dyDescent="0.3">
      <c r="A13" s="2"/>
      <c r="B13" s="17" t="s">
        <v>314</v>
      </c>
      <c r="C13" s="18" t="s">
        <v>72</v>
      </c>
      <c r="D13" s="15"/>
      <c r="E13" s="19">
        <v>2</v>
      </c>
      <c r="F13" s="10"/>
      <c r="G13" s="10">
        <f t="shared" si="0"/>
        <v>0</v>
      </c>
      <c r="H13" s="10"/>
      <c r="I13" s="10">
        <f t="shared" si="1"/>
        <v>0</v>
      </c>
      <c r="J13" s="10"/>
      <c r="K13" s="10">
        <f t="shared" si="2"/>
        <v>0</v>
      </c>
      <c r="L13" s="10">
        <f t="shared" si="3"/>
        <v>0</v>
      </c>
    </row>
    <row r="14" spans="1:12" x14ac:dyDescent="0.3">
      <c r="A14" s="2">
        <f>A10+1</f>
        <v>2</v>
      </c>
      <c r="B14" s="14" t="s">
        <v>315</v>
      </c>
      <c r="C14" s="2" t="s">
        <v>72</v>
      </c>
      <c r="D14" s="32"/>
      <c r="E14" s="15">
        <v>12</v>
      </c>
      <c r="F14" s="10"/>
      <c r="G14" s="10">
        <f t="shared" si="0"/>
        <v>0</v>
      </c>
      <c r="H14" s="10"/>
      <c r="I14" s="10">
        <f t="shared" si="1"/>
        <v>0</v>
      </c>
      <c r="J14" s="10"/>
      <c r="K14" s="10">
        <f t="shared" si="2"/>
        <v>0</v>
      </c>
      <c r="L14" s="10">
        <f t="shared" si="3"/>
        <v>0</v>
      </c>
    </row>
    <row r="15" spans="1:12" x14ac:dyDescent="0.3">
      <c r="A15" s="2"/>
      <c r="B15" s="17" t="s">
        <v>316</v>
      </c>
      <c r="C15" s="18" t="s">
        <v>72</v>
      </c>
      <c r="D15" s="27"/>
      <c r="E15" s="19">
        <v>12</v>
      </c>
      <c r="F15" s="10"/>
      <c r="G15" s="10">
        <f t="shared" si="0"/>
        <v>0</v>
      </c>
      <c r="H15" s="10"/>
      <c r="I15" s="10">
        <f t="shared" si="1"/>
        <v>0</v>
      </c>
      <c r="J15" s="10"/>
      <c r="K15" s="10">
        <f t="shared" si="2"/>
        <v>0</v>
      </c>
      <c r="L15" s="10">
        <f t="shared" si="3"/>
        <v>0</v>
      </c>
    </row>
    <row r="16" spans="1:12" x14ac:dyDescent="0.3">
      <c r="A16" s="2"/>
      <c r="B16" s="17" t="s">
        <v>317</v>
      </c>
      <c r="C16" s="18" t="s">
        <v>72</v>
      </c>
      <c r="D16" s="27"/>
      <c r="E16" s="19">
        <v>12</v>
      </c>
      <c r="F16" s="10"/>
      <c r="G16" s="10">
        <f t="shared" si="0"/>
        <v>0</v>
      </c>
      <c r="H16" s="10"/>
      <c r="I16" s="10">
        <f t="shared" si="1"/>
        <v>0</v>
      </c>
      <c r="J16" s="10"/>
      <c r="K16" s="10">
        <f t="shared" si="2"/>
        <v>0</v>
      </c>
      <c r="L16" s="10">
        <f t="shared" si="3"/>
        <v>0</v>
      </c>
    </row>
    <row r="17" spans="1:14" x14ac:dyDescent="0.3">
      <c r="A17" s="2"/>
      <c r="B17" s="17" t="s">
        <v>318</v>
      </c>
      <c r="C17" s="18" t="s">
        <v>72</v>
      </c>
      <c r="D17" s="15"/>
      <c r="E17" s="19">
        <v>12</v>
      </c>
      <c r="F17" s="10"/>
      <c r="G17" s="10">
        <f t="shared" si="0"/>
        <v>0</v>
      </c>
      <c r="H17" s="10"/>
      <c r="I17" s="10">
        <f t="shared" si="1"/>
        <v>0</v>
      </c>
      <c r="J17" s="10"/>
      <c r="K17" s="10">
        <f t="shared" si="2"/>
        <v>0</v>
      </c>
      <c r="L17" s="10">
        <f t="shared" si="3"/>
        <v>0</v>
      </c>
    </row>
    <row r="18" spans="1:14" x14ac:dyDescent="0.3">
      <c r="A18" s="2"/>
      <c r="B18" s="17" t="s">
        <v>319</v>
      </c>
      <c r="C18" s="18" t="s">
        <v>72</v>
      </c>
      <c r="D18" s="19"/>
      <c r="E18" s="19">
        <v>12</v>
      </c>
      <c r="F18" s="10"/>
      <c r="G18" s="10">
        <f t="shared" si="0"/>
        <v>0</v>
      </c>
      <c r="H18" s="10"/>
      <c r="I18" s="10">
        <f t="shared" si="1"/>
        <v>0</v>
      </c>
      <c r="J18" s="10"/>
      <c r="K18" s="10">
        <f t="shared" si="2"/>
        <v>0</v>
      </c>
      <c r="L18" s="10">
        <f t="shared" si="3"/>
        <v>0</v>
      </c>
    </row>
    <row r="19" spans="1:14" x14ac:dyDescent="0.3">
      <c r="A19" s="2">
        <f>A14+1</f>
        <v>3</v>
      </c>
      <c r="B19" s="14" t="s">
        <v>320</v>
      </c>
      <c r="C19" s="2" t="s">
        <v>72</v>
      </c>
      <c r="D19" s="15"/>
      <c r="E19" s="15">
        <v>13</v>
      </c>
      <c r="F19" s="10"/>
      <c r="G19" s="10">
        <f t="shared" si="0"/>
        <v>0</v>
      </c>
      <c r="H19" s="10"/>
      <c r="I19" s="10">
        <f t="shared" si="1"/>
        <v>0</v>
      </c>
      <c r="J19" s="10"/>
      <c r="K19" s="10">
        <f t="shared" si="2"/>
        <v>0</v>
      </c>
      <c r="L19" s="10">
        <f t="shared" si="3"/>
        <v>0</v>
      </c>
    </row>
    <row r="20" spans="1:14" x14ac:dyDescent="0.3">
      <c r="A20" s="2"/>
      <c r="B20" s="17" t="s">
        <v>321</v>
      </c>
      <c r="C20" s="18" t="s">
        <v>72</v>
      </c>
      <c r="D20" s="19"/>
      <c r="E20" s="19">
        <v>13</v>
      </c>
      <c r="F20" s="10"/>
      <c r="G20" s="10">
        <f t="shared" si="0"/>
        <v>0</v>
      </c>
      <c r="H20" s="10"/>
      <c r="I20" s="10">
        <f t="shared" si="1"/>
        <v>0</v>
      </c>
      <c r="J20" s="10"/>
      <c r="K20" s="10">
        <f t="shared" si="2"/>
        <v>0</v>
      </c>
      <c r="L20" s="10">
        <f t="shared" si="3"/>
        <v>0</v>
      </c>
    </row>
    <row r="21" spans="1:14" x14ac:dyDescent="0.3">
      <c r="A21" s="2"/>
      <c r="B21" s="17" t="s">
        <v>322</v>
      </c>
      <c r="C21" s="18" t="s">
        <v>72</v>
      </c>
      <c r="D21" s="15"/>
      <c r="E21" s="19">
        <v>13</v>
      </c>
      <c r="F21" s="10"/>
      <c r="G21" s="10">
        <f t="shared" si="0"/>
        <v>0</v>
      </c>
      <c r="H21" s="10"/>
      <c r="I21" s="10">
        <f t="shared" si="1"/>
        <v>0</v>
      </c>
      <c r="J21" s="10"/>
      <c r="K21" s="10">
        <f t="shared" si="2"/>
        <v>0</v>
      </c>
      <c r="L21" s="10">
        <f t="shared" si="3"/>
        <v>0</v>
      </c>
    </row>
    <row r="22" spans="1:14" x14ac:dyDescent="0.3">
      <c r="A22" s="2"/>
      <c r="B22" s="17" t="s">
        <v>323</v>
      </c>
      <c r="C22" s="18" t="s">
        <v>72</v>
      </c>
      <c r="D22" s="19"/>
      <c r="E22" s="19">
        <v>13</v>
      </c>
      <c r="F22" s="10"/>
      <c r="G22" s="10">
        <f t="shared" si="0"/>
        <v>0</v>
      </c>
      <c r="H22" s="10"/>
      <c r="I22" s="10">
        <f t="shared" si="1"/>
        <v>0</v>
      </c>
      <c r="J22" s="10"/>
      <c r="K22" s="10">
        <f t="shared" si="2"/>
        <v>0</v>
      </c>
      <c r="L22" s="10">
        <f t="shared" si="3"/>
        <v>0</v>
      </c>
    </row>
    <row r="23" spans="1:14" x14ac:dyDescent="0.3">
      <c r="A23" s="2"/>
      <c r="B23" s="17" t="s">
        <v>319</v>
      </c>
      <c r="C23" s="18" t="s">
        <v>72</v>
      </c>
      <c r="D23" s="19"/>
      <c r="E23" s="19">
        <v>26</v>
      </c>
      <c r="F23" s="10"/>
      <c r="G23" s="10">
        <f t="shared" si="0"/>
        <v>0</v>
      </c>
      <c r="H23" s="10"/>
      <c r="I23" s="10">
        <f t="shared" si="1"/>
        <v>0</v>
      </c>
      <c r="J23" s="10"/>
      <c r="K23" s="10">
        <f t="shared" si="2"/>
        <v>0</v>
      </c>
      <c r="L23" s="10">
        <f t="shared" si="3"/>
        <v>0</v>
      </c>
    </row>
    <row r="24" spans="1:14" x14ac:dyDescent="0.3">
      <c r="A24" s="2"/>
      <c r="B24" s="17" t="s">
        <v>324</v>
      </c>
      <c r="C24" s="18" t="s">
        <v>72</v>
      </c>
      <c r="D24" s="15"/>
      <c r="E24" s="19">
        <v>26</v>
      </c>
      <c r="F24" s="10"/>
      <c r="G24" s="10">
        <f t="shared" si="0"/>
        <v>0</v>
      </c>
      <c r="H24" s="10"/>
      <c r="I24" s="10">
        <f t="shared" si="1"/>
        <v>0</v>
      </c>
      <c r="J24" s="10"/>
      <c r="K24" s="10">
        <f t="shared" si="2"/>
        <v>0</v>
      </c>
      <c r="L24" s="10">
        <f t="shared" si="3"/>
        <v>0</v>
      </c>
    </row>
    <row r="25" spans="1:14" x14ac:dyDescent="0.3">
      <c r="A25" s="2">
        <f>A19+1</f>
        <v>4</v>
      </c>
      <c r="B25" s="14" t="s">
        <v>325</v>
      </c>
      <c r="C25" s="2" t="s">
        <v>72</v>
      </c>
      <c r="D25" s="15"/>
      <c r="E25" s="15">
        <v>21</v>
      </c>
      <c r="F25" s="10"/>
      <c r="G25" s="10">
        <f t="shared" si="0"/>
        <v>0</v>
      </c>
      <c r="H25" s="10"/>
      <c r="I25" s="10">
        <f t="shared" si="1"/>
        <v>0</v>
      </c>
      <c r="J25" s="10"/>
      <c r="K25" s="10">
        <f t="shared" si="2"/>
        <v>0</v>
      </c>
      <c r="L25" s="10">
        <f t="shared" si="3"/>
        <v>0</v>
      </c>
    </row>
    <row r="26" spans="1:14" x14ac:dyDescent="0.3">
      <c r="A26" s="2"/>
      <c r="B26" s="17" t="s">
        <v>326</v>
      </c>
      <c r="C26" s="18" t="s">
        <v>72</v>
      </c>
      <c r="D26" s="19"/>
      <c r="E26" s="19">
        <v>11</v>
      </c>
      <c r="F26" s="10"/>
      <c r="G26" s="10">
        <f t="shared" si="0"/>
        <v>0</v>
      </c>
      <c r="H26" s="10"/>
      <c r="I26" s="10">
        <f t="shared" si="1"/>
        <v>0</v>
      </c>
      <c r="J26" s="10"/>
      <c r="K26" s="10">
        <f t="shared" si="2"/>
        <v>0</v>
      </c>
      <c r="L26" s="10">
        <f t="shared" si="3"/>
        <v>0</v>
      </c>
    </row>
    <row r="27" spans="1:14" x14ac:dyDescent="0.3">
      <c r="A27" s="2"/>
      <c r="B27" s="17" t="s">
        <v>327</v>
      </c>
      <c r="C27" s="18" t="s">
        <v>72</v>
      </c>
      <c r="D27" s="19"/>
      <c r="E27" s="19">
        <v>10</v>
      </c>
      <c r="F27" s="10"/>
      <c r="G27" s="10">
        <f t="shared" si="0"/>
        <v>0</v>
      </c>
      <c r="H27" s="10"/>
      <c r="I27" s="10">
        <f t="shared" si="1"/>
        <v>0</v>
      </c>
      <c r="J27" s="10"/>
      <c r="K27" s="10">
        <f t="shared" si="2"/>
        <v>0</v>
      </c>
      <c r="L27" s="10">
        <f t="shared" si="3"/>
        <v>0</v>
      </c>
    </row>
    <row r="28" spans="1:14" x14ac:dyDescent="0.3">
      <c r="A28" s="2">
        <f>A25+1</f>
        <v>5</v>
      </c>
      <c r="B28" s="14" t="s">
        <v>378</v>
      </c>
      <c r="C28" s="2" t="s">
        <v>12</v>
      </c>
      <c r="D28" s="15"/>
      <c r="E28" s="15">
        <f>0.25*28+0.5*42+1*51+2*33+0.25*14+0.5*69+1*253+42*2</f>
        <v>520</v>
      </c>
      <c r="F28" s="10"/>
      <c r="G28" s="10">
        <f t="shared" ref="G28" si="4">F28*E28</f>
        <v>0</v>
      </c>
      <c r="H28" s="10"/>
      <c r="I28" s="10">
        <f t="shared" ref="I28" si="5">H28*E28</f>
        <v>0</v>
      </c>
      <c r="J28" s="10"/>
      <c r="K28" s="10">
        <f t="shared" ref="K28" si="6">J28*E28</f>
        <v>0</v>
      </c>
      <c r="L28" s="10">
        <f t="shared" ref="L28" si="7">K28+I28+G28</f>
        <v>0</v>
      </c>
    </row>
    <row r="29" spans="1:14" x14ac:dyDescent="0.3">
      <c r="A29" s="2"/>
      <c r="B29" s="17" t="s">
        <v>328</v>
      </c>
      <c r="C29" s="18" t="s">
        <v>72</v>
      </c>
      <c r="D29" s="19"/>
      <c r="E29" s="19">
        <v>28</v>
      </c>
      <c r="F29" s="10"/>
      <c r="G29" s="10">
        <f t="shared" si="0"/>
        <v>0</v>
      </c>
      <c r="H29" s="10"/>
      <c r="I29" s="10">
        <f t="shared" si="1"/>
        <v>0</v>
      </c>
      <c r="J29" s="10"/>
      <c r="K29" s="10">
        <f t="shared" si="2"/>
        <v>0</v>
      </c>
      <c r="L29" s="10">
        <f t="shared" si="3"/>
        <v>0</v>
      </c>
    </row>
    <row r="30" spans="1:14" x14ac:dyDescent="0.3">
      <c r="A30" s="2"/>
      <c r="B30" s="17" t="s">
        <v>329</v>
      </c>
      <c r="C30" s="18" t="s">
        <v>72</v>
      </c>
      <c r="D30" s="27"/>
      <c r="E30" s="19">
        <v>42</v>
      </c>
      <c r="F30" s="10"/>
      <c r="G30" s="10">
        <f t="shared" si="0"/>
        <v>0</v>
      </c>
      <c r="H30" s="10"/>
      <c r="I30" s="10">
        <f t="shared" si="1"/>
        <v>0</v>
      </c>
      <c r="J30" s="10"/>
      <c r="K30" s="10">
        <f t="shared" si="2"/>
        <v>0</v>
      </c>
      <c r="L30" s="10">
        <f t="shared" si="3"/>
        <v>0</v>
      </c>
    </row>
    <row r="31" spans="1:14" x14ac:dyDescent="0.3">
      <c r="A31" s="2"/>
      <c r="B31" s="17" t="s">
        <v>330</v>
      </c>
      <c r="C31" s="18" t="s">
        <v>72</v>
      </c>
      <c r="D31" s="19"/>
      <c r="E31" s="19">
        <v>51</v>
      </c>
      <c r="F31" s="10"/>
      <c r="G31" s="10">
        <f t="shared" si="0"/>
        <v>0</v>
      </c>
      <c r="H31" s="10"/>
      <c r="I31" s="10">
        <f t="shared" si="1"/>
        <v>0</v>
      </c>
      <c r="J31" s="10"/>
      <c r="K31" s="10">
        <f t="shared" si="2"/>
        <v>0</v>
      </c>
      <c r="L31" s="10">
        <f t="shared" si="3"/>
        <v>0</v>
      </c>
      <c r="N31" s="9"/>
    </row>
    <row r="32" spans="1:14" x14ac:dyDescent="0.3">
      <c r="A32" s="2"/>
      <c r="B32" s="17" t="s">
        <v>331</v>
      </c>
      <c r="C32" s="18" t="s">
        <v>72</v>
      </c>
      <c r="D32" s="19"/>
      <c r="E32" s="19">
        <v>33</v>
      </c>
      <c r="F32" s="10"/>
      <c r="G32" s="10">
        <f t="shared" si="0"/>
        <v>0</v>
      </c>
      <c r="H32" s="10"/>
      <c r="I32" s="10">
        <f t="shared" si="1"/>
        <v>0</v>
      </c>
      <c r="J32" s="10"/>
      <c r="K32" s="10">
        <f t="shared" si="2"/>
        <v>0</v>
      </c>
      <c r="L32" s="10">
        <f t="shared" si="3"/>
        <v>0</v>
      </c>
    </row>
    <row r="33" spans="1:16" x14ac:dyDescent="0.3">
      <c r="A33" s="2"/>
      <c r="B33" s="17" t="s">
        <v>332</v>
      </c>
      <c r="C33" s="18" t="s">
        <v>72</v>
      </c>
      <c r="D33" s="19"/>
      <c r="E33" s="19">
        <v>14</v>
      </c>
      <c r="F33" s="10"/>
      <c r="G33" s="10">
        <f t="shared" si="0"/>
        <v>0</v>
      </c>
      <c r="H33" s="10"/>
      <c r="I33" s="10">
        <f t="shared" si="1"/>
        <v>0</v>
      </c>
      <c r="J33" s="10"/>
      <c r="K33" s="10">
        <f t="shared" si="2"/>
        <v>0</v>
      </c>
      <c r="L33" s="10">
        <f t="shared" si="3"/>
        <v>0</v>
      </c>
      <c r="N33" s="9"/>
      <c r="P33" s="9"/>
    </row>
    <row r="34" spans="1:16" x14ac:dyDescent="0.3">
      <c r="A34" s="2"/>
      <c r="B34" s="17" t="s">
        <v>333</v>
      </c>
      <c r="C34" s="18" t="s">
        <v>72</v>
      </c>
      <c r="D34" s="19"/>
      <c r="E34" s="19">
        <v>69</v>
      </c>
      <c r="F34" s="10"/>
      <c r="G34" s="10">
        <f t="shared" si="0"/>
        <v>0</v>
      </c>
      <c r="H34" s="10"/>
      <c r="I34" s="10">
        <f t="shared" si="1"/>
        <v>0</v>
      </c>
      <c r="J34" s="10"/>
      <c r="K34" s="10">
        <f t="shared" si="2"/>
        <v>0</v>
      </c>
      <c r="L34" s="10">
        <f t="shared" si="3"/>
        <v>0</v>
      </c>
    </row>
    <row r="35" spans="1:16" x14ac:dyDescent="0.3">
      <c r="A35" s="2"/>
      <c r="B35" s="17" t="s">
        <v>334</v>
      </c>
      <c r="C35" s="18" t="s">
        <v>72</v>
      </c>
      <c r="D35" s="19"/>
      <c r="E35" s="19">
        <v>253</v>
      </c>
      <c r="F35" s="10"/>
      <c r="G35" s="10">
        <f t="shared" si="0"/>
        <v>0</v>
      </c>
      <c r="H35" s="10"/>
      <c r="I35" s="10">
        <f t="shared" si="1"/>
        <v>0</v>
      </c>
      <c r="J35" s="10"/>
      <c r="K35" s="10">
        <f t="shared" si="2"/>
        <v>0</v>
      </c>
      <c r="L35" s="10">
        <f t="shared" si="3"/>
        <v>0</v>
      </c>
    </row>
    <row r="36" spans="1:16" x14ac:dyDescent="0.3">
      <c r="A36" s="2"/>
      <c r="B36" s="17" t="s">
        <v>335</v>
      </c>
      <c r="C36" s="18" t="s">
        <v>72</v>
      </c>
      <c r="D36" s="15"/>
      <c r="E36" s="19">
        <v>42</v>
      </c>
      <c r="F36" s="10"/>
      <c r="G36" s="10">
        <f t="shared" si="0"/>
        <v>0</v>
      </c>
      <c r="H36" s="10"/>
      <c r="I36" s="10">
        <f t="shared" si="1"/>
        <v>0</v>
      </c>
      <c r="J36" s="10"/>
      <c r="K36" s="10">
        <f t="shared" si="2"/>
        <v>0</v>
      </c>
      <c r="L36" s="10">
        <f t="shared" si="3"/>
        <v>0</v>
      </c>
    </row>
    <row r="37" spans="1:16" x14ac:dyDescent="0.3">
      <c r="A37" s="2"/>
      <c r="B37" s="17" t="s">
        <v>336</v>
      </c>
      <c r="C37" s="18" t="s">
        <v>72</v>
      </c>
      <c r="D37" s="19"/>
      <c r="E37" s="19">
        <v>34</v>
      </c>
      <c r="F37" s="10"/>
      <c r="G37" s="10">
        <f t="shared" si="0"/>
        <v>0</v>
      </c>
      <c r="H37" s="10"/>
      <c r="I37" s="10">
        <f t="shared" si="1"/>
        <v>0</v>
      </c>
      <c r="J37" s="10"/>
      <c r="K37" s="10">
        <f t="shared" si="2"/>
        <v>0</v>
      </c>
      <c r="L37" s="10">
        <f t="shared" si="3"/>
        <v>0</v>
      </c>
    </row>
    <row r="38" spans="1:16" x14ac:dyDescent="0.3">
      <c r="A38" s="2"/>
      <c r="B38" s="17" t="s">
        <v>337</v>
      </c>
      <c r="C38" s="18" t="s">
        <v>72</v>
      </c>
      <c r="D38" s="19"/>
      <c r="E38" s="19">
        <v>13</v>
      </c>
      <c r="F38" s="10"/>
      <c r="G38" s="10">
        <f t="shared" si="0"/>
        <v>0</v>
      </c>
      <c r="H38" s="10"/>
      <c r="I38" s="10">
        <f t="shared" si="1"/>
        <v>0</v>
      </c>
      <c r="J38" s="10"/>
      <c r="K38" s="10">
        <f t="shared" si="2"/>
        <v>0</v>
      </c>
      <c r="L38" s="10">
        <f t="shared" si="3"/>
        <v>0</v>
      </c>
    </row>
    <row r="39" spans="1:16" x14ac:dyDescent="0.3">
      <c r="A39" s="2"/>
      <c r="B39" s="17" t="s">
        <v>338</v>
      </c>
      <c r="C39" s="18" t="s">
        <v>72</v>
      </c>
      <c r="D39" s="15"/>
      <c r="E39" s="19">
        <v>29</v>
      </c>
      <c r="F39" s="10"/>
      <c r="G39" s="10">
        <f t="shared" si="0"/>
        <v>0</v>
      </c>
      <c r="H39" s="10"/>
      <c r="I39" s="10">
        <f t="shared" si="1"/>
        <v>0</v>
      </c>
      <c r="J39" s="10"/>
      <c r="K39" s="10">
        <f t="shared" si="2"/>
        <v>0</v>
      </c>
      <c r="L39" s="10">
        <f t="shared" si="3"/>
        <v>0</v>
      </c>
    </row>
    <row r="40" spans="1:16" x14ac:dyDescent="0.3">
      <c r="A40" s="2"/>
      <c r="B40" s="17" t="s">
        <v>340</v>
      </c>
      <c r="C40" s="18" t="s">
        <v>72</v>
      </c>
      <c r="D40" s="19"/>
      <c r="E40" s="19">
        <v>95</v>
      </c>
      <c r="F40" s="10"/>
      <c r="G40" s="10">
        <f t="shared" si="0"/>
        <v>0</v>
      </c>
      <c r="H40" s="10"/>
      <c r="I40" s="10">
        <f t="shared" si="1"/>
        <v>0</v>
      </c>
      <c r="J40" s="10"/>
      <c r="K40" s="10">
        <f t="shared" si="2"/>
        <v>0</v>
      </c>
      <c r="L40" s="10">
        <f t="shared" si="3"/>
        <v>0</v>
      </c>
    </row>
    <row r="41" spans="1:16" x14ac:dyDescent="0.3">
      <c r="A41" s="2"/>
      <c r="B41" s="17" t="s">
        <v>341</v>
      </c>
      <c r="C41" s="18" t="s">
        <v>72</v>
      </c>
      <c r="D41" s="19"/>
      <c r="E41" s="19">
        <v>21</v>
      </c>
      <c r="F41" s="10"/>
      <c r="G41" s="10">
        <f t="shared" si="0"/>
        <v>0</v>
      </c>
      <c r="H41" s="10"/>
      <c r="I41" s="10">
        <f t="shared" si="1"/>
        <v>0</v>
      </c>
      <c r="J41" s="10"/>
      <c r="K41" s="10">
        <f t="shared" si="2"/>
        <v>0</v>
      </c>
      <c r="L41" s="10">
        <f t="shared" si="3"/>
        <v>0</v>
      </c>
    </row>
    <row r="42" spans="1:16" x14ac:dyDescent="0.3">
      <c r="A42" s="2"/>
      <c r="B42" s="17" t="s">
        <v>343</v>
      </c>
      <c r="C42" s="18" t="s">
        <v>72</v>
      </c>
      <c r="D42" s="15"/>
      <c r="E42" s="19">
        <v>308</v>
      </c>
      <c r="F42" s="10"/>
      <c r="G42" s="10">
        <f>F42*E42</f>
        <v>0</v>
      </c>
      <c r="H42" s="10"/>
      <c r="I42" s="10">
        <f>H42*E42</f>
        <v>0</v>
      </c>
      <c r="J42" s="10"/>
      <c r="K42" s="10">
        <f>J42*E42</f>
        <v>0</v>
      </c>
      <c r="L42" s="10">
        <f>K42+I42+G42</f>
        <v>0</v>
      </c>
    </row>
    <row r="43" spans="1:16" x14ac:dyDescent="0.3">
      <c r="A43" s="2">
        <f>A28+1</f>
        <v>6</v>
      </c>
      <c r="B43" s="14" t="s">
        <v>339</v>
      </c>
      <c r="C43" s="2" t="s">
        <v>376</v>
      </c>
      <c r="D43" s="15"/>
      <c r="E43" s="15">
        <v>1</v>
      </c>
      <c r="F43" s="10"/>
      <c r="G43" s="10">
        <f>F43*E43</f>
        <v>0</v>
      </c>
      <c r="H43" s="10"/>
      <c r="I43" s="10">
        <f>H43*E43</f>
        <v>0</v>
      </c>
      <c r="J43" s="10"/>
      <c r="K43" s="10">
        <f>J43*E43</f>
        <v>0</v>
      </c>
      <c r="L43" s="10">
        <f>K43+I43+G43</f>
        <v>0</v>
      </c>
    </row>
    <row r="44" spans="1:16" ht="43.2" x14ac:dyDescent="0.3">
      <c r="A44" s="2">
        <f>A43+1</f>
        <v>7</v>
      </c>
      <c r="B44" s="14" t="s">
        <v>342</v>
      </c>
      <c r="C44" s="2" t="s">
        <v>376</v>
      </c>
      <c r="D44" s="15"/>
      <c r="E44" s="15">
        <v>20</v>
      </c>
      <c r="F44" s="10"/>
      <c r="G44" s="10">
        <f t="shared" si="0"/>
        <v>0</v>
      </c>
      <c r="H44" s="10"/>
      <c r="I44" s="10">
        <f t="shared" si="1"/>
        <v>0</v>
      </c>
      <c r="J44" s="10"/>
      <c r="K44" s="10">
        <f t="shared" si="2"/>
        <v>0</v>
      </c>
      <c r="L44" s="10">
        <f t="shared" si="3"/>
        <v>0</v>
      </c>
    </row>
    <row r="45" spans="1:16" ht="43.2" x14ac:dyDescent="0.3">
      <c r="A45" s="2">
        <f>A44+1</f>
        <v>8</v>
      </c>
      <c r="B45" s="14" t="s">
        <v>344</v>
      </c>
      <c r="C45" s="2" t="s">
        <v>72</v>
      </c>
      <c r="D45" s="15"/>
      <c r="E45" s="15">
        <v>4</v>
      </c>
      <c r="F45" s="10"/>
      <c r="G45" s="10">
        <f t="shared" si="0"/>
        <v>0</v>
      </c>
      <c r="H45" s="10"/>
      <c r="I45" s="10">
        <f t="shared" si="1"/>
        <v>0</v>
      </c>
      <c r="J45" s="10"/>
      <c r="K45" s="10">
        <f t="shared" si="2"/>
        <v>0</v>
      </c>
      <c r="L45" s="10">
        <f t="shared" si="3"/>
        <v>0</v>
      </c>
    </row>
    <row r="46" spans="1:16" x14ac:dyDescent="0.3">
      <c r="A46" s="2"/>
      <c r="B46" s="17" t="s">
        <v>51</v>
      </c>
      <c r="C46" s="18" t="s">
        <v>47</v>
      </c>
      <c r="D46" s="19"/>
      <c r="E46" s="19">
        <v>4</v>
      </c>
      <c r="F46" s="10"/>
      <c r="G46" s="10">
        <f t="shared" si="0"/>
        <v>0</v>
      </c>
      <c r="H46" s="10"/>
      <c r="I46" s="10">
        <f t="shared" si="1"/>
        <v>0</v>
      </c>
      <c r="J46" s="10"/>
      <c r="K46" s="10">
        <f t="shared" si="2"/>
        <v>0</v>
      </c>
      <c r="L46" s="10">
        <f t="shared" si="3"/>
        <v>0</v>
      </c>
    </row>
    <row r="47" spans="1:16" x14ac:dyDescent="0.3">
      <c r="A47" s="2">
        <f>A45+1</f>
        <v>9</v>
      </c>
      <c r="B47" s="14" t="s">
        <v>345</v>
      </c>
      <c r="C47" s="2" t="s">
        <v>72</v>
      </c>
      <c r="D47" s="15"/>
      <c r="E47" s="15">
        <v>2</v>
      </c>
      <c r="F47" s="10"/>
      <c r="G47" s="10">
        <f t="shared" si="0"/>
        <v>0</v>
      </c>
      <c r="H47" s="10"/>
      <c r="I47" s="10">
        <f t="shared" si="1"/>
        <v>0</v>
      </c>
      <c r="J47" s="10"/>
      <c r="K47" s="10">
        <f t="shared" si="2"/>
        <v>0</v>
      </c>
      <c r="L47" s="10">
        <f t="shared" si="3"/>
        <v>0</v>
      </c>
    </row>
    <row r="48" spans="1:16" x14ac:dyDescent="0.3">
      <c r="A48" s="2">
        <f>A47+1</f>
        <v>10</v>
      </c>
      <c r="B48" s="14" t="s">
        <v>346</v>
      </c>
      <c r="C48" s="2" t="s">
        <v>72</v>
      </c>
      <c r="D48" s="15"/>
      <c r="E48" s="15">
        <v>2</v>
      </c>
      <c r="F48" s="10"/>
      <c r="G48" s="10">
        <f t="shared" si="0"/>
        <v>0</v>
      </c>
      <c r="H48" s="10"/>
      <c r="I48" s="10">
        <f t="shared" si="1"/>
        <v>0</v>
      </c>
      <c r="J48" s="10"/>
      <c r="K48" s="10">
        <f t="shared" si="2"/>
        <v>0</v>
      </c>
      <c r="L48" s="10">
        <f t="shared" si="3"/>
        <v>0</v>
      </c>
    </row>
    <row r="49" spans="1:16" ht="28.8" x14ac:dyDescent="0.3">
      <c r="A49" s="2">
        <f>A48+1</f>
        <v>11</v>
      </c>
      <c r="B49" s="14" t="s">
        <v>347</v>
      </c>
      <c r="C49" s="2" t="s">
        <v>72</v>
      </c>
      <c r="D49" s="15"/>
      <c r="E49" s="15">
        <v>1</v>
      </c>
      <c r="F49" s="10"/>
      <c r="G49" s="10">
        <f t="shared" si="0"/>
        <v>0</v>
      </c>
      <c r="H49" s="10"/>
      <c r="I49" s="10">
        <f t="shared" si="1"/>
        <v>0</v>
      </c>
      <c r="J49" s="10"/>
      <c r="K49" s="10">
        <f t="shared" si="2"/>
        <v>0</v>
      </c>
      <c r="L49" s="10">
        <f t="shared" si="3"/>
        <v>0</v>
      </c>
    </row>
    <row r="50" spans="1:16" x14ac:dyDescent="0.3">
      <c r="A50" s="2">
        <f>A49+1</f>
        <v>12</v>
      </c>
      <c r="B50" s="14" t="s">
        <v>379</v>
      </c>
      <c r="C50" s="2" t="s">
        <v>12</v>
      </c>
      <c r="D50" s="15"/>
      <c r="E50" s="15">
        <f>SUM(E51:E58)</f>
        <v>1807</v>
      </c>
      <c r="F50" s="10"/>
      <c r="G50" s="10">
        <f t="shared" ref="G50" si="8">F50*E50</f>
        <v>0</v>
      </c>
      <c r="H50" s="10"/>
      <c r="I50" s="10">
        <f t="shared" ref="I50" si="9">H50*E50</f>
        <v>0</v>
      </c>
      <c r="J50" s="10"/>
      <c r="K50" s="10">
        <f t="shared" ref="K50" si="10">J50*E50</f>
        <v>0</v>
      </c>
      <c r="L50" s="10">
        <f t="shared" ref="L50" si="11">K50+I50+G50</f>
        <v>0</v>
      </c>
    </row>
    <row r="51" spans="1:16" x14ac:dyDescent="0.3">
      <c r="A51" s="2"/>
      <c r="B51" s="17" t="s">
        <v>348</v>
      </c>
      <c r="C51" s="18" t="s">
        <v>12</v>
      </c>
      <c r="D51" s="19"/>
      <c r="E51" s="19">
        <v>359</v>
      </c>
      <c r="F51" s="10"/>
      <c r="G51" s="10">
        <f t="shared" si="0"/>
        <v>0</v>
      </c>
      <c r="H51" s="10"/>
      <c r="I51" s="10">
        <f t="shared" si="1"/>
        <v>0</v>
      </c>
      <c r="J51" s="10"/>
      <c r="K51" s="10">
        <f t="shared" si="2"/>
        <v>0</v>
      </c>
      <c r="L51" s="10">
        <f t="shared" si="3"/>
        <v>0</v>
      </c>
    </row>
    <row r="52" spans="1:16" x14ac:dyDescent="0.3">
      <c r="A52" s="2"/>
      <c r="B52" s="17" t="s">
        <v>349</v>
      </c>
      <c r="C52" s="18" t="s">
        <v>12</v>
      </c>
      <c r="D52" s="19"/>
      <c r="E52" s="19">
        <v>262</v>
      </c>
      <c r="F52" s="10"/>
      <c r="G52" s="10">
        <f t="shared" si="0"/>
        <v>0</v>
      </c>
      <c r="H52" s="10"/>
      <c r="I52" s="10">
        <f t="shared" si="1"/>
        <v>0</v>
      </c>
      <c r="J52" s="10"/>
      <c r="K52" s="10">
        <f t="shared" si="2"/>
        <v>0</v>
      </c>
      <c r="L52" s="10">
        <f t="shared" si="3"/>
        <v>0</v>
      </c>
    </row>
    <row r="53" spans="1:16" x14ac:dyDescent="0.3">
      <c r="A53" s="2"/>
      <c r="B53" s="17" t="s">
        <v>350</v>
      </c>
      <c r="C53" s="18" t="s">
        <v>12</v>
      </c>
      <c r="D53" s="19"/>
      <c r="E53" s="19">
        <v>179</v>
      </c>
      <c r="F53" s="10"/>
      <c r="G53" s="10">
        <f t="shared" si="0"/>
        <v>0</v>
      </c>
      <c r="H53" s="10"/>
      <c r="I53" s="10">
        <f t="shared" si="1"/>
        <v>0</v>
      </c>
      <c r="J53" s="10"/>
      <c r="K53" s="10">
        <f t="shared" si="2"/>
        <v>0</v>
      </c>
      <c r="L53" s="10">
        <f t="shared" si="3"/>
        <v>0</v>
      </c>
    </row>
    <row r="54" spans="1:16" x14ac:dyDescent="0.3">
      <c r="A54" s="2"/>
      <c r="B54" s="17" t="s">
        <v>351</v>
      </c>
      <c r="C54" s="18" t="s">
        <v>12</v>
      </c>
      <c r="D54" s="27"/>
      <c r="E54" s="19">
        <v>60</v>
      </c>
      <c r="F54" s="10"/>
      <c r="G54" s="10">
        <f t="shared" ref="G54:G79" si="12">F54*E54</f>
        <v>0</v>
      </c>
      <c r="H54" s="10"/>
      <c r="I54" s="10">
        <f t="shared" ref="I54:I79" si="13">H54*E54</f>
        <v>0</v>
      </c>
      <c r="J54" s="10"/>
      <c r="K54" s="10">
        <f t="shared" ref="K54:K79" si="14">J54*E54</f>
        <v>0</v>
      </c>
      <c r="L54" s="10">
        <f t="shared" ref="L54:L79" si="15">K54+I54+G54</f>
        <v>0</v>
      </c>
    </row>
    <row r="55" spans="1:16" x14ac:dyDescent="0.3">
      <c r="A55" s="2"/>
      <c r="B55" s="17" t="s">
        <v>352</v>
      </c>
      <c r="C55" s="18" t="s">
        <v>12</v>
      </c>
      <c r="D55" s="27"/>
      <c r="E55" s="19">
        <v>579</v>
      </c>
      <c r="F55" s="10"/>
      <c r="G55" s="10">
        <f t="shared" si="12"/>
        <v>0</v>
      </c>
      <c r="H55" s="10"/>
      <c r="I55" s="10">
        <f t="shared" si="13"/>
        <v>0</v>
      </c>
      <c r="J55" s="10"/>
      <c r="K55" s="10">
        <f t="shared" si="14"/>
        <v>0</v>
      </c>
      <c r="L55" s="10">
        <f t="shared" si="15"/>
        <v>0</v>
      </c>
    </row>
    <row r="56" spans="1:16" x14ac:dyDescent="0.3">
      <c r="A56" s="2"/>
      <c r="B56" s="17" t="s">
        <v>353</v>
      </c>
      <c r="C56" s="18" t="s">
        <v>12</v>
      </c>
      <c r="D56" s="27"/>
      <c r="E56" s="19">
        <v>177</v>
      </c>
      <c r="F56" s="10"/>
      <c r="G56" s="10">
        <f t="shared" si="12"/>
        <v>0</v>
      </c>
      <c r="H56" s="10"/>
      <c r="I56" s="10">
        <f t="shared" si="13"/>
        <v>0</v>
      </c>
      <c r="J56" s="10"/>
      <c r="K56" s="10">
        <f t="shared" si="14"/>
        <v>0</v>
      </c>
      <c r="L56" s="10">
        <f t="shared" si="15"/>
        <v>0</v>
      </c>
    </row>
    <row r="57" spans="1:16" x14ac:dyDescent="0.3">
      <c r="A57" s="2"/>
      <c r="B57" s="17" t="s">
        <v>354</v>
      </c>
      <c r="C57" s="18" t="s">
        <v>12</v>
      </c>
      <c r="D57" s="15"/>
      <c r="E57" s="19">
        <v>85</v>
      </c>
      <c r="F57" s="10"/>
      <c r="G57" s="10">
        <f t="shared" si="12"/>
        <v>0</v>
      </c>
      <c r="H57" s="10"/>
      <c r="I57" s="10">
        <f t="shared" si="13"/>
        <v>0</v>
      </c>
      <c r="J57" s="10"/>
      <c r="K57" s="10">
        <f t="shared" si="14"/>
        <v>0</v>
      </c>
      <c r="L57" s="10">
        <f t="shared" si="15"/>
        <v>0</v>
      </c>
    </row>
    <row r="58" spans="1:16" x14ac:dyDescent="0.3">
      <c r="A58" s="2"/>
      <c r="B58" s="17" t="s">
        <v>355</v>
      </c>
      <c r="C58" s="18" t="s">
        <v>12</v>
      </c>
      <c r="D58" s="19"/>
      <c r="E58" s="19">
        <v>106</v>
      </c>
      <c r="F58" s="10"/>
      <c r="G58" s="10">
        <f t="shared" si="12"/>
        <v>0</v>
      </c>
      <c r="H58" s="10"/>
      <c r="I58" s="10">
        <f t="shared" si="13"/>
        <v>0</v>
      </c>
      <c r="J58" s="10"/>
      <c r="K58" s="10">
        <f t="shared" si="14"/>
        <v>0</v>
      </c>
      <c r="L58" s="10">
        <f t="shared" si="15"/>
        <v>0</v>
      </c>
    </row>
    <row r="59" spans="1:16" x14ac:dyDescent="0.3">
      <c r="A59" s="2"/>
      <c r="B59" s="17" t="s">
        <v>356</v>
      </c>
      <c r="C59" s="18" t="s">
        <v>12</v>
      </c>
      <c r="D59" s="19"/>
      <c r="E59" s="19">
        <v>937</v>
      </c>
      <c r="F59" s="10"/>
      <c r="G59" s="10">
        <f t="shared" si="12"/>
        <v>0</v>
      </c>
      <c r="H59" s="10"/>
      <c r="I59" s="10">
        <f t="shared" si="13"/>
        <v>0</v>
      </c>
      <c r="J59" s="10"/>
      <c r="K59" s="10">
        <f t="shared" si="14"/>
        <v>0</v>
      </c>
      <c r="L59" s="10">
        <f t="shared" si="15"/>
        <v>0</v>
      </c>
    </row>
    <row r="60" spans="1:16" x14ac:dyDescent="0.3">
      <c r="A60" s="2"/>
      <c r="B60" s="17" t="s">
        <v>357</v>
      </c>
      <c r="C60" s="18" t="s">
        <v>12</v>
      </c>
      <c r="D60" s="19"/>
      <c r="E60" s="19">
        <v>439</v>
      </c>
      <c r="F60" s="10"/>
      <c r="G60" s="10">
        <f t="shared" si="12"/>
        <v>0</v>
      </c>
      <c r="H60" s="10"/>
      <c r="I60" s="10">
        <f t="shared" si="13"/>
        <v>0</v>
      </c>
      <c r="J60" s="10"/>
      <c r="K60" s="10">
        <f t="shared" si="14"/>
        <v>0</v>
      </c>
      <c r="L60" s="10">
        <f t="shared" si="15"/>
        <v>0</v>
      </c>
    </row>
    <row r="61" spans="1:16" x14ac:dyDescent="0.3">
      <c r="A61" s="2"/>
      <c r="B61" s="17" t="s">
        <v>358</v>
      </c>
      <c r="C61" s="18" t="s">
        <v>12</v>
      </c>
      <c r="D61" s="19"/>
      <c r="E61" s="19">
        <v>265</v>
      </c>
      <c r="F61" s="10"/>
      <c r="G61" s="10">
        <f t="shared" si="12"/>
        <v>0</v>
      </c>
      <c r="H61" s="10"/>
      <c r="I61" s="10">
        <f t="shared" si="13"/>
        <v>0</v>
      </c>
      <c r="J61" s="10"/>
      <c r="K61" s="10">
        <f t="shared" si="14"/>
        <v>0</v>
      </c>
      <c r="L61" s="10">
        <f t="shared" si="15"/>
        <v>0</v>
      </c>
    </row>
    <row r="62" spans="1:16" ht="28.8" x14ac:dyDescent="0.3">
      <c r="A62" s="2"/>
      <c r="B62" s="17" t="s">
        <v>359</v>
      </c>
      <c r="C62" s="18" t="s">
        <v>12</v>
      </c>
      <c r="D62" s="19"/>
      <c r="E62" s="19">
        <v>166</v>
      </c>
      <c r="F62" s="10"/>
      <c r="G62" s="10">
        <f t="shared" si="12"/>
        <v>0</v>
      </c>
      <c r="H62" s="10"/>
      <c r="I62" s="10">
        <f t="shared" si="13"/>
        <v>0</v>
      </c>
      <c r="J62" s="10"/>
      <c r="K62" s="10">
        <f t="shared" si="14"/>
        <v>0</v>
      </c>
      <c r="L62" s="10">
        <f t="shared" si="15"/>
        <v>0</v>
      </c>
      <c r="N62" s="9"/>
      <c r="P62" s="9"/>
    </row>
    <row r="63" spans="1:16" x14ac:dyDescent="0.3">
      <c r="A63" s="2">
        <f>A50+1</f>
        <v>13</v>
      </c>
      <c r="B63" s="14" t="s">
        <v>360</v>
      </c>
      <c r="C63" s="2" t="s">
        <v>376</v>
      </c>
      <c r="D63" s="15"/>
      <c r="E63" s="15">
        <v>1</v>
      </c>
      <c r="F63" s="10"/>
      <c r="G63" s="10">
        <f t="shared" si="12"/>
        <v>0</v>
      </c>
      <c r="H63" s="10"/>
      <c r="I63" s="10">
        <f t="shared" si="13"/>
        <v>0</v>
      </c>
      <c r="J63" s="10"/>
      <c r="K63" s="10">
        <f t="shared" si="14"/>
        <v>0</v>
      </c>
      <c r="L63" s="10">
        <f t="shared" si="15"/>
        <v>0</v>
      </c>
    </row>
    <row r="64" spans="1:16" x14ac:dyDescent="0.3">
      <c r="A64" s="2">
        <f>A63+1</f>
        <v>14</v>
      </c>
      <c r="B64" s="14" t="s">
        <v>380</v>
      </c>
      <c r="C64" s="2" t="s">
        <v>72</v>
      </c>
      <c r="D64" s="15"/>
      <c r="E64" s="15">
        <f>SUM(E65:E76)</f>
        <v>417</v>
      </c>
      <c r="F64" s="10"/>
      <c r="G64" s="10">
        <f t="shared" ref="G64" si="16">F64*E64</f>
        <v>0</v>
      </c>
      <c r="H64" s="10"/>
      <c r="I64" s="10">
        <f t="shared" ref="I64" si="17">H64*E64</f>
        <v>0</v>
      </c>
      <c r="J64" s="10"/>
      <c r="K64" s="10">
        <f t="shared" ref="K64" si="18">J64*E64</f>
        <v>0</v>
      </c>
      <c r="L64" s="10">
        <f t="shared" ref="L64" si="19">K64+I64+G64</f>
        <v>0</v>
      </c>
    </row>
    <row r="65" spans="1:12" x14ac:dyDescent="0.3">
      <c r="A65" s="2"/>
      <c r="B65" s="17" t="s">
        <v>361</v>
      </c>
      <c r="C65" s="18" t="s">
        <v>72</v>
      </c>
      <c r="D65" s="19"/>
      <c r="E65" s="19">
        <v>66</v>
      </c>
      <c r="F65" s="10"/>
      <c r="G65" s="10">
        <f t="shared" si="12"/>
        <v>0</v>
      </c>
      <c r="H65" s="10"/>
      <c r="I65" s="10">
        <f t="shared" si="13"/>
        <v>0</v>
      </c>
      <c r="J65" s="10"/>
      <c r="K65" s="10">
        <f t="shared" si="14"/>
        <v>0</v>
      </c>
      <c r="L65" s="10">
        <f t="shared" si="15"/>
        <v>0</v>
      </c>
    </row>
    <row r="66" spans="1:12" x14ac:dyDescent="0.3">
      <c r="A66" s="2"/>
      <c r="B66" s="17" t="s">
        <v>362</v>
      </c>
      <c r="C66" s="18" t="s">
        <v>72</v>
      </c>
      <c r="D66" s="15"/>
      <c r="E66" s="19">
        <v>12</v>
      </c>
      <c r="F66" s="10"/>
      <c r="G66" s="10">
        <f t="shared" si="12"/>
        <v>0</v>
      </c>
      <c r="H66" s="10"/>
      <c r="I66" s="10">
        <f t="shared" si="13"/>
        <v>0</v>
      </c>
      <c r="J66" s="10"/>
      <c r="K66" s="10">
        <f t="shared" si="14"/>
        <v>0</v>
      </c>
      <c r="L66" s="10">
        <f t="shared" si="15"/>
        <v>0</v>
      </c>
    </row>
    <row r="67" spans="1:12" x14ac:dyDescent="0.3">
      <c r="A67" s="2"/>
      <c r="B67" s="17" t="s">
        <v>363</v>
      </c>
      <c r="C67" s="18" t="s">
        <v>72</v>
      </c>
      <c r="D67" s="19"/>
      <c r="E67" s="19">
        <v>6</v>
      </c>
      <c r="F67" s="10"/>
      <c r="G67" s="10">
        <f t="shared" si="12"/>
        <v>0</v>
      </c>
      <c r="H67" s="10"/>
      <c r="I67" s="10">
        <f t="shared" si="13"/>
        <v>0</v>
      </c>
      <c r="J67" s="10"/>
      <c r="K67" s="10">
        <f t="shared" si="14"/>
        <v>0</v>
      </c>
      <c r="L67" s="10">
        <f t="shared" si="15"/>
        <v>0</v>
      </c>
    </row>
    <row r="68" spans="1:12" x14ac:dyDescent="0.3">
      <c r="A68" s="2"/>
      <c r="B68" s="17" t="s">
        <v>364</v>
      </c>
      <c r="C68" s="18" t="s">
        <v>72</v>
      </c>
      <c r="D68" s="19"/>
      <c r="E68" s="19">
        <v>1</v>
      </c>
      <c r="F68" s="10"/>
      <c r="G68" s="10">
        <f t="shared" si="12"/>
        <v>0</v>
      </c>
      <c r="H68" s="10"/>
      <c r="I68" s="10">
        <f t="shared" si="13"/>
        <v>0</v>
      </c>
      <c r="J68" s="10"/>
      <c r="K68" s="10">
        <f t="shared" si="14"/>
        <v>0</v>
      </c>
      <c r="L68" s="10">
        <f t="shared" si="15"/>
        <v>0</v>
      </c>
    </row>
    <row r="69" spans="1:12" x14ac:dyDescent="0.3">
      <c r="A69" s="2"/>
      <c r="B69" s="17" t="s">
        <v>365</v>
      </c>
      <c r="C69" s="18" t="s">
        <v>72</v>
      </c>
      <c r="D69" s="15"/>
      <c r="E69" s="19">
        <v>132</v>
      </c>
      <c r="F69" s="10"/>
      <c r="G69" s="10">
        <f t="shared" si="12"/>
        <v>0</v>
      </c>
      <c r="H69" s="10"/>
      <c r="I69" s="10">
        <f t="shared" si="13"/>
        <v>0</v>
      </c>
      <c r="J69" s="10"/>
      <c r="K69" s="10">
        <f t="shared" si="14"/>
        <v>0</v>
      </c>
      <c r="L69" s="10">
        <f t="shared" si="15"/>
        <v>0</v>
      </c>
    </row>
    <row r="70" spans="1:12" x14ac:dyDescent="0.3">
      <c r="A70" s="2"/>
      <c r="B70" s="17" t="s">
        <v>366</v>
      </c>
      <c r="C70" s="18" t="s">
        <v>72</v>
      </c>
      <c r="D70" s="19"/>
      <c r="E70" s="19">
        <v>24</v>
      </c>
      <c r="F70" s="10"/>
      <c r="G70" s="10">
        <f t="shared" si="12"/>
        <v>0</v>
      </c>
      <c r="H70" s="10"/>
      <c r="I70" s="10">
        <f t="shared" si="13"/>
        <v>0</v>
      </c>
      <c r="J70" s="10"/>
      <c r="K70" s="10">
        <f t="shared" si="14"/>
        <v>0</v>
      </c>
      <c r="L70" s="10">
        <f t="shared" si="15"/>
        <v>0</v>
      </c>
    </row>
    <row r="71" spans="1:12" x14ac:dyDescent="0.3">
      <c r="A71" s="2"/>
      <c r="B71" s="17" t="s">
        <v>367</v>
      </c>
      <c r="C71" s="18" t="s">
        <v>72</v>
      </c>
      <c r="D71" s="19"/>
      <c r="E71" s="19">
        <v>12</v>
      </c>
      <c r="F71" s="10"/>
      <c r="G71" s="10">
        <f t="shared" si="12"/>
        <v>0</v>
      </c>
      <c r="H71" s="10"/>
      <c r="I71" s="10">
        <f t="shared" si="13"/>
        <v>0</v>
      </c>
      <c r="J71" s="10"/>
      <c r="K71" s="10">
        <f t="shared" si="14"/>
        <v>0</v>
      </c>
      <c r="L71" s="10">
        <f t="shared" si="15"/>
        <v>0</v>
      </c>
    </row>
    <row r="72" spans="1:12" x14ac:dyDescent="0.3">
      <c r="A72" s="2"/>
      <c r="B72" s="17" t="s">
        <v>368</v>
      </c>
      <c r="C72" s="18" t="s">
        <v>72</v>
      </c>
      <c r="D72" s="19"/>
      <c r="E72" s="19">
        <v>2</v>
      </c>
      <c r="F72" s="10"/>
      <c r="G72" s="10">
        <f t="shared" si="12"/>
        <v>0</v>
      </c>
      <c r="H72" s="10"/>
      <c r="I72" s="10">
        <f t="shared" si="13"/>
        <v>0</v>
      </c>
      <c r="J72" s="10"/>
      <c r="K72" s="10">
        <f t="shared" si="14"/>
        <v>0</v>
      </c>
      <c r="L72" s="10">
        <f t="shared" si="15"/>
        <v>0</v>
      </c>
    </row>
    <row r="73" spans="1:12" x14ac:dyDescent="0.3">
      <c r="A73" s="2"/>
      <c r="B73" s="17" t="s">
        <v>369</v>
      </c>
      <c r="C73" s="18" t="s">
        <v>72</v>
      </c>
      <c r="D73" s="19"/>
      <c r="E73" s="19">
        <v>63</v>
      </c>
      <c r="F73" s="10"/>
      <c r="G73" s="10">
        <f t="shared" si="12"/>
        <v>0</v>
      </c>
      <c r="H73" s="10"/>
      <c r="I73" s="10">
        <f t="shared" si="13"/>
        <v>0</v>
      </c>
      <c r="J73" s="10"/>
      <c r="K73" s="10">
        <f t="shared" si="14"/>
        <v>0</v>
      </c>
      <c r="L73" s="10">
        <f t="shared" si="15"/>
        <v>0</v>
      </c>
    </row>
    <row r="74" spans="1:12" x14ac:dyDescent="0.3">
      <c r="A74" s="2"/>
      <c r="B74" s="17" t="s">
        <v>370</v>
      </c>
      <c r="C74" s="18" t="s">
        <v>72</v>
      </c>
      <c r="D74" s="15"/>
      <c r="E74" s="19">
        <v>18</v>
      </c>
      <c r="F74" s="10"/>
      <c r="G74" s="10">
        <f t="shared" si="12"/>
        <v>0</v>
      </c>
      <c r="H74" s="10"/>
      <c r="I74" s="10">
        <f t="shared" si="13"/>
        <v>0</v>
      </c>
      <c r="J74" s="10"/>
      <c r="K74" s="10">
        <f t="shared" si="14"/>
        <v>0</v>
      </c>
      <c r="L74" s="10">
        <f t="shared" si="15"/>
        <v>0</v>
      </c>
    </row>
    <row r="75" spans="1:12" x14ac:dyDescent="0.3">
      <c r="A75" s="2"/>
      <c r="B75" s="17" t="s">
        <v>371</v>
      </c>
      <c r="C75" s="18" t="s">
        <v>72</v>
      </c>
      <c r="D75" s="19"/>
      <c r="E75" s="19">
        <v>63</v>
      </c>
      <c r="F75" s="10"/>
      <c r="G75" s="10">
        <f t="shared" si="12"/>
        <v>0</v>
      </c>
      <c r="H75" s="10"/>
      <c r="I75" s="10">
        <f t="shared" si="13"/>
        <v>0</v>
      </c>
      <c r="J75" s="10"/>
      <c r="K75" s="10">
        <f t="shared" si="14"/>
        <v>0</v>
      </c>
      <c r="L75" s="10">
        <f t="shared" si="15"/>
        <v>0</v>
      </c>
    </row>
    <row r="76" spans="1:12" x14ac:dyDescent="0.3">
      <c r="A76" s="2"/>
      <c r="B76" s="17" t="s">
        <v>372</v>
      </c>
      <c r="C76" s="18" t="s">
        <v>72</v>
      </c>
      <c r="D76" s="19"/>
      <c r="E76" s="19">
        <v>18</v>
      </c>
      <c r="F76" s="10"/>
      <c r="G76" s="10">
        <f t="shared" si="12"/>
        <v>0</v>
      </c>
      <c r="H76" s="10"/>
      <c r="I76" s="10">
        <f t="shared" si="13"/>
        <v>0</v>
      </c>
      <c r="J76" s="10"/>
      <c r="K76" s="10">
        <f t="shared" si="14"/>
        <v>0</v>
      </c>
      <c r="L76" s="10">
        <f t="shared" si="15"/>
        <v>0</v>
      </c>
    </row>
    <row r="77" spans="1:12" x14ac:dyDescent="0.3">
      <c r="A77" s="2">
        <f>A64+1</f>
        <v>15</v>
      </c>
      <c r="B77" s="14" t="s">
        <v>373</v>
      </c>
      <c r="C77" s="2" t="s">
        <v>16</v>
      </c>
      <c r="D77" s="15"/>
      <c r="E77" s="15">
        <v>1</v>
      </c>
      <c r="F77" s="10"/>
      <c r="G77" s="10">
        <f t="shared" si="12"/>
        <v>0</v>
      </c>
      <c r="H77" s="10"/>
      <c r="I77" s="10">
        <f t="shared" si="13"/>
        <v>0</v>
      </c>
      <c r="J77" s="10"/>
      <c r="K77" s="10">
        <f t="shared" si="14"/>
        <v>0</v>
      </c>
      <c r="L77" s="10">
        <f t="shared" si="15"/>
        <v>0</v>
      </c>
    </row>
    <row r="78" spans="1:12" ht="28.8" x14ac:dyDescent="0.3">
      <c r="A78" s="2">
        <f>A77+1</f>
        <v>16</v>
      </c>
      <c r="B78" s="14" t="s">
        <v>374</v>
      </c>
      <c r="C78" s="2" t="s">
        <v>16</v>
      </c>
      <c r="D78" s="15"/>
      <c r="E78" s="15">
        <v>1</v>
      </c>
      <c r="F78" s="10"/>
      <c r="G78" s="10">
        <f t="shared" si="12"/>
        <v>0</v>
      </c>
      <c r="H78" s="10"/>
      <c r="I78" s="10">
        <f t="shared" si="13"/>
        <v>0</v>
      </c>
      <c r="J78" s="10"/>
      <c r="K78" s="10">
        <f t="shared" si="14"/>
        <v>0</v>
      </c>
      <c r="L78" s="10">
        <f t="shared" si="15"/>
        <v>0</v>
      </c>
    </row>
    <row r="79" spans="1:12" x14ac:dyDescent="0.3">
      <c r="A79" s="2">
        <f>A78+1</f>
        <v>17</v>
      </c>
      <c r="B79" s="14" t="s">
        <v>377</v>
      </c>
      <c r="C79" s="2" t="s">
        <v>72</v>
      </c>
      <c r="D79" s="15"/>
      <c r="E79" s="15">
        <v>13</v>
      </c>
      <c r="F79" s="10"/>
      <c r="G79" s="10">
        <f t="shared" si="12"/>
        <v>0</v>
      </c>
      <c r="H79" s="10"/>
      <c r="I79" s="10">
        <f t="shared" si="13"/>
        <v>0</v>
      </c>
      <c r="J79" s="10"/>
      <c r="K79" s="10">
        <f t="shared" si="14"/>
        <v>0</v>
      </c>
      <c r="L79" s="10">
        <f t="shared" si="15"/>
        <v>0</v>
      </c>
    </row>
    <row r="80" spans="1:12" x14ac:dyDescent="0.3">
      <c r="A80" s="3"/>
      <c r="B80" s="3" t="s">
        <v>7</v>
      </c>
      <c r="C80" s="3"/>
      <c r="D80" s="24"/>
      <c r="E80" s="24"/>
      <c r="F80" s="25"/>
      <c r="G80" s="25">
        <f>SUM(G10:G79)</f>
        <v>0</v>
      </c>
      <c r="H80" s="25"/>
      <c r="I80" s="25">
        <f>SUM(I10:I79)</f>
        <v>0</v>
      </c>
      <c r="J80" s="25"/>
      <c r="K80" s="25">
        <f>SUM(K10:K79)</f>
        <v>0</v>
      </c>
      <c r="L80" s="25">
        <f>SUM(L10:L79)</f>
        <v>0</v>
      </c>
    </row>
    <row r="81" spans="1:12" x14ac:dyDescent="0.3">
      <c r="A81" s="2"/>
      <c r="B81" s="5" t="s">
        <v>226</v>
      </c>
      <c r="C81" s="1"/>
      <c r="D81" s="8"/>
      <c r="E81" s="26">
        <v>0.03</v>
      </c>
      <c r="F81" s="10"/>
      <c r="G81" s="10"/>
      <c r="H81" s="10"/>
      <c r="I81" s="10"/>
      <c r="J81" s="10"/>
      <c r="K81" s="10"/>
      <c r="L81" s="10">
        <f>G80*E81</f>
        <v>0</v>
      </c>
    </row>
    <row r="82" spans="1:12" x14ac:dyDescent="0.3">
      <c r="A82" s="2"/>
      <c r="B82" s="2" t="s">
        <v>7</v>
      </c>
      <c r="C82" s="1"/>
      <c r="D82" s="8"/>
      <c r="E82" s="26"/>
      <c r="F82" s="10"/>
      <c r="G82" s="10"/>
      <c r="H82" s="10"/>
      <c r="I82" s="10"/>
      <c r="J82" s="10"/>
      <c r="K82" s="10"/>
      <c r="L82" s="10">
        <f>L81+L80</f>
        <v>0</v>
      </c>
    </row>
    <row r="83" spans="1:12" x14ac:dyDescent="0.3">
      <c r="A83" s="2"/>
      <c r="B83" s="5" t="s">
        <v>227</v>
      </c>
      <c r="C83" s="1"/>
      <c r="D83" s="8"/>
      <c r="E83" s="26">
        <v>0.1</v>
      </c>
      <c r="F83" s="10"/>
      <c r="G83" s="10"/>
      <c r="H83" s="10"/>
      <c r="I83" s="10"/>
      <c r="J83" s="10"/>
      <c r="K83" s="10"/>
      <c r="L83" s="10">
        <f>L82*E83</f>
        <v>0</v>
      </c>
    </row>
    <row r="84" spans="1:12" x14ac:dyDescent="0.3">
      <c r="A84" s="2"/>
      <c r="B84" s="2" t="s">
        <v>7</v>
      </c>
      <c r="C84" s="1"/>
      <c r="D84" s="8"/>
      <c r="E84" s="26"/>
      <c r="F84" s="10"/>
      <c r="G84" s="10"/>
      <c r="H84" s="10"/>
      <c r="I84" s="10"/>
      <c r="J84" s="10"/>
      <c r="K84" s="10"/>
      <c r="L84" s="10">
        <f>L83+L82</f>
        <v>0</v>
      </c>
    </row>
    <row r="85" spans="1:12" x14ac:dyDescent="0.3">
      <c r="A85" s="2"/>
      <c r="B85" s="5" t="s">
        <v>228</v>
      </c>
      <c r="C85" s="1"/>
      <c r="D85" s="8"/>
      <c r="E85" s="26">
        <v>0.01</v>
      </c>
      <c r="F85" s="10"/>
      <c r="G85" s="10"/>
      <c r="H85" s="10"/>
      <c r="I85" s="10"/>
      <c r="J85" s="10"/>
      <c r="K85" s="10"/>
      <c r="L85" s="10">
        <f>L84*E85</f>
        <v>0</v>
      </c>
    </row>
    <row r="86" spans="1:12" x14ac:dyDescent="0.3">
      <c r="A86" s="2"/>
      <c r="B86" s="2" t="s">
        <v>7</v>
      </c>
      <c r="C86" s="1"/>
      <c r="D86" s="8"/>
      <c r="E86" s="26"/>
      <c r="F86" s="10"/>
      <c r="G86" s="10"/>
      <c r="H86" s="10"/>
      <c r="I86" s="10"/>
      <c r="J86" s="10"/>
      <c r="K86" s="10"/>
      <c r="L86" s="10">
        <f>L85+L84</f>
        <v>0</v>
      </c>
    </row>
    <row r="87" spans="1:12" x14ac:dyDescent="0.3">
      <c r="A87" s="2"/>
      <c r="B87" s="5" t="s">
        <v>229</v>
      </c>
      <c r="C87" s="1"/>
      <c r="D87" s="8"/>
      <c r="E87" s="26">
        <v>0.08</v>
      </c>
      <c r="F87" s="10"/>
      <c r="G87" s="10"/>
      <c r="H87" s="10"/>
      <c r="I87" s="10"/>
      <c r="J87" s="10"/>
      <c r="K87" s="10"/>
      <c r="L87" s="10">
        <f>L86*E87</f>
        <v>0</v>
      </c>
    </row>
    <row r="88" spans="1:12" x14ac:dyDescent="0.3">
      <c r="A88" s="2"/>
      <c r="B88" s="2" t="s">
        <v>7</v>
      </c>
      <c r="C88" s="1"/>
      <c r="D88" s="8"/>
      <c r="E88" s="26"/>
      <c r="F88" s="10"/>
      <c r="G88" s="10"/>
      <c r="H88" s="10"/>
      <c r="I88" s="10"/>
      <c r="J88" s="10"/>
      <c r="K88" s="10"/>
      <c r="L88" s="10">
        <f>L87+L86</f>
        <v>0</v>
      </c>
    </row>
    <row r="89" spans="1:12" x14ac:dyDescent="0.3">
      <c r="A89" s="2"/>
      <c r="B89" s="5" t="s">
        <v>230</v>
      </c>
      <c r="C89" s="1"/>
      <c r="D89" s="8"/>
      <c r="E89" s="26">
        <v>0.03</v>
      </c>
      <c r="F89" s="10"/>
      <c r="G89" s="10"/>
      <c r="H89" s="10"/>
      <c r="I89" s="10"/>
      <c r="J89" s="10"/>
      <c r="K89" s="10"/>
      <c r="L89" s="10">
        <f>L88*E89</f>
        <v>0</v>
      </c>
    </row>
    <row r="90" spans="1:12" x14ac:dyDescent="0.3">
      <c r="A90" s="2"/>
      <c r="B90" s="2" t="s">
        <v>7</v>
      </c>
      <c r="C90" s="1"/>
      <c r="D90" s="8"/>
      <c r="E90" s="26"/>
      <c r="F90" s="10"/>
      <c r="G90" s="10"/>
      <c r="H90" s="10"/>
      <c r="I90" s="10"/>
      <c r="J90" s="10"/>
      <c r="K90" s="10"/>
      <c r="L90" s="10">
        <f>L89+L88</f>
        <v>0</v>
      </c>
    </row>
    <row r="91" spans="1:12" x14ac:dyDescent="0.3">
      <c r="A91" s="2"/>
      <c r="B91" s="5" t="s">
        <v>231</v>
      </c>
      <c r="C91" s="1"/>
      <c r="D91" s="8"/>
      <c r="E91" s="26">
        <v>0.18</v>
      </c>
      <c r="F91" s="10"/>
      <c r="G91" s="10"/>
      <c r="H91" s="10"/>
      <c r="I91" s="10"/>
      <c r="J91" s="10"/>
      <c r="K91" s="10"/>
      <c r="L91" s="10">
        <f>L90*E91</f>
        <v>0</v>
      </c>
    </row>
    <row r="92" spans="1:12" x14ac:dyDescent="0.3">
      <c r="A92" s="3"/>
      <c r="B92" s="3" t="s">
        <v>232</v>
      </c>
      <c r="C92" s="3"/>
      <c r="D92" s="24"/>
      <c r="E92" s="24"/>
      <c r="F92" s="25"/>
      <c r="G92" s="25"/>
      <c r="H92" s="25"/>
      <c r="I92" s="25"/>
      <c r="J92" s="25"/>
      <c r="K92" s="25"/>
      <c r="L92" s="25">
        <f>L91+L90</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0"/>
  <sheetViews>
    <sheetView zoomScale="85" zoomScaleNormal="85" workbookViewId="0">
      <selection activeCell="Z16" sqref="Z16"/>
    </sheetView>
  </sheetViews>
  <sheetFormatPr defaultRowHeight="14.4" x14ac:dyDescent="0.3"/>
  <cols>
    <col min="1" max="1" width="8.88671875" style="7"/>
    <col min="2" max="2" width="73.33203125"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9.21875" bestFit="1" customWidth="1"/>
  </cols>
  <sheetData>
    <row r="2" spans="1:12" x14ac:dyDescent="0.3">
      <c r="A2" s="40" t="s">
        <v>1036</v>
      </c>
      <c r="B2" s="40"/>
      <c r="C2" s="40"/>
      <c r="D2" s="40"/>
      <c r="E2" s="40"/>
      <c r="F2" s="40"/>
      <c r="G2" s="40"/>
      <c r="H2" s="40"/>
      <c r="I2" s="40"/>
      <c r="J2" s="40"/>
      <c r="K2" s="40"/>
      <c r="L2" s="40"/>
    </row>
    <row r="3" spans="1:12" x14ac:dyDescent="0.3">
      <c r="A3" s="40" t="s">
        <v>1037</v>
      </c>
      <c r="B3" s="40"/>
      <c r="C3" s="40"/>
      <c r="D3" s="40"/>
      <c r="E3" s="40"/>
      <c r="F3" s="40"/>
      <c r="G3" s="40"/>
      <c r="H3" s="40"/>
      <c r="I3" s="40"/>
      <c r="J3" s="40"/>
      <c r="K3" s="40"/>
      <c r="L3" s="40"/>
    </row>
    <row r="4" spans="1:12" x14ac:dyDescent="0.3">
      <c r="A4" s="36" t="s">
        <v>1050</v>
      </c>
      <c r="K4" s="33" t="s">
        <v>1038</v>
      </c>
      <c r="L4" s="34" t="str">
        <f>'2000 მ²'!L4</f>
        <v>001</v>
      </c>
    </row>
    <row r="5" spans="1:12" x14ac:dyDescent="0.3">
      <c r="A5" s="36" t="s">
        <v>1044</v>
      </c>
      <c r="K5" s="33" t="s">
        <v>1040</v>
      </c>
      <c r="L5" s="35">
        <f>'2000 მ²'!L5</f>
        <v>45887</v>
      </c>
    </row>
    <row r="6" spans="1:12" ht="28.8" customHeight="1" x14ac:dyDescent="0.3">
      <c r="A6" s="43" t="s">
        <v>0</v>
      </c>
      <c r="B6" s="43" t="s">
        <v>1</v>
      </c>
      <c r="C6" s="43" t="s">
        <v>2</v>
      </c>
      <c r="D6" s="45" t="s">
        <v>9</v>
      </c>
      <c r="E6" s="45" t="s">
        <v>3</v>
      </c>
      <c r="F6" s="41" t="s">
        <v>4</v>
      </c>
      <c r="G6" s="42"/>
      <c r="H6" s="41" t="s">
        <v>5</v>
      </c>
      <c r="I6" s="42"/>
      <c r="J6" s="41" t="s">
        <v>6</v>
      </c>
      <c r="K6" s="42"/>
      <c r="L6" s="43" t="s">
        <v>7</v>
      </c>
    </row>
    <row r="7" spans="1:12" ht="23.4" customHeight="1" x14ac:dyDescent="0.3">
      <c r="A7" s="44"/>
      <c r="B7" s="44"/>
      <c r="C7" s="44"/>
      <c r="D7" s="46"/>
      <c r="E7" s="46"/>
      <c r="F7" s="3" t="s">
        <v>8</v>
      </c>
      <c r="G7" s="3" t="s">
        <v>7</v>
      </c>
      <c r="H7" s="3" t="s">
        <v>8</v>
      </c>
      <c r="I7" s="3" t="s">
        <v>7</v>
      </c>
      <c r="J7" s="3" t="s">
        <v>8</v>
      </c>
      <c r="K7" s="3" t="s">
        <v>7</v>
      </c>
      <c r="L7" s="44"/>
    </row>
    <row r="8" spans="1:12" x14ac:dyDescent="0.3">
      <c r="A8" s="3">
        <v>1</v>
      </c>
      <c r="B8" s="3">
        <v>2</v>
      </c>
      <c r="C8" s="3">
        <v>3</v>
      </c>
      <c r="D8" s="3">
        <v>4</v>
      </c>
      <c r="E8" s="3">
        <v>5</v>
      </c>
      <c r="F8" s="3">
        <v>6</v>
      </c>
      <c r="G8" s="3">
        <v>7</v>
      </c>
      <c r="H8" s="3">
        <v>8</v>
      </c>
      <c r="I8" s="3">
        <v>9</v>
      </c>
      <c r="J8" s="3">
        <v>10</v>
      </c>
      <c r="K8" s="3">
        <v>11</v>
      </c>
      <c r="L8" s="3">
        <v>12</v>
      </c>
    </row>
    <row r="9" spans="1:12" x14ac:dyDescent="0.3">
      <c r="A9" s="11"/>
      <c r="B9" s="11" t="s">
        <v>428</v>
      </c>
      <c r="C9" s="4"/>
      <c r="D9" s="12"/>
      <c r="E9" s="12"/>
      <c r="F9" s="13"/>
      <c r="G9" s="13"/>
      <c r="H9" s="13"/>
      <c r="I9" s="13"/>
      <c r="J9" s="13"/>
      <c r="K9" s="13"/>
      <c r="L9" s="13"/>
    </row>
    <row r="10" spans="1:12" x14ac:dyDescent="0.3">
      <c r="A10" s="2">
        <v>1</v>
      </c>
      <c r="B10" s="14" t="s">
        <v>381</v>
      </c>
      <c r="C10" s="2" t="s">
        <v>12</v>
      </c>
      <c r="D10" s="15"/>
      <c r="E10" s="15">
        <v>498</v>
      </c>
      <c r="F10" s="10"/>
      <c r="G10" s="10">
        <f t="shared" ref="G10:G87" si="0">F10*E10</f>
        <v>0</v>
      </c>
      <c r="H10" s="10"/>
      <c r="I10" s="10">
        <f t="shared" ref="I10:I87" si="1">H10*E10</f>
        <v>0</v>
      </c>
      <c r="J10" s="10"/>
      <c r="K10" s="10">
        <f t="shared" ref="K10:K87" si="2">J10*E10</f>
        <v>0</v>
      </c>
      <c r="L10" s="10">
        <f t="shared" ref="L10:L87" si="3">K10+I10+G10</f>
        <v>0</v>
      </c>
    </row>
    <row r="11" spans="1:12" x14ac:dyDescent="0.3">
      <c r="A11" s="2"/>
      <c r="B11" s="17" t="s">
        <v>382</v>
      </c>
      <c r="C11" s="18" t="s">
        <v>12</v>
      </c>
      <c r="D11" s="19"/>
      <c r="E11" s="19">
        <v>498</v>
      </c>
      <c r="F11" s="10"/>
      <c r="G11" s="10">
        <f t="shared" si="0"/>
        <v>0</v>
      </c>
      <c r="H11" s="10"/>
      <c r="I11" s="10">
        <f t="shared" si="1"/>
        <v>0</v>
      </c>
      <c r="J11" s="10"/>
      <c r="K11" s="10">
        <f t="shared" si="2"/>
        <v>0</v>
      </c>
      <c r="L11" s="10">
        <f t="shared" si="3"/>
        <v>0</v>
      </c>
    </row>
    <row r="12" spans="1:12" x14ac:dyDescent="0.3">
      <c r="A12" s="2"/>
      <c r="B12" s="17" t="s">
        <v>383</v>
      </c>
      <c r="C12" s="18" t="s">
        <v>12</v>
      </c>
      <c r="D12" s="19"/>
      <c r="E12" s="19">
        <v>498</v>
      </c>
      <c r="F12" s="10"/>
      <c r="G12" s="10">
        <f t="shared" si="0"/>
        <v>0</v>
      </c>
      <c r="H12" s="10"/>
      <c r="I12" s="10">
        <f t="shared" si="1"/>
        <v>0</v>
      </c>
      <c r="J12" s="10"/>
      <c r="K12" s="10">
        <f t="shared" si="2"/>
        <v>0</v>
      </c>
      <c r="L12" s="10">
        <f t="shared" si="3"/>
        <v>0</v>
      </c>
    </row>
    <row r="13" spans="1:12" x14ac:dyDescent="0.3">
      <c r="A13" s="2"/>
      <c r="B13" s="17" t="s">
        <v>384</v>
      </c>
      <c r="C13" s="18" t="s">
        <v>18</v>
      </c>
      <c r="D13" s="19"/>
      <c r="E13" s="19">
        <v>45</v>
      </c>
      <c r="F13" s="10"/>
      <c r="G13" s="10">
        <f t="shared" si="0"/>
        <v>0</v>
      </c>
      <c r="H13" s="10"/>
      <c r="I13" s="10">
        <f t="shared" si="1"/>
        <v>0</v>
      </c>
      <c r="J13" s="10"/>
      <c r="K13" s="10">
        <f t="shared" si="2"/>
        <v>0</v>
      </c>
      <c r="L13" s="10">
        <f t="shared" si="3"/>
        <v>0</v>
      </c>
    </row>
    <row r="14" spans="1:12" ht="28.8" x14ac:dyDescent="0.3">
      <c r="A14" s="2">
        <f>A10+1</f>
        <v>2</v>
      </c>
      <c r="B14" s="14" t="s">
        <v>385</v>
      </c>
      <c r="C14" s="2" t="s">
        <v>72</v>
      </c>
      <c r="D14" s="15"/>
      <c r="E14" s="15">
        <v>11</v>
      </c>
      <c r="F14" s="10"/>
      <c r="G14" s="10">
        <f t="shared" si="0"/>
        <v>0</v>
      </c>
      <c r="H14" s="10"/>
      <c r="I14" s="10">
        <f t="shared" si="1"/>
        <v>0</v>
      </c>
      <c r="J14" s="10"/>
      <c r="K14" s="10">
        <f t="shared" si="2"/>
        <v>0</v>
      </c>
      <c r="L14" s="10">
        <f t="shared" si="3"/>
        <v>0</v>
      </c>
    </row>
    <row r="15" spans="1:12" x14ac:dyDescent="0.3">
      <c r="A15" s="2"/>
      <c r="B15" s="17" t="s">
        <v>382</v>
      </c>
      <c r="C15" s="18" t="s">
        <v>72</v>
      </c>
      <c r="D15" s="19"/>
      <c r="E15" s="19">
        <v>11</v>
      </c>
      <c r="F15" s="10"/>
      <c r="G15" s="10">
        <f t="shared" si="0"/>
        <v>0</v>
      </c>
      <c r="H15" s="10"/>
      <c r="I15" s="10">
        <f t="shared" si="1"/>
        <v>0</v>
      </c>
      <c r="J15" s="10"/>
      <c r="K15" s="10">
        <f t="shared" si="2"/>
        <v>0</v>
      </c>
      <c r="L15" s="10">
        <f t="shared" si="3"/>
        <v>0</v>
      </c>
    </row>
    <row r="16" spans="1:12" x14ac:dyDescent="0.3">
      <c r="A16" s="2"/>
      <c r="B16" s="17" t="s">
        <v>386</v>
      </c>
      <c r="C16" s="18" t="s">
        <v>38</v>
      </c>
      <c r="D16" s="19"/>
      <c r="E16" s="19">
        <v>0.11</v>
      </c>
      <c r="F16" s="10"/>
      <c r="G16" s="10">
        <f t="shared" si="0"/>
        <v>0</v>
      </c>
      <c r="H16" s="10"/>
      <c r="I16" s="10">
        <f t="shared" si="1"/>
        <v>0</v>
      </c>
      <c r="J16" s="10"/>
      <c r="K16" s="10">
        <f t="shared" si="2"/>
        <v>0</v>
      </c>
      <c r="L16" s="10">
        <f t="shared" si="3"/>
        <v>0</v>
      </c>
    </row>
    <row r="17" spans="1:12" x14ac:dyDescent="0.3">
      <c r="A17" s="2"/>
      <c r="B17" s="17" t="s">
        <v>387</v>
      </c>
      <c r="C17" s="18" t="s">
        <v>18</v>
      </c>
      <c r="D17" s="19"/>
      <c r="E17" s="19">
        <v>1.65</v>
      </c>
      <c r="F17" s="10"/>
      <c r="G17" s="10">
        <f t="shared" si="0"/>
        <v>0</v>
      </c>
      <c r="H17" s="10"/>
      <c r="I17" s="10">
        <f t="shared" si="1"/>
        <v>0</v>
      </c>
      <c r="J17" s="10"/>
      <c r="K17" s="10">
        <f t="shared" si="2"/>
        <v>0</v>
      </c>
      <c r="L17" s="10">
        <f t="shared" si="3"/>
        <v>0</v>
      </c>
    </row>
    <row r="18" spans="1:12" x14ac:dyDescent="0.3">
      <c r="A18" s="2"/>
      <c r="B18" s="17" t="s">
        <v>388</v>
      </c>
      <c r="C18" s="18" t="s">
        <v>421</v>
      </c>
      <c r="D18" s="27"/>
      <c r="E18" s="19">
        <v>11</v>
      </c>
      <c r="F18" s="10"/>
      <c r="G18" s="10">
        <f t="shared" si="0"/>
        <v>0</v>
      </c>
      <c r="H18" s="10"/>
      <c r="I18" s="10">
        <f t="shared" si="1"/>
        <v>0</v>
      </c>
      <c r="J18" s="10"/>
      <c r="K18" s="10">
        <f t="shared" si="2"/>
        <v>0</v>
      </c>
      <c r="L18" s="10">
        <f t="shared" si="3"/>
        <v>0</v>
      </c>
    </row>
    <row r="19" spans="1:12" x14ac:dyDescent="0.3">
      <c r="A19" s="2">
        <f>A14+1</f>
        <v>3</v>
      </c>
      <c r="B19" s="14" t="s">
        <v>389</v>
      </c>
      <c r="C19" s="2" t="s">
        <v>72</v>
      </c>
      <c r="D19" s="32"/>
      <c r="E19" s="15">
        <v>11</v>
      </c>
      <c r="F19" s="10"/>
      <c r="G19" s="10">
        <f t="shared" si="0"/>
        <v>0</v>
      </c>
      <c r="H19" s="10"/>
      <c r="I19" s="10">
        <f t="shared" si="1"/>
        <v>0</v>
      </c>
      <c r="J19" s="10"/>
      <c r="K19" s="10">
        <f t="shared" si="2"/>
        <v>0</v>
      </c>
      <c r="L19" s="10">
        <f t="shared" si="3"/>
        <v>0</v>
      </c>
    </row>
    <row r="20" spans="1:12" x14ac:dyDescent="0.3">
      <c r="A20" s="2"/>
      <c r="B20" s="17" t="s">
        <v>390</v>
      </c>
      <c r="C20" s="18" t="s">
        <v>72</v>
      </c>
      <c r="D20" s="27"/>
      <c r="E20" s="19">
        <v>11</v>
      </c>
      <c r="F20" s="10"/>
      <c r="G20" s="10">
        <f t="shared" si="0"/>
        <v>0</v>
      </c>
      <c r="H20" s="10"/>
      <c r="I20" s="10">
        <f t="shared" si="1"/>
        <v>0</v>
      </c>
      <c r="J20" s="10"/>
      <c r="K20" s="10">
        <f t="shared" si="2"/>
        <v>0</v>
      </c>
      <c r="L20" s="10">
        <f t="shared" si="3"/>
        <v>0</v>
      </c>
    </row>
    <row r="21" spans="1:12" x14ac:dyDescent="0.3">
      <c r="A21" s="2"/>
      <c r="B21" s="17" t="s">
        <v>391</v>
      </c>
      <c r="C21" s="18" t="s">
        <v>72</v>
      </c>
      <c r="D21" s="19"/>
      <c r="E21" s="19">
        <v>11</v>
      </c>
      <c r="F21" s="10"/>
      <c r="G21" s="10">
        <f t="shared" si="0"/>
        <v>0</v>
      </c>
      <c r="H21" s="10"/>
      <c r="I21" s="10">
        <f t="shared" si="1"/>
        <v>0</v>
      </c>
      <c r="J21" s="10"/>
      <c r="K21" s="10">
        <f t="shared" si="2"/>
        <v>0</v>
      </c>
      <c r="L21" s="10">
        <f t="shared" si="3"/>
        <v>0</v>
      </c>
    </row>
    <row r="22" spans="1:12" ht="28.8" x14ac:dyDescent="0.3">
      <c r="A22" s="2">
        <f>A19+1</f>
        <v>4</v>
      </c>
      <c r="B22" s="14" t="s">
        <v>392</v>
      </c>
      <c r="C22" s="2" t="s">
        <v>72</v>
      </c>
      <c r="D22" s="15"/>
      <c r="E22" s="15">
        <v>5</v>
      </c>
      <c r="F22" s="10"/>
      <c r="G22" s="10">
        <f t="shared" si="0"/>
        <v>0</v>
      </c>
      <c r="H22" s="10"/>
      <c r="I22" s="10">
        <f t="shared" si="1"/>
        <v>0</v>
      </c>
      <c r="J22" s="10"/>
      <c r="K22" s="10">
        <f t="shared" si="2"/>
        <v>0</v>
      </c>
      <c r="L22" s="10">
        <f t="shared" si="3"/>
        <v>0</v>
      </c>
    </row>
    <row r="23" spans="1:12" x14ac:dyDescent="0.3">
      <c r="A23" s="2"/>
      <c r="B23" s="17" t="s">
        <v>382</v>
      </c>
      <c r="C23" s="18" t="s">
        <v>72</v>
      </c>
      <c r="D23" s="19"/>
      <c r="E23" s="19">
        <v>5</v>
      </c>
      <c r="F23" s="10"/>
      <c r="G23" s="10">
        <f t="shared" si="0"/>
        <v>0</v>
      </c>
      <c r="H23" s="10"/>
      <c r="I23" s="10">
        <f t="shared" si="1"/>
        <v>0</v>
      </c>
      <c r="J23" s="10"/>
      <c r="K23" s="10">
        <f t="shared" si="2"/>
        <v>0</v>
      </c>
      <c r="L23" s="10">
        <f t="shared" si="3"/>
        <v>0</v>
      </c>
    </row>
    <row r="24" spans="1:12" x14ac:dyDescent="0.3">
      <c r="A24" s="2"/>
      <c r="B24" s="17" t="s">
        <v>386</v>
      </c>
      <c r="C24" s="18" t="s">
        <v>38</v>
      </c>
      <c r="D24" s="19"/>
      <c r="E24" s="19">
        <v>0.05</v>
      </c>
      <c r="F24" s="10"/>
      <c r="G24" s="10">
        <f t="shared" si="0"/>
        <v>0</v>
      </c>
      <c r="H24" s="10"/>
      <c r="I24" s="10">
        <f t="shared" si="1"/>
        <v>0</v>
      </c>
      <c r="J24" s="10"/>
      <c r="K24" s="10">
        <f t="shared" si="2"/>
        <v>0</v>
      </c>
      <c r="L24" s="10">
        <f t="shared" si="3"/>
        <v>0</v>
      </c>
    </row>
    <row r="25" spans="1:12" x14ac:dyDescent="0.3">
      <c r="A25" s="2"/>
      <c r="B25" s="17" t="s">
        <v>387</v>
      </c>
      <c r="C25" s="18" t="s">
        <v>18</v>
      </c>
      <c r="D25" s="19"/>
      <c r="E25" s="19">
        <v>0.75</v>
      </c>
      <c r="F25" s="10"/>
      <c r="G25" s="10">
        <f t="shared" si="0"/>
        <v>0</v>
      </c>
      <c r="H25" s="10"/>
      <c r="I25" s="10">
        <f t="shared" si="1"/>
        <v>0</v>
      </c>
      <c r="J25" s="10"/>
      <c r="K25" s="10">
        <f t="shared" si="2"/>
        <v>0</v>
      </c>
      <c r="L25" s="10">
        <f t="shared" si="3"/>
        <v>0</v>
      </c>
    </row>
    <row r="26" spans="1:12" x14ac:dyDescent="0.3">
      <c r="A26" s="2"/>
      <c r="B26" s="17" t="s">
        <v>388</v>
      </c>
      <c r="C26" s="18" t="s">
        <v>421</v>
      </c>
      <c r="D26" s="19"/>
      <c r="E26" s="19">
        <v>5</v>
      </c>
      <c r="F26" s="10"/>
      <c r="G26" s="10">
        <f t="shared" si="0"/>
        <v>0</v>
      </c>
      <c r="H26" s="10"/>
      <c r="I26" s="10">
        <f t="shared" si="1"/>
        <v>0</v>
      </c>
      <c r="J26" s="10"/>
      <c r="K26" s="10">
        <f t="shared" si="2"/>
        <v>0</v>
      </c>
      <c r="L26" s="10">
        <f t="shared" si="3"/>
        <v>0</v>
      </c>
    </row>
    <row r="27" spans="1:12" x14ac:dyDescent="0.3">
      <c r="A27" s="2">
        <f>A22+1</f>
        <v>5</v>
      </c>
      <c r="B27" s="14" t="s">
        <v>393</v>
      </c>
      <c r="C27" s="2" t="s">
        <v>72</v>
      </c>
      <c r="D27" s="15"/>
      <c r="E27" s="15">
        <v>5</v>
      </c>
      <c r="F27" s="10"/>
      <c r="G27" s="10">
        <f t="shared" si="0"/>
        <v>0</v>
      </c>
      <c r="H27" s="10"/>
      <c r="I27" s="10">
        <f t="shared" si="1"/>
        <v>0</v>
      </c>
      <c r="J27" s="10"/>
      <c r="K27" s="10">
        <f t="shared" si="2"/>
        <v>0</v>
      </c>
      <c r="L27" s="10">
        <f t="shared" si="3"/>
        <v>0</v>
      </c>
    </row>
    <row r="28" spans="1:12" x14ac:dyDescent="0.3">
      <c r="A28" s="2"/>
      <c r="B28" s="17" t="s">
        <v>390</v>
      </c>
      <c r="C28" s="18" t="s">
        <v>72</v>
      </c>
      <c r="D28" s="19"/>
      <c r="E28" s="19">
        <v>5</v>
      </c>
      <c r="F28" s="10"/>
      <c r="G28" s="10">
        <f t="shared" si="0"/>
        <v>0</v>
      </c>
      <c r="H28" s="10"/>
      <c r="I28" s="10">
        <f t="shared" si="1"/>
        <v>0</v>
      </c>
      <c r="J28" s="10"/>
      <c r="K28" s="10">
        <f t="shared" si="2"/>
        <v>0</v>
      </c>
      <c r="L28" s="10">
        <f t="shared" si="3"/>
        <v>0</v>
      </c>
    </row>
    <row r="29" spans="1:12" x14ac:dyDescent="0.3">
      <c r="A29" s="2"/>
      <c r="B29" s="17" t="s">
        <v>391</v>
      </c>
      <c r="C29" s="18" t="s">
        <v>72</v>
      </c>
      <c r="D29" s="19"/>
      <c r="E29" s="19">
        <v>5</v>
      </c>
      <c r="F29" s="10"/>
      <c r="G29" s="10">
        <f t="shared" si="0"/>
        <v>0</v>
      </c>
      <c r="H29" s="10"/>
      <c r="I29" s="10">
        <f t="shared" si="1"/>
        <v>0</v>
      </c>
      <c r="J29" s="10"/>
      <c r="K29" s="10">
        <f t="shared" si="2"/>
        <v>0</v>
      </c>
      <c r="L29" s="10">
        <f t="shared" si="3"/>
        <v>0</v>
      </c>
    </row>
    <row r="30" spans="1:12" ht="28.8" x14ac:dyDescent="0.3">
      <c r="A30" s="2">
        <f>A27+1</f>
        <v>6</v>
      </c>
      <c r="B30" s="14" t="s">
        <v>394</v>
      </c>
      <c r="C30" s="2" t="s">
        <v>72</v>
      </c>
      <c r="D30" s="15"/>
      <c r="E30" s="15">
        <v>2</v>
      </c>
      <c r="F30" s="10"/>
      <c r="G30" s="10">
        <f t="shared" si="0"/>
        <v>0</v>
      </c>
      <c r="H30" s="10"/>
      <c r="I30" s="10">
        <f t="shared" si="1"/>
        <v>0</v>
      </c>
      <c r="J30" s="10"/>
      <c r="K30" s="10">
        <f t="shared" si="2"/>
        <v>0</v>
      </c>
      <c r="L30" s="10">
        <f t="shared" si="3"/>
        <v>0</v>
      </c>
    </row>
    <row r="31" spans="1:12" x14ac:dyDescent="0.3">
      <c r="A31" s="2"/>
      <c r="B31" s="17" t="s">
        <v>382</v>
      </c>
      <c r="C31" s="18" t="s">
        <v>72</v>
      </c>
      <c r="D31" s="19"/>
      <c r="E31" s="19">
        <v>2</v>
      </c>
      <c r="F31" s="10"/>
      <c r="G31" s="10">
        <f t="shared" si="0"/>
        <v>0</v>
      </c>
      <c r="H31" s="10"/>
      <c r="I31" s="10">
        <f t="shared" si="1"/>
        <v>0</v>
      </c>
      <c r="J31" s="10"/>
      <c r="K31" s="10">
        <f t="shared" si="2"/>
        <v>0</v>
      </c>
      <c r="L31" s="10">
        <f t="shared" si="3"/>
        <v>0</v>
      </c>
    </row>
    <row r="32" spans="1:12" x14ac:dyDescent="0.3">
      <c r="A32" s="2"/>
      <c r="B32" s="17" t="s">
        <v>386</v>
      </c>
      <c r="C32" s="18" t="s">
        <v>38</v>
      </c>
      <c r="D32" s="19"/>
      <c r="E32" s="19">
        <v>0.02</v>
      </c>
      <c r="F32" s="10"/>
      <c r="G32" s="10">
        <f t="shared" si="0"/>
        <v>0</v>
      </c>
      <c r="H32" s="10"/>
      <c r="I32" s="10">
        <f t="shared" si="1"/>
        <v>0</v>
      </c>
      <c r="J32" s="10"/>
      <c r="K32" s="10">
        <f t="shared" si="2"/>
        <v>0</v>
      </c>
      <c r="L32" s="10">
        <f t="shared" si="3"/>
        <v>0</v>
      </c>
    </row>
    <row r="33" spans="1:16" x14ac:dyDescent="0.3">
      <c r="A33" s="2"/>
      <c r="B33" s="17" t="s">
        <v>395</v>
      </c>
      <c r="C33" s="18" t="s">
        <v>18</v>
      </c>
      <c r="D33" s="27"/>
      <c r="E33" s="19">
        <v>0.3</v>
      </c>
      <c r="F33" s="10"/>
      <c r="G33" s="10">
        <f t="shared" si="0"/>
        <v>0</v>
      </c>
      <c r="H33" s="10"/>
      <c r="I33" s="10">
        <f t="shared" si="1"/>
        <v>0</v>
      </c>
      <c r="J33" s="10"/>
      <c r="K33" s="10">
        <f t="shared" si="2"/>
        <v>0</v>
      </c>
      <c r="L33" s="10">
        <f t="shared" si="3"/>
        <v>0</v>
      </c>
    </row>
    <row r="34" spans="1:16" x14ac:dyDescent="0.3">
      <c r="A34" s="2"/>
      <c r="B34" s="17" t="s">
        <v>388</v>
      </c>
      <c r="C34" s="18" t="s">
        <v>421</v>
      </c>
      <c r="D34" s="19"/>
      <c r="E34" s="19">
        <v>2</v>
      </c>
      <c r="F34" s="10"/>
      <c r="G34" s="10">
        <f t="shared" si="0"/>
        <v>0</v>
      </c>
      <c r="H34" s="10"/>
      <c r="I34" s="10">
        <f t="shared" si="1"/>
        <v>0</v>
      </c>
      <c r="J34" s="10"/>
      <c r="K34" s="10">
        <f t="shared" si="2"/>
        <v>0</v>
      </c>
      <c r="L34" s="10">
        <f t="shared" si="3"/>
        <v>0</v>
      </c>
      <c r="N34" s="9"/>
    </row>
    <row r="35" spans="1:16" x14ac:dyDescent="0.3">
      <c r="A35" s="2">
        <f>A30+1</f>
        <v>7</v>
      </c>
      <c r="B35" s="14" t="s">
        <v>396</v>
      </c>
      <c r="C35" s="2" t="s">
        <v>72</v>
      </c>
      <c r="D35" s="15"/>
      <c r="E35" s="15">
        <v>2</v>
      </c>
      <c r="F35" s="10"/>
      <c r="G35" s="10">
        <f t="shared" si="0"/>
        <v>0</v>
      </c>
      <c r="H35" s="10"/>
      <c r="I35" s="10">
        <f t="shared" si="1"/>
        <v>0</v>
      </c>
      <c r="J35" s="10"/>
      <c r="K35" s="10">
        <f t="shared" si="2"/>
        <v>0</v>
      </c>
      <c r="L35" s="10">
        <f t="shared" si="3"/>
        <v>0</v>
      </c>
    </row>
    <row r="36" spans="1:16" x14ac:dyDescent="0.3">
      <c r="A36" s="2"/>
      <c r="B36" s="17" t="s">
        <v>390</v>
      </c>
      <c r="C36" s="18" t="s">
        <v>72</v>
      </c>
      <c r="D36" s="19"/>
      <c r="E36" s="19">
        <v>2</v>
      </c>
      <c r="F36" s="10"/>
      <c r="G36" s="10">
        <f t="shared" si="0"/>
        <v>0</v>
      </c>
      <c r="H36" s="10"/>
      <c r="I36" s="10">
        <f t="shared" si="1"/>
        <v>0</v>
      </c>
      <c r="J36" s="10"/>
      <c r="K36" s="10">
        <f t="shared" si="2"/>
        <v>0</v>
      </c>
      <c r="L36" s="10">
        <f t="shared" si="3"/>
        <v>0</v>
      </c>
      <c r="N36" s="9"/>
      <c r="P36" s="9"/>
    </row>
    <row r="37" spans="1:16" x14ac:dyDescent="0.3">
      <c r="A37" s="2"/>
      <c r="B37" s="17" t="s">
        <v>391</v>
      </c>
      <c r="C37" s="18" t="s">
        <v>72</v>
      </c>
      <c r="D37" s="19"/>
      <c r="E37" s="19">
        <v>2</v>
      </c>
      <c r="F37" s="10"/>
      <c r="G37" s="10">
        <f t="shared" si="0"/>
        <v>0</v>
      </c>
      <c r="H37" s="10"/>
      <c r="I37" s="10">
        <f t="shared" si="1"/>
        <v>0</v>
      </c>
      <c r="J37" s="10"/>
      <c r="K37" s="10">
        <f t="shared" si="2"/>
        <v>0</v>
      </c>
      <c r="L37" s="10">
        <f t="shared" si="3"/>
        <v>0</v>
      </c>
    </row>
    <row r="38" spans="1:16" ht="28.8" x14ac:dyDescent="0.3">
      <c r="A38" s="2">
        <f>A35+1</f>
        <v>8</v>
      </c>
      <c r="B38" s="14" t="s">
        <v>397</v>
      </c>
      <c r="C38" s="2" t="s">
        <v>72</v>
      </c>
      <c r="D38" s="15"/>
      <c r="E38" s="15">
        <v>1</v>
      </c>
      <c r="F38" s="10"/>
      <c r="G38" s="10">
        <f t="shared" si="0"/>
        <v>0</v>
      </c>
      <c r="H38" s="10"/>
      <c r="I38" s="10">
        <f t="shared" si="1"/>
        <v>0</v>
      </c>
      <c r="J38" s="10"/>
      <c r="K38" s="10">
        <f t="shared" si="2"/>
        <v>0</v>
      </c>
      <c r="L38" s="10">
        <f t="shared" si="3"/>
        <v>0</v>
      </c>
    </row>
    <row r="39" spans="1:16" x14ac:dyDescent="0.3">
      <c r="A39" s="2"/>
      <c r="B39" s="17" t="s">
        <v>382</v>
      </c>
      <c r="C39" s="18" t="s">
        <v>72</v>
      </c>
      <c r="D39" s="19"/>
      <c r="E39" s="19">
        <v>1</v>
      </c>
      <c r="F39" s="10"/>
      <c r="G39" s="10">
        <f t="shared" si="0"/>
        <v>0</v>
      </c>
      <c r="H39" s="10"/>
      <c r="I39" s="10">
        <f t="shared" si="1"/>
        <v>0</v>
      </c>
      <c r="J39" s="10"/>
      <c r="K39" s="10">
        <f t="shared" si="2"/>
        <v>0</v>
      </c>
      <c r="L39" s="10">
        <f t="shared" si="3"/>
        <v>0</v>
      </c>
    </row>
    <row r="40" spans="1:16" x14ac:dyDescent="0.3">
      <c r="A40" s="2"/>
      <c r="B40" s="17" t="s">
        <v>386</v>
      </c>
      <c r="C40" s="18" t="s">
        <v>38</v>
      </c>
      <c r="D40" s="19"/>
      <c r="E40" s="19">
        <v>0.01</v>
      </c>
      <c r="F40" s="10"/>
      <c r="G40" s="10">
        <f t="shared" si="0"/>
        <v>0</v>
      </c>
      <c r="H40" s="10"/>
      <c r="I40" s="10">
        <f t="shared" si="1"/>
        <v>0</v>
      </c>
      <c r="J40" s="10"/>
      <c r="K40" s="10">
        <f t="shared" si="2"/>
        <v>0</v>
      </c>
      <c r="L40" s="10">
        <f t="shared" si="3"/>
        <v>0</v>
      </c>
    </row>
    <row r="41" spans="1:16" x14ac:dyDescent="0.3">
      <c r="A41" s="2"/>
      <c r="B41" s="17" t="s">
        <v>395</v>
      </c>
      <c r="C41" s="18" t="s">
        <v>18</v>
      </c>
      <c r="D41" s="19"/>
      <c r="E41" s="19">
        <v>0.15</v>
      </c>
      <c r="F41" s="10"/>
      <c r="G41" s="10">
        <f t="shared" si="0"/>
        <v>0</v>
      </c>
      <c r="H41" s="10"/>
      <c r="I41" s="10">
        <f t="shared" si="1"/>
        <v>0</v>
      </c>
      <c r="J41" s="10"/>
      <c r="K41" s="10">
        <f t="shared" si="2"/>
        <v>0</v>
      </c>
      <c r="L41" s="10">
        <f t="shared" si="3"/>
        <v>0</v>
      </c>
    </row>
    <row r="42" spans="1:16" x14ac:dyDescent="0.3">
      <c r="A42" s="2"/>
      <c r="B42" s="17" t="s">
        <v>388</v>
      </c>
      <c r="C42" s="18" t="s">
        <v>421</v>
      </c>
      <c r="D42" s="19"/>
      <c r="E42" s="19">
        <v>1</v>
      </c>
      <c r="F42" s="10"/>
      <c r="G42" s="10">
        <f t="shared" si="0"/>
        <v>0</v>
      </c>
      <c r="H42" s="10"/>
      <c r="I42" s="10">
        <f t="shared" si="1"/>
        <v>0</v>
      </c>
      <c r="J42" s="10"/>
      <c r="K42" s="10">
        <f t="shared" si="2"/>
        <v>0</v>
      </c>
      <c r="L42" s="10">
        <f t="shared" si="3"/>
        <v>0</v>
      </c>
    </row>
    <row r="43" spans="1:16" x14ac:dyDescent="0.3">
      <c r="A43" s="2">
        <f>A38+1</f>
        <v>9</v>
      </c>
      <c r="B43" s="14" t="s">
        <v>398</v>
      </c>
      <c r="C43" s="2" t="s">
        <v>72</v>
      </c>
      <c r="D43" s="15"/>
      <c r="E43" s="15">
        <v>1</v>
      </c>
      <c r="F43" s="10"/>
      <c r="G43" s="10">
        <f t="shared" si="0"/>
        <v>0</v>
      </c>
      <c r="H43" s="10"/>
      <c r="I43" s="10">
        <f t="shared" si="1"/>
        <v>0</v>
      </c>
      <c r="J43" s="10"/>
      <c r="K43" s="10">
        <f t="shared" si="2"/>
        <v>0</v>
      </c>
      <c r="L43" s="10">
        <f t="shared" si="3"/>
        <v>0</v>
      </c>
    </row>
    <row r="44" spans="1:16" x14ac:dyDescent="0.3">
      <c r="A44" s="2"/>
      <c r="B44" s="17" t="s">
        <v>390</v>
      </c>
      <c r="C44" s="18" t="s">
        <v>72</v>
      </c>
      <c r="D44" s="19"/>
      <c r="E44" s="19">
        <v>1</v>
      </c>
      <c r="F44" s="10"/>
      <c r="G44" s="10">
        <f t="shared" si="0"/>
        <v>0</v>
      </c>
      <c r="H44" s="10"/>
      <c r="I44" s="10">
        <f t="shared" si="1"/>
        <v>0</v>
      </c>
      <c r="J44" s="10"/>
      <c r="K44" s="10">
        <f t="shared" si="2"/>
        <v>0</v>
      </c>
      <c r="L44" s="10">
        <f t="shared" si="3"/>
        <v>0</v>
      </c>
    </row>
    <row r="45" spans="1:16" x14ac:dyDescent="0.3">
      <c r="A45" s="2"/>
      <c r="B45" s="17" t="s">
        <v>391</v>
      </c>
      <c r="C45" s="18" t="s">
        <v>72</v>
      </c>
      <c r="D45" s="19"/>
      <c r="E45" s="19">
        <v>1</v>
      </c>
      <c r="F45" s="10"/>
      <c r="G45" s="10">
        <f t="shared" si="0"/>
        <v>0</v>
      </c>
      <c r="H45" s="10"/>
      <c r="I45" s="10">
        <f t="shared" si="1"/>
        <v>0</v>
      </c>
      <c r="J45" s="10"/>
      <c r="K45" s="10">
        <f t="shared" si="2"/>
        <v>0</v>
      </c>
      <c r="L45" s="10">
        <f t="shared" si="3"/>
        <v>0</v>
      </c>
    </row>
    <row r="46" spans="1:16" ht="28.8" x14ac:dyDescent="0.3">
      <c r="A46" s="2">
        <f>A43+1</f>
        <v>10</v>
      </c>
      <c r="B46" s="14" t="s">
        <v>399</v>
      </c>
      <c r="C46" s="2" t="s">
        <v>72</v>
      </c>
      <c r="D46" s="15"/>
      <c r="E46" s="15">
        <v>1</v>
      </c>
      <c r="F46" s="10"/>
      <c r="G46" s="10">
        <f t="shared" ref="G46:G76" si="4">F46*E46</f>
        <v>0</v>
      </c>
      <c r="H46" s="10"/>
      <c r="I46" s="10">
        <f t="shared" ref="I46:I76" si="5">H46*E46</f>
        <v>0</v>
      </c>
      <c r="J46" s="10"/>
      <c r="K46" s="10">
        <f t="shared" ref="K46:K76" si="6">J46*E46</f>
        <v>0</v>
      </c>
      <c r="L46" s="10">
        <f t="shared" ref="L46:L76" si="7">K46+I46+G46</f>
        <v>0</v>
      </c>
    </row>
    <row r="47" spans="1:16" x14ac:dyDescent="0.3">
      <c r="A47" s="2"/>
      <c r="B47" s="17" t="s">
        <v>382</v>
      </c>
      <c r="C47" s="18" t="s">
        <v>72</v>
      </c>
      <c r="D47" s="19"/>
      <c r="E47" s="19">
        <v>1</v>
      </c>
      <c r="F47" s="10"/>
      <c r="G47" s="10">
        <f t="shared" si="4"/>
        <v>0</v>
      </c>
      <c r="H47" s="10"/>
      <c r="I47" s="10">
        <f t="shared" si="5"/>
        <v>0</v>
      </c>
      <c r="J47" s="10"/>
      <c r="K47" s="10">
        <f t="shared" si="6"/>
        <v>0</v>
      </c>
      <c r="L47" s="10">
        <f t="shared" si="7"/>
        <v>0</v>
      </c>
    </row>
    <row r="48" spans="1:16" x14ac:dyDescent="0.3">
      <c r="A48" s="2"/>
      <c r="B48" s="17" t="s">
        <v>386</v>
      </c>
      <c r="C48" s="18" t="s">
        <v>38</v>
      </c>
      <c r="D48" s="19"/>
      <c r="E48" s="19">
        <v>0.01</v>
      </c>
      <c r="F48" s="10"/>
      <c r="G48" s="10">
        <f t="shared" si="4"/>
        <v>0</v>
      </c>
      <c r="H48" s="10"/>
      <c r="I48" s="10">
        <f t="shared" si="5"/>
        <v>0</v>
      </c>
      <c r="J48" s="10"/>
      <c r="K48" s="10">
        <f t="shared" si="6"/>
        <v>0</v>
      </c>
      <c r="L48" s="10">
        <f t="shared" si="7"/>
        <v>0</v>
      </c>
    </row>
    <row r="49" spans="1:12" x14ac:dyDescent="0.3">
      <c r="A49" s="2"/>
      <c r="B49" s="17" t="s">
        <v>395</v>
      </c>
      <c r="C49" s="18" t="s">
        <v>18</v>
      </c>
      <c r="D49" s="27"/>
      <c r="E49" s="19">
        <v>0.15</v>
      </c>
      <c r="F49" s="10"/>
      <c r="G49" s="10">
        <f t="shared" si="4"/>
        <v>0</v>
      </c>
      <c r="H49" s="10"/>
      <c r="I49" s="10">
        <f t="shared" si="5"/>
        <v>0</v>
      </c>
      <c r="J49" s="10"/>
      <c r="K49" s="10">
        <f t="shared" si="6"/>
        <v>0</v>
      </c>
      <c r="L49" s="10">
        <f t="shared" si="7"/>
        <v>0</v>
      </c>
    </row>
    <row r="50" spans="1:12" x14ac:dyDescent="0.3">
      <c r="A50" s="2"/>
      <c r="B50" s="17" t="s">
        <v>388</v>
      </c>
      <c r="C50" s="18" t="s">
        <v>421</v>
      </c>
      <c r="D50" s="27"/>
      <c r="E50" s="19">
        <v>1</v>
      </c>
      <c r="F50" s="10"/>
      <c r="G50" s="10">
        <f t="shared" si="4"/>
        <v>0</v>
      </c>
      <c r="H50" s="10"/>
      <c r="I50" s="10">
        <f t="shared" si="5"/>
        <v>0</v>
      </c>
      <c r="J50" s="10"/>
      <c r="K50" s="10">
        <f t="shared" si="6"/>
        <v>0</v>
      </c>
      <c r="L50" s="10">
        <f t="shared" si="7"/>
        <v>0</v>
      </c>
    </row>
    <row r="51" spans="1:12" x14ac:dyDescent="0.3">
      <c r="A51" s="2">
        <f>A46+1</f>
        <v>11</v>
      </c>
      <c r="B51" s="14" t="s">
        <v>400</v>
      </c>
      <c r="C51" s="2" t="s">
        <v>72</v>
      </c>
      <c r="D51" s="32"/>
      <c r="E51" s="15">
        <v>1</v>
      </c>
      <c r="F51" s="10"/>
      <c r="G51" s="10">
        <f t="shared" si="4"/>
        <v>0</v>
      </c>
      <c r="H51" s="10"/>
      <c r="I51" s="10">
        <f t="shared" si="5"/>
        <v>0</v>
      </c>
      <c r="J51" s="10"/>
      <c r="K51" s="10">
        <f t="shared" si="6"/>
        <v>0</v>
      </c>
      <c r="L51" s="10">
        <f t="shared" si="7"/>
        <v>0</v>
      </c>
    </row>
    <row r="52" spans="1:12" x14ac:dyDescent="0.3">
      <c r="A52" s="2"/>
      <c r="B52" s="17" t="s">
        <v>390</v>
      </c>
      <c r="C52" s="18" t="s">
        <v>72</v>
      </c>
      <c r="D52" s="19"/>
      <c r="E52" s="19">
        <v>1</v>
      </c>
      <c r="F52" s="10"/>
      <c r="G52" s="10">
        <f t="shared" si="4"/>
        <v>0</v>
      </c>
      <c r="H52" s="10"/>
      <c r="I52" s="10">
        <f t="shared" si="5"/>
        <v>0</v>
      </c>
      <c r="J52" s="10"/>
      <c r="K52" s="10">
        <f t="shared" si="6"/>
        <v>0</v>
      </c>
      <c r="L52" s="10">
        <f t="shared" si="7"/>
        <v>0</v>
      </c>
    </row>
    <row r="53" spans="1:12" x14ac:dyDescent="0.3">
      <c r="A53" s="2"/>
      <c r="B53" s="17" t="s">
        <v>391</v>
      </c>
      <c r="C53" s="18" t="s">
        <v>72</v>
      </c>
      <c r="D53" s="19"/>
      <c r="E53" s="19">
        <v>1</v>
      </c>
      <c r="F53" s="10"/>
      <c r="G53" s="10">
        <f t="shared" si="4"/>
        <v>0</v>
      </c>
      <c r="H53" s="10"/>
      <c r="I53" s="10">
        <f t="shared" si="5"/>
        <v>0</v>
      </c>
      <c r="J53" s="10"/>
      <c r="K53" s="10">
        <f t="shared" si="6"/>
        <v>0</v>
      </c>
      <c r="L53" s="10">
        <f t="shared" si="7"/>
        <v>0</v>
      </c>
    </row>
    <row r="54" spans="1:12" ht="28.8" x14ac:dyDescent="0.3">
      <c r="A54" s="2">
        <f>A51+1</f>
        <v>12</v>
      </c>
      <c r="B54" s="14" t="s">
        <v>401</v>
      </c>
      <c r="C54" s="2" t="s">
        <v>72</v>
      </c>
      <c r="D54" s="15"/>
      <c r="E54" s="15">
        <v>2</v>
      </c>
      <c r="F54" s="10"/>
      <c r="G54" s="10">
        <f t="shared" si="4"/>
        <v>0</v>
      </c>
      <c r="H54" s="10"/>
      <c r="I54" s="10">
        <f t="shared" si="5"/>
        <v>0</v>
      </c>
      <c r="J54" s="10"/>
      <c r="K54" s="10">
        <f t="shared" si="6"/>
        <v>0</v>
      </c>
      <c r="L54" s="10">
        <f t="shared" si="7"/>
        <v>0</v>
      </c>
    </row>
    <row r="55" spans="1:12" x14ac:dyDescent="0.3">
      <c r="A55" s="2"/>
      <c r="B55" s="17" t="s">
        <v>382</v>
      </c>
      <c r="C55" s="18" t="s">
        <v>72</v>
      </c>
      <c r="D55" s="19"/>
      <c r="E55" s="19">
        <v>2</v>
      </c>
      <c r="F55" s="10"/>
      <c r="G55" s="10">
        <f t="shared" si="4"/>
        <v>0</v>
      </c>
      <c r="H55" s="10"/>
      <c r="I55" s="10">
        <f t="shared" si="5"/>
        <v>0</v>
      </c>
      <c r="J55" s="10"/>
      <c r="K55" s="10">
        <f t="shared" si="6"/>
        <v>0</v>
      </c>
      <c r="L55" s="10">
        <f t="shared" si="7"/>
        <v>0</v>
      </c>
    </row>
    <row r="56" spans="1:12" x14ac:dyDescent="0.3">
      <c r="A56" s="2"/>
      <c r="B56" s="17" t="s">
        <v>386</v>
      </c>
      <c r="C56" s="18" t="s">
        <v>38</v>
      </c>
      <c r="D56" s="19"/>
      <c r="E56" s="19">
        <v>0.02</v>
      </c>
      <c r="F56" s="10"/>
      <c r="G56" s="10">
        <f t="shared" si="4"/>
        <v>0</v>
      </c>
      <c r="H56" s="10"/>
      <c r="I56" s="10">
        <f t="shared" si="5"/>
        <v>0</v>
      </c>
      <c r="J56" s="10"/>
      <c r="K56" s="10">
        <f t="shared" si="6"/>
        <v>0</v>
      </c>
      <c r="L56" s="10">
        <f t="shared" si="7"/>
        <v>0</v>
      </c>
    </row>
    <row r="57" spans="1:12" x14ac:dyDescent="0.3">
      <c r="A57" s="2"/>
      <c r="B57" s="17" t="s">
        <v>395</v>
      </c>
      <c r="C57" s="18" t="s">
        <v>18</v>
      </c>
      <c r="D57" s="19"/>
      <c r="E57" s="19">
        <v>0.3</v>
      </c>
      <c r="F57" s="10"/>
      <c r="G57" s="10">
        <f t="shared" si="4"/>
        <v>0</v>
      </c>
      <c r="H57" s="10"/>
      <c r="I57" s="10">
        <f t="shared" si="5"/>
        <v>0</v>
      </c>
      <c r="J57" s="10"/>
      <c r="K57" s="10">
        <f t="shared" si="6"/>
        <v>0</v>
      </c>
      <c r="L57" s="10">
        <f t="shared" si="7"/>
        <v>0</v>
      </c>
    </row>
    <row r="58" spans="1:12" x14ac:dyDescent="0.3">
      <c r="A58" s="2"/>
      <c r="B58" s="17" t="s">
        <v>388</v>
      </c>
      <c r="C58" s="18" t="s">
        <v>421</v>
      </c>
      <c r="D58" s="19"/>
      <c r="E58" s="19">
        <v>2</v>
      </c>
      <c r="F58" s="10"/>
      <c r="G58" s="10">
        <f t="shared" si="4"/>
        <v>0</v>
      </c>
      <c r="H58" s="10"/>
      <c r="I58" s="10">
        <f t="shared" si="5"/>
        <v>0</v>
      </c>
      <c r="J58" s="10"/>
      <c r="K58" s="10">
        <f t="shared" si="6"/>
        <v>0</v>
      </c>
      <c r="L58" s="10">
        <f t="shared" si="7"/>
        <v>0</v>
      </c>
    </row>
    <row r="59" spans="1:12" x14ac:dyDescent="0.3">
      <c r="A59" s="2">
        <f>A54+1</f>
        <v>13</v>
      </c>
      <c r="B59" s="14" t="s">
        <v>402</v>
      </c>
      <c r="C59" s="2" t="s">
        <v>72</v>
      </c>
      <c r="D59" s="15"/>
      <c r="E59" s="15">
        <v>2</v>
      </c>
      <c r="F59" s="10"/>
      <c r="G59" s="10">
        <f t="shared" si="4"/>
        <v>0</v>
      </c>
      <c r="H59" s="10"/>
      <c r="I59" s="10">
        <f t="shared" si="5"/>
        <v>0</v>
      </c>
      <c r="J59" s="10"/>
      <c r="K59" s="10">
        <f t="shared" si="6"/>
        <v>0</v>
      </c>
      <c r="L59" s="10">
        <f t="shared" si="7"/>
        <v>0</v>
      </c>
    </row>
    <row r="60" spans="1:12" x14ac:dyDescent="0.3">
      <c r="A60" s="2"/>
      <c r="B60" s="17" t="s">
        <v>390</v>
      </c>
      <c r="C60" s="18" t="s">
        <v>72</v>
      </c>
      <c r="D60" s="19"/>
      <c r="E60" s="19">
        <v>2</v>
      </c>
      <c r="F60" s="10"/>
      <c r="G60" s="10">
        <f t="shared" si="4"/>
        <v>0</v>
      </c>
      <c r="H60" s="10"/>
      <c r="I60" s="10">
        <f t="shared" si="5"/>
        <v>0</v>
      </c>
      <c r="J60" s="10"/>
      <c r="K60" s="10">
        <f t="shared" si="6"/>
        <v>0</v>
      </c>
      <c r="L60" s="10">
        <f t="shared" si="7"/>
        <v>0</v>
      </c>
    </row>
    <row r="61" spans="1:12" x14ac:dyDescent="0.3">
      <c r="A61" s="2"/>
      <c r="B61" s="17" t="s">
        <v>391</v>
      </c>
      <c r="C61" s="18" t="s">
        <v>72</v>
      </c>
      <c r="D61" s="19"/>
      <c r="E61" s="19">
        <v>2</v>
      </c>
      <c r="F61" s="10"/>
      <c r="G61" s="10">
        <f t="shared" si="4"/>
        <v>0</v>
      </c>
      <c r="H61" s="10"/>
      <c r="I61" s="10">
        <f t="shared" si="5"/>
        <v>0</v>
      </c>
      <c r="J61" s="10"/>
      <c r="K61" s="10">
        <f t="shared" si="6"/>
        <v>0</v>
      </c>
      <c r="L61" s="10">
        <f t="shared" si="7"/>
        <v>0</v>
      </c>
    </row>
    <row r="62" spans="1:12" ht="28.8" x14ac:dyDescent="0.3">
      <c r="A62" s="2">
        <f>A59+1</f>
        <v>14</v>
      </c>
      <c r="B62" s="14" t="s">
        <v>403</v>
      </c>
      <c r="C62" s="2" t="s">
        <v>72</v>
      </c>
      <c r="D62" s="15"/>
      <c r="E62" s="15">
        <v>1</v>
      </c>
      <c r="F62" s="10"/>
      <c r="G62" s="10">
        <f t="shared" si="4"/>
        <v>0</v>
      </c>
      <c r="H62" s="10"/>
      <c r="I62" s="10">
        <f t="shared" si="5"/>
        <v>0</v>
      </c>
      <c r="J62" s="10"/>
      <c r="K62" s="10">
        <f t="shared" si="6"/>
        <v>0</v>
      </c>
      <c r="L62" s="10">
        <f t="shared" si="7"/>
        <v>0</v>
      </c>
    </row>
    <row r="63" spans="1:12" x14ac:dyDescent="0.3">
      <c r="A63" s="2"/>
      <c r="B63" s="17" t="s">
        <v>382</v>
      </c>
      <c r="C63" s="18" t="s">
        <v>72</v>
      </c>
      <c r="D63" s="19"/>
      <c r="E63" s="19">
        <v>1</v>
      </c>
      <c r="F63" s="10"/>
      <c r="G63" s="10">
        <f t="shared" si="4"/>
        <v>0</v>
      </c>
      <c r="H63" s="10"/>
      <c r="I63" s="10">
        <f t="shared" si="5"/>
        <v>0</v>
      </c>
      <c r="J63" s="10"/>
      <c r="K63" s="10">
        <f t="shared" si="6"/>
        <v>0</v>
      </c>
      <c r="L63" s="10">
        <f t="shared" si="7"/>
        <v>0</v>
      </c>
    </row>
    <row r="64" spans="1:12" x14ac:dyDescent="0.3">
      <c r="A64" s="2"/>
      <c r="B64" s="17" t="s">
        <v>386</v>
      </c>
      <c r="C64" s="18" t="s">
        <v>38</v>
      </c>
      <c r="D64" s="27"/>
      <c r="E64" s="19">
        <v>0.01</v>
      </c>
      <c r="F64" s="10"/>
      <c r="G64" s="10">
        <f t="shared" si="4"/>
        <v>0</v>
      </c>
      <c r="H64" s="10"/>
      <c r="I64" s="10">
        <f t="shared" si="5"/>
        <v>0</v>
      </c>
      <c r="J64" s="10"/>
      <c r="K64" s="10">
        <f t="shared" si="6"/>
        <v>0</v>
      </c>
      <c r="L64" s="10">
        <f t="shared" si="7"/>
        <v>0</v>
      </c>
    </row>
    <row r="65" spans="1:16" x14ac:dyDescent="0.3">
      <c r="A65" s="2"/>
      <c r="B65" s="17" t="s">
        <v>395</v>
      </c>
      <c r="C65" s="18" t="s">
        <v>18</v>
      </c>
      <c r="D65" s="19"/>
      <c r="E65" s="19">
        <v>0.15</v>
      </c>
      <c r="F65" s="10"/>
      <c r="G65" s="10">
        <f t="shared" si="4"/>
        <v>0</v>
      </c>
      <c r="H65" s="10"/>
      <c r="I65" s="10">
        <f t="shared" si="5"/>
        <v>0</v>
      </c>
      <c r="J65" s="10"/>
      <c r="K65" s="10">
        <f t="shared" si="6"/>
        <v>0</v>
      </c>
      <c r="L65" s="10">
        <f t="shared" si="7"/>
        <v>0</v>
      </c>
      <c r="N65" s="9"/>
    </row>
    <row r="66" spans="1:16" x14ac:dyDescent="0.3">
      <c r="A66" s="2"/>
      <c r="B66" s="17" t="s">
        <v>388</v>
      </c>
      <c r="C66" s="18" t="s">
        <v>421</v>
      </c>
      <c r="D66" s="19"/>
      <c r="E66" s="19">
        <v>1</v>
      </c>
      <c r="F66" s="10"/>
      <c r="G66" s="10">
        <f t="shared" si="4"/>
        <v>0</v>
      </c>
      <c r="H66" s="10"/>
      <c r="I66" s="10">
        <f t="shared" si="5"/>
        <v>0</v>
      </c>
      <c r="J66" s="10"/>
      <c r="K66" s="10">
        <f t="shared" si="6"/>
        <v>0</v>
      </c>
      <c r="L66" s="10">
        <f t="shared" si="7"/>
        <v>0</v>
      </c>
    </row>
    <row r="67" spans="1:16" x14ac:dyDescent="0.3">
      <c r="A67" s="2">
        <f>A62+1</f>
        <v>15</v>
      </c>
      <c r="B67" s="14" t="s">
        <v>404</v>
      </c>
      <c r="C67" s="2" t="s">
        <v>72</v>
      </c>
      <c r="D67" s="15"/>
      <c r="E67" s="15">
        <v>1</v>
      </c>
      <c r="F67" s="10"/>
      <c r="G67" s="10">
        <f t="shared" si="4"/>
        <v>0</v>
      </c>
      <c r="H67" s="10"/>
      <c r="I67" s="10">
        <f t="shared" si="5"/>
        <v>0</v>
      </c>
      <c r="J67" s="10"/>
      <c r="K67" s="10">
        <f t="shared" si="6"/>
        <v>0</v>
      </c>
      <c r="L67" s="10">
        <f t="shared" si="7"/>
        <v>0</v>
      </c>
      <c r="N67" s="9"/>
      <c r="P67" s="9"/>
    </row>
    <row r="68" spans="1:16" x14ac:dyDescent="0.3">
      <c r="A68" s="2"/>
      <c r="B68" s="17" t="s">
        <v>390</v>
      </c>
      <c r="C68" s="18" t="s">
        <v>72</v>
      </c>
      <c r="D68" s="19"/>
      <c r="E68" s="19">
        <v>1</v>
      </c>
      <c r="F68" s="10"/>
      <c r="G68" s="10">
        <f t="shared" si="4"/>
        <v>0</v>
      </c>
      <c r="H68" s="10"/>
      <c r="I68" s="10">
        <f t="shared" si="5"/>
        <v>0</v>
      </c>
      <c r="J68" s="10"/>
      <c r="K68" s="10">
        <f t="shared" si="6"/>
        <v>0</v>
      </c>
      <c r="L68" s="10">
        <f t="shared" si="7"/>
        <v>0</v>
      </c>
    </row>
    <row r="69" spans="1:16" x14ac:dyDescent="0.3">
      <c r="A69" s="2"/>
      <c r="B69" s="17" t="s">
        <v>391</v>
      </c>
      <c r="C69" s="18" t="s">
        <v>72</v>
      </c>
      <c r="D69" s="19"/>
      <c r="E69" s="19">
        <v>1</v>
      </c>
      <c r="F69" s="10"/>
      <c r="G69" s="10">
        <f t="shared" si="4"/>
        <v>0</v>
      </c>
      <c r="H69" s="10"/>
      <c r="I69" s="10">
        <f t="shared" si="5"/>
        <v>0</v>
      </c>
      <c r="J69" s="10"/>
      <c r="K69" s="10">
        <f t="shared" si="6"/>
        <v>0</v>
      </c>
      <c r="L69" s="10">
        <f t="shared" si="7"/>
        <v>0</v>
      </c>
    </row>
    <row r="70" spans="1:16" ht="28.8" x14ac:dyDescent="0.3">
      <c r="A70" s="2">
        <f>A67+1</f>
        <v>16</v>
      </c>
      <c r="B70" s="14" t="s">
        <v>405</v>
      </c>
      <c r="C70" s="2" t="s">
        <v>72</v>
      </c>
      <c r="D70" s="15"/>
      <c r="E70" s="15">
        <v>2</v>
      </c>
      <c r="F70" s="10"/>
      <c r="G70" s="10">
        <f t="shared" si="4"/>
        <v>0</v>
      </c>
      <c r="H70" s="10"/>
      <c r="I70" s="10">
        <f t="shared" si="5"/>
        <v>0</v>
      </c>
      <c r="J70" s="10"/>
      <c r="K70" s="10">
        <f t="shared" si="6"/>
        <v>0</v>
      </c>
      <c r="L70" s="10">
        <f t="shared" si="7"/>
        <v>0</v>
      </c>
    </row>
    <row r="71" spans="1:16" x14ac:dyDescent="0.3">
      <c r="A71" s="2"/>
      <c r="B71" s="17" t="s">
        <v>382</v>
      </c>
      <c r="C71" s="18" t="s">
        <v>72</v>
      </c>
      <c r="D71" s="19"/>
      <c r="E71" s="19">
        <v>2</v>
      </c>
      <c r="F71" s="10"/>
      <c r="G71" s="10">
        <f t="shared" si="4"/>
        <v>0</v>
      </c>
      <c r="H71" s="10"/>
      <c r="I71" s="10">
        <f t="shared" si="5"/>
        <v>0</v>
      </c>
      <c r="J71" s="10"/>
      <c r="K71" s="10">
        <f t="shared" si="6"/>
        <v>0</v>
      </c>
      <c r="L71" s="10">
        <f t="shared" si="7"/>
        <v>0</v>
      </c>
    </row>
    <row r="72" spans="1:16" x14ac:dyDescent="0.3">
      <c r="A72" s="2"/>
      <c r="B72" s="17" t="s">
        <v>386</v>
      </c>
      <c r="C72" s="18" t="s">
        <v>38</v>
      </c>
      <c r="D72" s="19"/>
      <c r="E72" s="19">
        <v>0.02</v>
      </c>
      <c r="F72" s="10"/>
      <c r="G72" s="10">
        <f t="shared" si="4"/>
        <v>0</v>
      </c>
      <c r="H72" s="10"/>
      <c r="I72" s="10">
        <f t="shared" si="5"/>
        <v>0</v>
      </c>
      <c r="J72" s="10"/>
      <c r="K72" s="10">
        <f t="shared" si="6"/>
        <v>0</v>
      </c>
      <c r="L72" s="10">
        <f t="shared" si="7"/>
        <v>0</v>
      </c>
    </row>
    <row r="73" spans="1:16" x14ac:dyDescent="0.3">
      <c r="A73" s="2"/>
      <c r="B73" s="17" t="s">
        <v>395</v>
      </c>
      <c r="C73" s="18" t="s">
        <v>18</v>
      </c>
      <c r="D73" s="19"/>
      <c r="E73" s="19">
        <v>0.3</v>
      </c>
      <c r="F73" s="10"/>
      <c r="G73" s="10">
        <f t="shared" si="4"/>
        <v>0</v>
      </c>
      <c r="H73" s="10"/>
      <c r="I73" s="10">
        <f t="shared" si="5"/>
        <v>0</v>
      </c>
      <c r="J73" s="10"/>
      <c r="K73" s="10">
        <f t="shared" si="6"/>
        <v>0</v>
      </c>
      <c r="L73" s="10">
        <f t="shared" si="7"/>
        <v>0</v>
      </c>
    </row>
    <row r="74" spans="1:16" x14ac:dyDescent="0.3">
      <c r="A74" s="2"/>
      <c r="B74" s="17" t="s">
        <v>388</v>
      </c>
      <c r="C74" s="18" t="s">
        <v>421</v>
      </c>
      <c r="D74" s="19"/>
      <c r="E74" s="19">
        <v>2</v>
      </c>
      <c r="F74" s="10"/>
      <c r="G74" s="10">
        <f t="shared" si="4"/>
        <v>0</v>
      </c>
      <c r="H74" s="10"/>
      <c r="I74" s="10">
        <f t="shared" si="5"/>
        <v>0</v>
      </c>
      <c r="J74" s="10"/>
      <c r="K74" s="10">
        <f t="shared" si="6"/>
        <v>0</v>
      </c>
      <c r="L74" s="10">
        <f t="shared" si="7"/>
        <v>0</v>
      </c>
    </row>
    <row r="75" spans="1:16" x14ac:dyDescent="0.3">
      <c r="A75" s="2">
        <f>A70+1</f>
        <v>17</v>
      </c>
      <c r="B75" s="14" t="s">
        <v>406</v>
      </c>
      <c r="C75" s="2" t="s">
        <v>72</v>
      </c>
      <c r="D75" s="15"/>
      <c r="E75" s="15">
        <v>2</v>
      </c>
      <c r="F75" s="10"/>
      <c r="G75" s="10">
        <f t="shared" si="4"/>
        <v>0</v>
      </c>
      <c r="H75" s="10"/>
      <c r="I75" s="10">
        <f t="shared" si="5"/>
        <v>0</v>
      </c>
      <c r="J75" s="10"/>
      <c r="K75" s="10">
        <f t="shared" si="6"/>
        <v>0</v>
      </c>
      <c r="L75" s="10">
        <f t="shared" si="7"/>
        <v>0</v>
      </c>
    </row>
    <row r="76" spans="1:16" x14ac:dyDescent="0.3">
      <c r="A76" s="2"/>
      <c r="B76" s="17" t="s">
        <v>390</v>
      </c>
      <c r="C76" s="18" t="s">
        <v>72</v>
      </c>
      <c r="D76" s="19"/>
      <c r="E76" s="19">
        <v>2</v>
      </c>
      <c r="F76" s="10"/>
      <c r="G76" s="10">
        <f t="shared" si="4"/>
        <v>0</v>
      </c>
      <c r="H76" s="10"/>
      <c r="I76" s="10">
        <f t="shared" si="5"/>
        <v>0</v>
      </c>
      <c r="J76" s="10"/>
      <c r="K76" s="10">
        <f t="shared" si="6"/>
        <v>0</v>
      </c>
      <c r="L76" s="10">
        <f t="shared" si="7"/>
        <v>0</v>
      </c>
    </row>
    <row r="77" spans="1:16" x14ac:dyDescent="0.3">
      <c r="A77" s="2"/>
      <c r="B77" s="17" t="s">
        <v>391</v>
      </c>
      <c r="C77" s="18" t="s">
        <v>72</v>
      </c>
      <c r="D77" s="27"/>
      <c r="E77" s="19">
        <v>2</v>
      </c>
      <c r="F77" s="10"/>
      <c r="G77" s="10">
        <f t="shared" si="0"/>
        <v>0</v>
      </c>
      <c r="H77" s="10"/>
      <c r="I77" s="10">
        <f t="shared" si="1"/>
        <v>0</v>
      </c>
      <c r="J77" s="10"/>
      <c r="K77" s="10">
        <f t="shared" si="2"/>
        <v>0</v>
      </c>
      <c r="L77" s="10">
        <f t="shared" si="3"/>
        <v>0</v>
      </c>
    </row>
    <row r="78" spans="1:16" ht="100.8" x14ac:dyDescent="0.3">
      <c r="A78" s="2">
        <f>A75+1</f>
        <v>18</v>
      </c>
      <c r="B78" s="14" t="s">
        <v>422</v>
      </c>
      <c r="C78" s="2" t="s">
        <v>376</v>
      </c>
      <c r="D78" s="32"/>
      <c r="E78" s="15">
        <v>1</v>
      </c>
      <c r="F78" s="10"/>
      <c r="G78" s="10">
        <f t="shared" si="0"/>
        <v>0</v>
      </c>
      <c r="H78" s="10"/>
      <c r="I78" s="10">
        <f t="shared" si="1"/>
        <v>0</v>
      </c>
      <c r="J78" s="10"/>
      <c r="K78" s="10">
        <f t="shared" si="2"/>
        <v>0</v>
      </c>
      <c r="L78" s="10">
        <f t="shared" si="3"/>
        <v>0</v>
      </c>
    </row>
    <row r="79" spans="1:16" x14ac:dyDescent="0.3">
      <c r="A79" s="2">
        <f>A78+1</f>
        <v>19</v>
      </c>
      <c r="B79" s="14" t="s">
        <v>297</v>
      </c>
      <c r="C79" s="2" t="s">
        <v>18</v>
      </c>
      <c r="D79" s="15"/>
      <c r="E79" s="15">
        <v>2415.3000000000002</v>
      </c>
      <c r="F79" s="10"/>
      <c r="G79" s="10">
        <f t="shared" si="0"/>
        <v>0</v>
      </c>
      <c r="H79" s="10"/>
      <c r="I79" s="10">
        <f t="shared" si="1"/>
        <v>0</v>
      </c>
      <c r="J79" s="10"/>
      <c r="K79" s="10">
        <f t="shared" si="2"/>
        <v>0</v>
      </c>
      <c r="L79" s="10">
        <f t="shared" si="3"/>
        <v>0</v>
      </c>
    </row>
    <row r="80" spans="1:16" x14ac:dyDescent="0.3">
      <c r="A80" s="2">
        <f>A79+1</f>
        <v>20</v>
      </c>
      <c r="B80" s="14" t="s">
        <v>414</v>
      </c>
      <c r="C80" s="2" t="s">
        <v>18</v>
      </c>
      <c r="D80" s="15"/>
      <c r="E80" s="15">
        <v>403</v>
      </c>
      <c r="F80" s="10"/>
      <c r="G80" s="10">
        <f t="shared" si="0"/>
        <v>0</v>
      </c>
      <c r="H80" s="10"/>
      <c r="I80" s="10">
        <f t="shared" si="1"/>
        <v>0</v>
      </c>
      <c r="J80" s="10"/>
      <c r="K80" s="10">
        <f t="shared" si="2"/>
        <v>0</v>
      </c>
      <c r="L80" s="10">
        <f t="shared" si="3"/>
        <v>0</v>
      </c>
    </row>
    <row r="81" spans="1:14" x14ac:dyDescent="0.3">
      <c r="A81" s="2"/>
      <c r="B81" s="17" t="s">
        <v>384</v>
      </c>
      <c r="C81" s="18" t="s">
        <v>18</v>
      </c>
      <c r="D81" s="19"/>
      <c r="E81" s="19">
        <f>E80*1.1</f>
        <v>443.3</v>
      </c>
      <c r="F81" s="10"/>
      <c r="G81" s="10">
        <f t="shared" si="0"/>
        <v>0</v>
      </c>
      <c r="H81" s="10"/>
      <c r="I81" s="10">
        <f t="shared" si="1"/>
        <v>0</v>
      </c>
      <c r="J81" s="10"/>
      <c r="K81" s="10">
        <f t="shared" si="2"/>
        <v>0</v>
      </c>
      <c r="L81" s="10">
        <f t="shared" si="3"/>
        <v>0</v>
      </c>
    </row>
    <row r="82" spans="1:14" x14ac:dyDescent="0.3">
      <c r="A82" s="2"/>
      <c r="B82" s="17" t="s">
        <v>32</v>
      </c>
      <c r="C82" s="18" t="s">
        <v>30</v>
      </c>
      <c r="D82" s="19"/>
      <c r="E82" s="19">
        <f>E80*0.01</f>
        <v>4.03</v>
      </c>
      <c r="F82" s="10"/>
      <c r="G82" s="10">
        <f t="shared" si="0"/>
        <v>0</v>
      </c>
      <c r="H82" s="10"/>
      <c r="I82" s="10">
        <f t="shared" si="1"/>
        <v>0</v>
      </c>
      <c r="J82" s="10"/>
      <c r="K82" s="10">
        <f t="shared" si="2"/>
        <v>0</v>
      </c>
      <c r="L82" s="10">
        <f t="shared" si="3"/>
        <v>0</v>
      </c>
    </row>
    <row r="83" spans="1:14" x14ac:dyDescent="0.3">
      <c r="A83" s="2">
        <f>A80+1</f>
        <v>21</v>
      </c>
      <c r="B83" s="14" t="s">
        <v>1083</v>
      </c>
      <c r="C83" s="2" t="s">
        <v>18</v>
      </c>
      <c r="D83" s="15"/>
      <c r="E83" s="15">
        <f>1101.68*1.3</f>
        <v>1432.1840000000002</v>
      </c>
      <c r="F83" s="10"/>
      <c r="G83" s="10">
        <f t="shared" si="0"/>
        <v>0</v>
      </c>
      <c r="H83" s="10"/>
      <c r="I83" s="10">
        <f t="shared" si="1"/>
        <v>0</v>
      </c>
      <c r="J83" s="10"/>
      <c r="K83" s="10">
        <f t="shared" si="2"/>
        <v>0</v>
      </c>
      <c r="L83" s="10">
        <f t="shared" si="3"/>
        <v>0</v>
      </c>
    </row>
    <row r="84" spans="1:14" x14ac:dyDescent="0.3">
      <c r="A84" s="2"/>
      <c r="B84" s="17" t="s">
        <v>59</v>
      </c>
      <c r="C84" s="18" t="s">
        <v>18</v>
      </c>
      <c r="D84" s="19"/>
      <c r="E84" s="19">
        <f>E83*1.22</f>
        <v>1747.2644800000003</v>
      </c>
      <c r="F84" s="10"/>
      <c r="G84" s="10">
        <f t="shared" si="0"/>
        <v>0</v>
      </c>
      <c r="H84" s="10"/>
      <c r="I84" s="10">
        <f t="shared" si="1"/>
        <v>0</v>
      </c>
      <c r="J84" s="10"/>
      <c r="K84" s="10">
        <f t="shared" si="2"/>
        <v>0</v>
      </c>
      <c r="L84" s="10">
        <f t="shared" si="3"/>
        <v>0</v>
      </c>
    </row>
    <row r="85" spans="1:14" x14ac:dyDescent="0.3">
      <c r="A85" s="2"/>
      <c r="B85" s="17" t="s">
        <v>32</v>
      </c>
      <c r="C85" s="18" t="s">
        <v>30</v>
      </c>
      <c r="D85" s="27"/>
      <c r="E85" s="19">
        <f>E83*0.01</f>
        <v>14.321840000000002</v>
      </c>
      <c r="F85" s="10"/>
      <c r="G85" s="10">
        <f t="shared" si="0"/>
        <v>0</v>
      </c>
      <c r="H85" s="10"/>
      <c r="I85" s="10">
        <f t="shared" si="1"/>
        <v>0</v>
      </c>
      <c r="J85" s="10"/>
      <c r="K85" s="10">
        <f t="shared" si="2"/>
        <v>0</v>
      </c>
      <c r="L85" s="10">
        <f t="shared" si="3"/>
        <v>0</v>
      </c>
    </row>
    <row r="86" spans="1:14" x14ac:dyDescent="0.3">
      <c r="A86" s="2"/>
      <c r="B86" s="17" t="s">
        <v>33</v>
      </c>
      <c r="C86" s="18" t="s">
        <v>30</v>
      </c>
      <c r="D86" s="27"/>
      <c r="E86" s="19">
        <f>E83*0.01</f>
        <v>14.321840000000002</v>
      </c>
      <c r="F86" s="10"/>
      <c r="G86" s="10">
        <f t="shared" ref="G86" si="8">F86*E86</f>
        <v>0</v>
      </c>
      <c r="H86" s="10"/>
      <c r="I86" s="10">
        <f t="shared" ref="I86" si="9">H86*E86</f>
        <v>0</v>
      </c>
      <c r="J86" s="10"/>
      <c r="K86" s="10">
        <f t="shared" ref="K86" si="10">J86*E86</f>
        <v>0</v>
      </c>
      <c r="L86" s="10">
        <f t="shared" ref="L86" si="11">K86+I86+G86</f>
        <v>0</v>
      </c>
    </row>
    <row r="87" spans="1:14" x14ac:dyDescent="0.3">
      <c r="A87" s="2">
        <f>A83+1</f>
        <v>22</v>
      </c>
      <c r="B87" s="14" t="s">
        <v>420</v>
      </c>
      <c r="C87" s="2" t="s">
        <v>18</v>
      </c>
      <c r="D87" s="15"/>
      <c r="E87" s="15">
        <v>580.04</v>
      </c>
      <c r="F87" s="10"/>
      <c r="G87" s="10">
        <f t="shared" si="0"/>
        <v>0</v>
      </c>
      <c r="H87" s="10"/>
      <c r="I87" s="10">
        <f t="shared" si="1"/>
        <v>0</v>
      </c>
      <c r="J87" s="10"/>
      <c r="K87" s="10">
        <f t="shared" si="2"/>
        <v>0</v>
      </c>
      <c r="L87" s="10">
        <f t="shared" si="3"/>
        <v>0</v>
      </c>
      <c r="N87" s="9"/>
    </row>
    <row r="88" spans="1:14" x14ac:dyDescent="0.3">
      <c r="A88" s="3"/>
      <c r="B88" s="3" t="s">
        <v>7</v>
      </c>
      <c r="C88" s="3"/>
      <c r="D88" s="24"/>
      <c r="E88" s="24"/>
      <c r="F88" s="25"/>
      <c r="G88" s="25">
        <f>SUM(G10:G87)</f>
        <v>0</v>
      </c>
      <c r="H88" s="25"/>
      <c r="I88" s="25">
        <f>SUM(I10:I87)</f>
        <v>0</v>
      </c>
      <c r="J88" s="25"/>
      <c r="K88" s="25">
        <f>SUM(K10:K87)</f>
        <v>0</v>
      </c>
      <c r="L88" s="25">
        <f>SUM(L10:L87)</f>
        <v>0</v>
      </c>
    </row>
    <row r="89" spans="1:14" x14ac:dyDescent="0.3">
      <c r="A89" s="2"/>
      <c r="B89" s="5" t="s">
        <v>226</v>
      </c>
      <c r="C89" s="1"/>
      <c r="D89" s="8"/>
      <c r="E89" s="26">
        <v>0.03</v>
      </c>
      <c r="F89" s="10"/>
      <c r="G89" s="10"/>
      <c r="H89" s="10"/>
      <c r="I89" s="10"/>
      <c r="J89" s="10"/>
      <c r="K89" s="10"/>
      <c r="L89" s="10">
        <f>G88*E89</f>
        <v>0</v>
      </c>
    </row>
    <row r="90" spans="1:14" x14ac:dyDescent="0.3">
      <c r="A90" s="2"/>
      <c r="B90" s="2" t="s">
        <v>7</v>
      </c>
      <c r="C90" s="1"/>
      <c r="D90" s="8"/>
      <c r="E90" s="26"/>
      <c r="F90" s="10"/>
      <c r="G90" s="10"/>
      <c r="H90" s="10"/>
      <c r="I90" s="10"/>
      <c r="J90" s="10"/>
      <c r="K90" s="10"/>
      <c r="L90" s="10">
        <f>L89+L88</f>
        <v>0</v>
      </c>
    </row>
    <row r="91" spans="1:14" x14ac:dyDescent="0.3">
      <c r="A91" s="2"/>
      <c r="B91" s="5" t="s">
        <v>227</v>
      </c>
      <c r="C91" s="1"/>
      <c r="D91" s="8"/>
      <c r="E91" s="26">
        <v>0.1</v>
      </c>
      <c r="F91" s="10"/>
      <c r="G91" s="10"/>
      <c r="H91" s="10"/>
      <c r="I91" s="10"/>
      <c r="J91" s="10"/>
      <c r="K91" s="10"/>
      <c r="L91" s="10">
        <f>L90*E91</f>
        <v>0</v>
      </c>
    </row>
    <row r="92" spans="1:14" x14ac:dyDescent="0.3">
      <c r="A92" s="2"/>
      <c r="B92" s="2" t="s">
        <v>7</v>
      </c>
      <c r="C92" s="1"/>
      <c r="D92" s="8"/>
      <c r="E92" s="26"/>
      <c r="F92" s="10"/>
      <c r="G92" s="10"/>
      <c r="H92" s="10"/>
      <c r="I92" s="10"/>
      <c r="J92" s="10"/>
      <c r="K92" s="10"/>
      <c r="L92" s="10">
        <f>L91+L90</f>
        <v>0</v>
      </c>
    </row>
    <row r="93" spans="1:14" x14ac:dyDescent="0.3">
      <c r="A93" s="2"/>
      <c r="B93" s="5" t="s">
        <v>228</v>
      </c>
      <c r="C93" s="1"/>
      <c r="D93" s="8"/>
      <c r="E93" s="26">
        <v>0.01</v>
      </c>
      <c r="F93" s="10"/>
      <c r="G93" s="10"/>
      <c r="H93" s="10"/>
      <c r="I93" s="10"/>
      <c r="J93" s="10"/>
      <c r="K93" s="10"/>
      <c r="L93" s="10">
        <f>L92*E93</f>
        <v>0</v>
      </c>
    </row>
    <row r="94" spans="1:14" x14ac:dyDescent="0.3">
      <c r="A94" s="2"/>
      <c r="B94" s="2" t="s">
        <v>7</v>
      </c>
      <c r="C94" s="1"/>
      <c r="D94" s="8"/>
      <c r="E94" s="26"/>
      <c r="F94" s="10"/>
      <c r="G94" s="10"/>
      <c r="H94" s="10"/>
      <c r="I94" s="10"/>
      <c r="J94" s="10"/>
      <c r="K94" s="10"/>
      <c r="L94" s="10">
        <f>L93+L92</f>
        <v>0</v>
      </c>
    </row>
    <row r="95" spans="1:14" x14ac:dyDescent="0.3">
      <c r="A95" s="2"/>
      <c r="B95" s="5" t="s">
        <v>229</v>
      </c>
      <c r="C95" s="1"/>
      <c r="D95" s="8"/>
      <c r="E95" s="26">
        <v>0.08</v>
      </c>
      <c r="F95" s="10"/>
      <c r="G95" s="10"/>
      <c r="H95" s="10"/>
      <c r="I95" s="10"/>
      <c r="J95" s="10"/>
      <c r="K95" s="10"/>
      <c r="L95" s="10">
        <f>L94*E95</f>
        <v>0</v>
      </c>
    </row>
    <row r="96" spans="1:14" x14ac:dyDescent="0.3">
      <c r="A96" s="2"/>
      <c r="B96" s="2" t="s">
        <v>7</v>
      </c>
      <c r="C96" s="1"/>
      <c r="D96" s="8"/>
      <c r="E96" s="26"/>
      <c r="F96" s="10"/>
      <c r="G96" s="10"/>
      <c r="H96" s="10"/>
      <c r="I96" s="10"/>
      <c r="J96" s="10"/>
      <c r="K96" s="10"/>
      <c r="L96" s="10">
        <f>L95+L94</f>
        <v>0</v>
      </c>
    </row>
    <row r="97" spans="1:12" x14ac:dyDescent="0.3">
      <c r="A97" s="2"/>
      <c r="B97" s="5" t="s">
        <v>230</v>
      </c>
      <c r="C97" s="1"/>
      <c r="D97" s="8"/>
      <c r="E97" s="26">
        <v>0.03</v>
      </c>
      <c r="F97" s="10"/>
      <c r="G97" s="10"/>
      <c r="H97" s="10"/>
      <c r="I97" s="10"/>
      <c r="J97" s="10"/>
      <c r="K97" s="10"/>
      <c r="L97" s="10">
        <f>L96*E97</f>
        <v>0</v>
      </c>
    </row>
    <row r="98" spans="1:12" x14ac:dyDescent="0.3">
      <c r="A98" s="2"/>
      <c r="B98" s="2" t="s">
        <v>7</v>
      </c>
      <c r="C98" s="1"/>
      <c r="D98" s="8"/>
      <c r="E98" s="26"/>
      <c r="F98" s="10"/>
      <c r="G98" s="10"/>
      <c r="H98" s="10"/>
      <c r="I98" s="10"/>
      <c r="J98" s="10"/>
      <c r="K98" s="10"/>
      <c r="L98" s="10">
        <f>L97+L96</f>
        <v>0</v>
      </c>
    </row>
    <row r="99" spans="1:12" x14ac:dyDescent="0.3">
      <c r="A99" s="2"/>
      <c r="B99" s="5" t="s">
        <v>231</v>
      </c>
      <c r="C99" s="1"/>
      <c r="D99" s="8"/>
      <c r="E99" s="26">
        <v>0.18</v>
      </c>
      <c r="F99" s="10"/>
      <c r="G99" s="10"/>
      <c r="H99" s="10"/>
      <c r="I99" s="10"/>
      <c r="J99" s="10"/>
      <c r="K99" s="10"/>
      <c r="L99" s="10">
        <f>L98*E99</f>
        <v>0</v>
      </c>
    </row>
    <row r="100" spans="1:12" x14ac:dyDescent="0.3">
      <c r="A100" s="3"/>
      <c r="B100" s="3" t="s">
        <v>232</v>
      </c>
      <c r="C100" s="3"/>
      <c r="D100" s="24"/>
      <c r="E100" s="24"/>
      <c r="F100" s="25"/>
      <c r="G100" s="25"/>
      <c r="H100" s="25"/>
      <c r="I100" s="25"/>
      <c r="J100" s="25"/>
      <c r="K100" s="25"/>
      <c r="L100" s="25">
        <f>L99+L98</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3"/>
  <sheetViews>
    <sheetView topLeftCell="A43" zoomScale="85" zoomScaleNormal="85" workbookViewId="0">
      <selection activeCell="Q60" sqref="Q60"/>
    </sheetView>
  </sheetViews>
  <sheetFormatPr defaultRowHeight="14.4" x14ac:dyDescent="0.3"/>
  <cols>
    <col min="1" max="1" width="8.88671875" style="7"/>
    <col min="2" max="2" width="73.33203125"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9.21875" bestFit="1" customWidth="1"/>
  </cols>
  <sheetData>
    <row r="2" spans="1:12" x14ac:dyDescent="0.3">
      <c r="A2" s="40" t="s">
        <v>1036</v>
      </c>
      <c r="B2" s="40"/>
      <c r="C2" s="40"/>
      <c r="D2" s="40"/>
      <c r="E2" s="40"/>
      <c r="F2" s="40"/>
      <c r="G2" s="40"/>
      <c r="H2" s="40"/>
      <c r="I2" s="40"/>
      <c r="J2" s="40"/>
      <c r="K2" s="40"/>
      <c r="L2" s="40"/>
    </row>
    <row r="3" spans="1:12" x14ac:dyDescent="0.3">
      <c r="A3" s="40" t="s">
        <v>1037</v>
      </c>
      <c r="B3" s="40"/>
      <c r="C3" s="40"/>
      <c r="D3" s="40"/>
      <c r="E3" s="40"/>
      <c r="F3" s="40"/>
      <c r="G3" s="40"/>
      <c r="H3" s="40"/>
      <c r="I3" s="40"/>
      <c r="J3" s="40"/>
      <c r="K3" s="40"/>
      <c r="L3" s="40"/>
    </row>
    <row r="4" spans="1:12" x14ac:dyDescent="0.3">
      <c r="A4" s="36" t="s">
        <v>1051</v>
      </c>
      <c r="K4" s="33" t="s">
        <v>1038</v>
      </c>
      <c r="L4" s="34" t="str">
        <f>'2000 მ²'!L4</f>
        <v>001</v>
      </c>
    </row>
    <row r="5" spans="1:12" x14ac:dyDescent="0.3">
      <c r="A5" s="36" t="s">
        <v>1044</v>
      </c>
      <c r="K5" s="33" t="s">
        <v>1040</v>
      </c>
      <c r="L5" s="35">
        <f>'2000 მ²'!L5</f>
        <v>45887</v>
      </c>
    </row>
    <row r="6" spans="1:12" ht="28.8" customHeight="1" x14ac:dyDescent="0.3">
      <c r="A6" s="43" t="s">
        <v>0</v>
      </c>
      <c r="B6" s="43" t="s">
        <v>1</v>
      </c>
      <c r="C6" s="43" t="s">
        <v>2</v>
      </c>
      <c r="D6" s="45" t="s">
        <v>9</v>
      </c>
      <c r="E6" s="45" t="s">
        <v>3</v>
      </c>
      <c r="F6" s="41" t="s">
        <v>4</v>
      </c>
      <c r="G6" s="42"/>
      <c r="H6" s="41" t="s">
        <v>5</v>
      </c>
      <c r="I6" s="42"/>
      <c r="J6" s="41" t="s">
        <v>6</v>
      </c>
      <c r="K6" s="42"/>
      <c r="L6" s="43" t="s">
        <v>7</v>
      </c>
    </row>
    <row r="7" spans="1:12" ht="23.4" customHeight="1" x14ac:dyDescent="0.3">
      <c r="A7" s="44"/>
      <c r="B7" s="44"/>
      <c r="C7" s="44"/>
      <c r="D7" s="46"/>
      <c r="E7" s="46"/>
      <c r="F7" s="3" t="s">
        <v>8</v>
      </c>
      <c r="G7" s="3" t="s">
        <v>7</v>
      </c>
      <c r="H7" s="3" t="s">
        <v>8</v>
      </c>
      <c r="I7" s="3" t="s">
        <v>7</v>
      </c>
      <c r="J7" s="3" t="s">
        <v>8</v>
      </c>
      <c r="K7" s="3" t="s">
        <v>7</v>
      </c>
      <c r="L7" s="44"/>
    </row>
    <row r="8" spans="1:12" x14ac:dyDescent="0.3">
      <c r="A8" s="3">
        <v>1</v>
      </c>
      <c r="B8" s="3">
        <v>2</v>
      </c>
      <c r="C8" s="3">
        <v>3</v>
      </c>
      <c r="D8" s="3">
        <v>4</v>
      </c>
      <c r="E8" s="3">
        <v>5</v>
      </c>
      <c r="F8" s="3">
        <v>6</v>
      </c>
      <c r="G8" s="3">
        <v>7</v>
      </c>
      <c r="H8" s="3">
        <v>8</v>
      </c>
      <c r="I8" s="3">
        <v>9</v>
      </c>
      <c r="J8" s="3">
        <v>10</v>
      </c>
      <c r="K8" s="3">
        <v>11</v>
      </c>
      <c r="L8" s="3">
        <v>12</v>
      </c>
    </row>
    <row r="9" spans="1:12" x14ac:dyDescent="0.3">
      <c r="A9" s="11"/>
      <c r="B9" s="11" t="s">
        <v>429</v>
      </c>
      <c r="C9" s="4"/>
      <c r="D9" s="12"/>
      <c r="E9" s="12"/>
      <c r="F9" s="13"/>
      <c r="G9" s="13"/>
      <c r="H9" s="13"/>
      <c r="I9" s="13"/>
      <c r="J9" s="13"/>
      <c r="K9" s="13"/>
      <c r="L9" s="13"/>
    </row>
    <row r="10" spans="1:12" x14ac:dyDescent="0.3">
      <c r="A10" s="2">
        <v>1</v>
      </c>
      <c r="B10" s="14" t="s">
        <v>407</v>
      </c>
      <c r="C10" s="2" t="s">
        <v>18</v>
      </c>
      <c r="D10" s="15"/>
      <c r="E10" s="15">
        <v>177.32</v>
      </c>
      <c r="F10" s="10"/>
      <c r="G10" s="10">
        <f t="shared" ref="G10:G80" si="0">F10*E10</f>
        <v>0</v>
      </c>
      <c r="H10" s="10"/>
      <c r="I10" s="10">
        <f t="shared" ref="I10:I80" si="1">H10*E10</f>
        <v>0</v>
      </c>
      <c r="J10" s="10"/>
      <c r="K10" s="10">
        <f t="shared" ref="K10:K80" si="2">J10*E10</f>
        <v>0</v>
      </c>
      <c r="L10" s="10">
        <f t="shared" ref="L10:L80" si="3">K10+I10+G10</f>
        <v>0</v>
      </c>
    </row>
    <row r="11" spans="1:12" x14ac:dyDescent="0.3">
      <c r="A11" s="2"/>
      <c r="B11" s="17" t="s">
        <v>408</v>
      </c>
      <c r="C11" s="18" t="s">
        <v>18</v>
      </c>
      <c r="D11" s="19"/>
      <c r="E11" s="19">
        <v>13</v>
      </c>
      <c r="F11" s="10"/>
      <c r="G11" s="10">
        <f t="shared" si="0"/>
        <v>0</v>
      </c>
      <c r="H11" s="10"/>
      <c r="I11" s="10">
        <f t="shared" si="1"/>
        <v>0</v>
      </c>
      <c r="J11" s="10"/>
      <c r="K11" s="10">
        <f t="shared" si="2"/>
        <v>0</v>
      </c>
      <c r="L11" s="10">
        <f t="shared" si="3"/>
        <v>0</v>
      </c>
    </row>
    <row r="12" spans="1:12" x14ac:dyDescent="0.3">
      <c r="A12" s="2"/>
      <c r="B12" s="17" t="s">
        <v>409</v>
      </c>
      <c r="C12" s="18" t="s">
        <v>18</v>
      </c>
      <c r="D12" s="19"/>
      <c r="E12" s="19">
        <v>65</v>
      </c>
      <c r="F12" s="10"/>
      <c r="G12" s="10">
        <f t="shared" si="0"/>
        <v>0</v>
      </c>
      <c r="H12" s="10"/>
      <c r="I12" s="10">
        <f t="shared" si="1"/>
        <v>0</v>
      </c>
      <c r="J12" s="10"/>
      <c r="K12" s="10">
        <f t="shared" si="2"/>
        <v>0</v>
      </c>
      <c r="L12" s="10">
        <f t="shared" si="3"/>
        <v>0</v>
      </c>
    </row>
    <row r="13" spans="1:12" x14ac:dyDescent="0.3">
      <c r="A13" s="2"/>
      <c r="B13" s="17" t="s">
        <v>410</v>
      </c>
      <c r="C13" s="18" t="s">
        <v>18</v>
      </c>
      <c r="D13" s="19"/>
      <c r="E13" s="19">
        <v>39</v>
      </c>
      <c r="F13" s="10"/>
      <c r="G13" s="10">
        <f t="shared" si="0"/>
        <v>0</v>
      </c>
      <c r="H13" s="10"/>
      <c r="I13" s="10">
        <f t="shared" si="1"/>
        <v>0</v>
      </c>
      <c r="J13" s="10"/>
      <c r="K13" s="10">
        <f t="shared" si="2"/>
        <v>0</v>
      </c>
      <c r="L13" s="10">
        <f t="shared" si="3"/>
        <v>0</v>
      </c>
    </row>
    <row r="14" spans="1:12" x14ac:dyDescent="0.3">
      <c r="A14" s="2"/>
      <c r="B14" s="17" t="s">
        <v>411</v>
      </c>
      <c r="C14" s="18" t="s">
        <v>18</v>
      </c>
      <c r="D14" s="19"/>
      <c r="E14" s="19">
        <v>1.72</v>
      </c>
      <c r="F14" s="10"/>
      <c r="G14" s="10">
        <f t="shared" si="0"/>
        <v>0</v>
      </c>
      <c r="H14" s="10"/>
      <c r="I14" s="10">
        <f t="shared" si="1"/>
        <v>0</v>
      </c>
      <c r="J14" s="10"/>
      <c r="K14" s="10">
        <f t="shared" si="2"/>
        <v>0</v>
      </c>
      <c r="L14" s="10">
        <f t="shared" si="3"/>
        <v>0</v>
      </c>
    </row>
    <row r="15" spans="1:12" x14ac:dyDescent="0.3">
      <c r="A15" s="2"/>
      <c r="B15" s="17" t="s">
        <v>412</v>
      </c>
      <c r="C15" s="18" t="s">
        <v>18</v>
      </c>
      <c r="D15" s="19"/>
      <c r="E15" s="19">
        <v>61.53</v>
      </c>
      <c r="F15" s="10"/>
      <c r="G15" s="10">
        <f t="shared" si="0"/>
        <v>0</v>
      </c>
      <c r="H15" s="10"/>
      <c r="I15" s="10">
        <f t="shared" si="1"/>
        <v>0</v>
      </c>
      <c r="J15" s="10"/>
      <c r="K15" s="10">
        <f t="shared" si="2"/>
        <v>0</v>
      </c>
      <c r="L15" s="10">
        <f t="shared" si="3"/>
        <v>0</v>
      </c>
    </row>
    <row r="16" spans="1:12" x14ac:dyDescent="0.3">
      <c r="A16" s="2"/>
      <c r="B16" s="17" t="s">
        <v>413</v>
      </c>
      <c r="C16" s="18" t="s">
        <v>18</v>
      </c>
      <c r="D16" s="19"/>
      <c r="E16" s="19">
        <v>61.53</v>
      </c>
      <c r="F16" s="10"/>
      <c r="G16" s="10">
        <f t="shared" si="0"/>
        <v>0</v>
      </c>
      <c r="H16" s="10"/>
      <c r="I16" s="10">
        <f t="shared" si="1"/>
        <v>0</v>
      </c>
      <c r="J16" s="10"/>
      <c r="K16" s="10">
        <f t="shared" si="2"/>
        <v>0</v>
      </c>
      <c r="L16" s="10">
        <f t="shared" si="3"/>
        <v>0</v>
      </c>
    </row>
    <row r="17" spans="1:12" x14ac:dyDescent="0.3">
      <c r="A17" s="2">
        <f>A10+1</f>
        <v>2</v>
      </c>
      <c r="B17" s="14" t="s">
        <v>414</v>
      </c>
      <c r="C17" s="2" t="s">
        <v>18</v>
      </c>
      <c r="D17" s="15"/>
      <c r="E17" s="15">
        <v>92.82</v>
      </c>
      <c r="F17" s="10"/>
      <c r="G17" s="10">
        <f t="shared" si="0"/>
        <v>0</v>
      </c>
      <c r="H17" s="10"/>
      <c r="I17" s="10">
        <f t="shared" si="1"/>
        <v>0</v>
      </c>
      <c r="J17" s="10"/>
      <c r="K17" s="10">
        <f t="shared" si="2"/>
        <v>0</v>
      </c>
      <c r="L17" s="10">
        <f t="shared" si="3"/>
        <v>0</v>
      </c>
    </row>
    <row r="18" spans="1:12" x14ac:dyDescent="0.3">
      <c r="A18" s="2"/>
      <c r="B18" s="17" t="s">
        <v>415</v>
      </c>
      <c r="C18" s="18" t="s">
        <v>18</v>
      </c>
      <c r="D18" s="27"/>
      <c r="E18" s="19">
        <v>9.2799999999999994</v>
      </c>
      <c r="F18" s="10"/>
      <c r="G18" s="10">
        <f t="shared" si="0"/>
        <v>0</v>
      </c>
      <c r="H18" s="10"/>
      <c r="I18" s="10">
        <f t="shared" si="1"/>
        <v>0</v>
      </c>
      <c r="J18" s="10"/>
      <c r="K18" s="10">
        <f t="shared" si="2"/>
        <v>0</v>
      </c>
      <c r="L18" s="10">
        <f t="shared" si="3"/>
        <v>0</v>
      </c>
    </row>
    <row r="19" spans="1:12" x14ac:dyDescent="0.3">
      <c r="A19" s="2"/>
      <c r="B19" s="17" t="s">
        <v>416</v>
      </c>
      <c r="C19" s="18" t="s">
        <v>18</v>
      </c>
      <c r="D19" s="27"/>
      <c r="E19" s="19">
        <v>37.130000000000003</v>
      </c>
      <c r="F19" s="10"/>
      <c r="G19" s="10">
        <f t="shared" si="0"/>
        <v>0</v>
      </c>
      <c r="H19" s="10"/>
      <c r="I19" s="10">
        <f t="shared" si="1"/>
        <v>0</v>
      </c>
      <c r="J19" s="10"/>
      <c r="K19" s="10">
        <f t="shared" si="2"/>
        <v>0</v>
      </c>
      <c r="L19" s="10">
        <f t="shared" si="3"/>
        <v>0</v>
      </c>
    </row>
    <row r="20" spans="1:12" x14ac:dyDescent="0.3">
      <c r="A20" s="2">
        <f>A17+1</f>
        <v>3</v>
      </c>
      <c r="B20" s="14" t="s">
        <v>417</v>
      </c>
      <c r="C20" s="2" t="s">
        <v>18</v>
      </c>
      <c r="D20" s="32"/>
      <c r="E20" s="15">
        <v>44.46</v>
      </c>
      <c r="F20" s="10"/>
      <c r="G20" s="10">
        <f t="shared" si="0"/>
        <v>0</v>
      </c>
      <c r="H20" s="10"/>
      <c r="I20" s="10">
        <f t="shared" si="1"/>
        <v>0</v>
      </c>
      <c r="J20" s="10"/>
      <c r="K20" s="10">
        <f t="shared" si="2"/>
        <v>0</v>
      </c>
      <c r="L20" s="10">
        <f t="shared" si="3"/>
        <v>0</v>
      </c>
    </row>
    <row r="21" spans="1:12" x14ac:dyDescent="0.3">
      <c r="A21" s="2"/>
      <c r="B21" s="17" t="s">
        <v>418</v>
      </c>
      <c r="C21" s="18" t="s">
        <v>18</v>
      </c>
      <c r="D21" s="19"/>
      <c r="E21" s="19">
        <v>16.899999999999999</v>
      </c>
      <c r="F21" s="10"/>
      <c r="G21" s="10">
        <f t="shared" si="0"/>
        <v>0</v>
      </c>
      <c r="H21" s="10"/>
      <c r="I21" s="10">
        <f t="shared" si="1"/>
        <v>0</v>
      </c>
      <c r="J21" s="10"/>
      <c r="K21" s="10">
        <f t="shared" si="2"/>
        <v>0</v>
      </c>
      <c r="L21" s="10">
        <f t="shared" si="3"/>
        <v>0</v>
      </c>
    </row>
    <row r="22" spans="1:12" x14ac:dyDescent="0.3">
      <c r="A22" s="2"/>
      <c r="B22" s="17" t="s">
        <v>419</v>
      </c>
      <c r="C22" s="18" t="s">
        <v>18</v>
      </c>
      <c r="D22" s="19"/>
      <c r="E22" s="19">
        <v>27.56</v>
      </c>
      <c r="F22" s="10"/>
      <c r="G22" s="10">
        <f t="shared" si="0"/>
        <v>0</v>
      </c>
      <c r="H22" s="10"/>
      <c r="I22" s="10">
        <f t="shared" si="1"/>
        <v>0</v>
      </c>
      <c r="J22" s="10"/>
      <c r="K22" s="10">
        <f t="shared" si="2"/>
        <v>0</v>
      </c>
      <c r="L22" s="10">
        <f t="shared" si="3"/>
        <v>0</v>
      </c>
    </row>
    <row r="23" spans="1:12" x14ac:dyDescent="0.3">
      <c r="A23" s="2">
        <f>A20+1</f>
        <v>4</v>
      </c>
      <c r="B23" s="14" t="s">
        <v>420</v>
      </c>
      <c r="C23" s="2" t="s">
        <v>18</v>
      </c>
      <c r="D23" s="15"/>
      <c r="E23" s="15">
        <v>35.07</v>
      </c>
      <c r="F23" s="10"/>
      <c r="G23" s="10">
        <f t="shared" si="0"/>
        <v>0</v>
      </c>
      <c r="H23" s="10"/>
      <c r="I23" s="10">
        <f t="shared" si="1"/>
        <v>0</v>
      </c>
      <c r="J23" s="10"/>
      <c r="K23" s="10">
        <f t="shared" si="2"/>
        <v>0</v>
      </c>
      <c r="L23" s="10">
        <f t="shared" si="3"/>
        <v>0</v>
      </c>
    </row>
    <row r="24" spans="1:12" ht="57.6" x14ac:dyDescent="0.3">
      <c r="A24" s="2">
        <f>A23+1</f>
        <v>5</v>
      </c>
      <c r="B24" s="14" t="s">
        <v>430</v>
      </c>
      <c r="C24" s="2" t="s">
        <v>12</v>
      </c>
      <c r="D24" s="15"/>
      <c r="E24" s="15">
        <v>63</v>
      </c>
      <c r="F24" s="10"/>
      <c r="G24" s="10">
        <f t="shared" si="0"/>
        <v>0</v>
      </c>
      <c r="H24" s="10"/>
      <c r="I24" s="10">
        <f t="shared" si="1"/>
        <v>0</v>
      </c>
      <c r="J24" s="10"/>
      <c r="K24" s="10">
        <f t="shared" si="2"/>
        <v>0</v>
      </c>
      <c r="L24" s="10">
        <f t="shared" si="3"/>
        <v>0</v>
      </c>
    </row>
    <row r="25" spans="1:12" x14ac:dyDescent="0.3">
      <c r="A25" s="2"/>
      <c r="B25" s="17" t="s">
        <v>13</v>
      </c>
      <c r="C25" s="18" t="s">
        <v>12</v>
      </c>
      <c r="D25" s="19"/>
      <c r="E25" s="19">
        <v>63</v>
      </c>
      <c r="F25" s="10"/>
      <c r="G25" s="10">
        <f t="shared" si="0"/>
        <v>0</v>
      </c>
      <c r="H25" s="10"/>
      <c r="I25" s="10">
        <f t="shared" si="1"/>
        <v>0</v>
      </c>
      <c r="J25" s="10"/>
      <c r="K25" s="10">
        <f t="shared" si="2"/>
        <v>0</v>
      </c>
      <c r="L25" s="10">
        <f t="shared" si="3"/>
        <v>0</v>
      </c>
    </row>
    <row r="26" spans="1:12" x14ac:dyDescent="0.3">
      <c r="A26" s="2"/>
      <c r="B26" s="17" t="s">
        <v>431</v>
      </c>
      <c r="C26" s="18" t="s">
        <v>12</v>
      </c>
      <c r="D26" s="19"/>
      <c r="E26" s="19">
        <v>70</v>
      </c>
      <c r="F26" s="10"/>
      <c r="G26" s="10">
        <f t="shared" si="0"/>
        <v>0</v>
      </c>
      <c r="H26" s="10"/>
      <c r="I26" s="10">
        <f t="shared" si="1"/>
        <v>0</v>
      </c>
      <c r="J26" s="10"/>
      <c r="K26" s="10">
        <f t="shared" si="2"/>
        <v>0</v>
      </c>
      <c r="L26" s="10">
        <f t="shared" si="3"/>
        <v>0</v>
      </c>
    </row>
    <row r="27" spans="1:12" x14ac:dyDescent="0.3">
      <c r="A27" s="2"/>
      <c r="B27" s="17" t="s">
        <v>432</v>
      </c>
      <c r="C27" s="18" t="s">
        <v>12</v>
      </c>
      <c r="D27" s="19"/>
      <c r="E27" s="19">
        <v>70</v>
      </c>
      <c r="F27" s="10"/>
      <c r="G27" s="10">
        <f t="shared" si="0"/>
        <v>0</v>
      </c>
      <c r="H27" s="10"/>
      <c r="I27" s="10">
        <f t="shared" si="1"/>
        <v>0</v>
      </c>
      <c r="J27" s="10"/>
      <c r="K27" s="10">
        <f t="shared" si="2"/>
        <v>0</v>
      </c>
      <c r="L27" s="10">
        <f t="shared" si="3"/>
        <v>0</v>
      </c>
    </row>
    <row r="28" spans="1:12" ht="57.6" x14ac:dyDescent="0.3">
      <c r="A28" s="2">
        <f>A24+1</f>
        <v>6</v>
      </c>
      <c r="B28" s="14" t="s">
        <v>433</v>
      </c>
      <c r="C28" s="2" t="s">
        <v>12</v>
      </c>
      <c r="D28" s="15"/>
      <c r="E28" s="15">
        <v>107</v>
      </c>
      <c r="F28" s="10"/>
      <c r="G28" s="10">
        <f t="shared" si="0"/>
        <v>0</v>
      </c>
      <c r="H28" s="10"/>
      <c r="I28" s="10">
        <f t="shared" si="1"/>
        <v>0</v>
      </c>
      <c r="J28" s="10"/>
      <c r="K28" s="10">
        <f t="shared" si="2"/>
        <v>0</v>
      </c>
      <c r="L28" s="10">
        <f t="shared" si="3"/>
        <v>0</v>
      </c>
    </row>
    <row r="29" spans="1:12" x14ac:dyDescent="0.3">
      <c r="A29" s="2"/>
      <c r="B29" s="17" t="s">
        <v>13</v>
      </c>
      <c r="C29" s="18" t="s">
        <v>12</v>
      </c>
      <c r="D29" s="19"/>
      <c r="E29" s="19">
        <v>107</v>
      </c>
      <c r="F29" s="10"/>
      <c r="G29" s="10">
        <f t="shared" si="0"/>
        <v>0</v>
      </c>
      <c r="H29" s="10"/>
      <c r="I29" s="10">
        <f t="shared" si="1"/>
        <v>0</v>
      </c>
      <c r="J29" s="10"/>
      <c r="K29" s="10">
        <f t="shared" si="2"/>
        <v>0</v>
      </c>
      <c r="L29" s="10">
        <f t="shared" si="3"/>
        <v>0</v>
      </c>
    </row>
    <row r="30" spans="1:12" x14ac:dyDescent="0.3">
      <c r="A30" s="2"/>
      <c r="B30" s="17" t="s">
        <v>434</v>
      </c>
      <c r="C30" s="18" t="s">
        <v>12</v>
      </c>
      <c r="D30" s="19"/>
      <c r="E30" s="19">
        <v>114</v>
      </c>
      <c r="F30" s="10"/>
      <c r="G30" s="10">
        <f t="shared" si="0"/>
        <v>0</v>
      </c>
      <c r="H30" s="10"/>
      <c r="I30" s="10">
        <f t="shared" si="1"/>
        <v>0</v>
      </c>
      <c r="J30" s="10"/>
      <c r="K30" s="10">
        <f t="shared" si="2"/>
        <v>0</v>
      </c>
      <c r="L30" s="10">
        <f t="shared" si="3"/>
        <v>0</v>
      </c>
    </row>
    <row r="31" spans="1:12" x14ac:dyDescent="0.3">
      <c r="A31" s="2"/>
      <c r="B31" s="17" t="s">
        <v>432</v>
      </c>
      <c r="C31" s="18" t="s">
        <v>12</v>
      </c>
      <c r="D31" s="19"/>
      <c r="E31" s="19">
        <v>160</v>
      </c>
      <c r="F31" s="10"/>
      <c r="G31" s="10">
        <f t="shared" si="0"/>
        <v>0</v>
      </c>
      <c r="H31" s="10"/>
      <c r="I31" s="10">
        <f t="shared" si="1"/>
        <v>0</v>
      </c>
      <c r="J31" s="10"/>
      <c r="K31" s="10">
        <f t="shared" si="2"/>
        <v>0</v>
      </c>
      <c r="L31" s="10">
        <f t="shared" si="3"/>
        <v>0</v>
      </c>
    </row>
    <row r="32" spans="1:12" x14ac:dyDescent="0.3">
      <c r="A32" s="2">
        <f>A28+1</f>
        <v>7</v>
      </c>
      <c r="B32" s="14" t="s">
        <v>435</v>
      </c>
      <c r="C32" s="2" t="s">
        <v>12</v>
      </c>
      <c r="D32" s="15"/>
      <c r="E32" s="15">
        <v>127</v>
      </c>
      <c r="F32" s="10"/>
      <c r="G32" s="10">
        <f t="shared" si="0"/>
        <v>0</v>
      </c>
      <c r="H32" s="10"/>
      <c r="I32" s="10">
        <f t="shared" si="1"/>
        <v>0</v>
      </c>
      <c r="J32" s="10"/>
      <c r="K32" s="10">
        <f t="shared" si="2"/>
        <v>0</v>
      </c>
      <c r="L32" s="10">
        <f t="shared" si="3"/>
        <v>0</v>
      </c>
    </row>
    <row r="33" spans="1:16" x14ac:dyDescent="0.3">
      <c r="A33" s="2"/>
      <c r="B33" s="17" t="s">
        <v>13</v>
      </c>
      <c r="C33" s="18" t="s">
        <v>12</v>
      </c>
      <c r="D33" s="27"/>
      <c r="E33" s="19">
        <v>127</v>
      </c>
      <c r="F33" s="10"/>
      <c r="G33" s="10">
        <f t="shared" si="0"/>
        <v>0</v>
      </c>
      <c r="H33" s="10"/>
      <c r="I33" s="10">
        <f t="shared" si="1"/>
        <v>0</v>
      </c>
      <c r="J33" s="10"/>
      <c r="K33" s="10">
        <f t="shared" si="2"/>
        <v>0</v>
      </c>
      <c r="L33" s="10">
        <f t="shared" si="3"/>
        <v>0</v>
      </c>
    </row>
    <row r="34" spans="1:16" x14ac:dyDescent="0.3">
      <c r="A34" s="2"/>
      <c r="B34" s="17" t="s">
        <v>436</v>
      </c>
      <c r="C34" s="18" t="s">
        <v>12</v>
      </c>
      <c r="D34" s="19"/>
      <c r="E34" s="19">
        <v>140</v>
      </c>
      <c r="F34" s="10"/>
      <c r="G34" s="10">
        <f t="shared" si="0"/>
        <v>0</v>
      </c>
      <c r="H34" s="10"/>
      <c r="I34" s="10">
        <f t="shared" si="1"/>
        <v>0</v>
      </c>
      <c r="J34" s="10"/>
      <c r="K34" s="10">
        <f t="shared" si="2"/>
        <v>0</v>
      </c>
      <c r="L34" s="10">
        <f t="shared" si="3"/>
        <v>0</v>
      </c>
      <c r="N34" s="9"/>
    </row>
    <row r="35" spans="1:16" x14ac:dyDescent="0.3">
      <c r="A35" s="2"/>
      <c r="B35" s="17" t="s">
        <v>432</v>
      </c>
      <c r="C35" s="18" t="s">
        <v>12</v>
      </c>
      <c r="D35" s="19"/>
      <c r="E35" s="19">
        <v>140</v>
      </c>
      <c r="F35" s="10"/>
      <c r="G35" s="10">
        <f t="shared" si="0"/>
        <v>0</v>
      </c>
      <c r="H35" s="10"/>
      <c r="I35" s="10">
        <f t="shared" si="1"/>
        <v>0</v>
      </c>
      <c r="J35" s="10"/>
      <c r="K35" s="10">
        <f t="shared" si="2"/>
        <v>0</v>
      </c>
      <c r="L35" s="10">
        <f t="shared" si="3"/>
        <v>0</v>
      </c>
    </row>
    <row r="36" spans="1:16" x14ac:dyDescent="0.3">
      <c r="A36" s="2">
        <f>A32+1</f>
        <v>8</v>
      </c>
      <c r="B36" s="14" t="s">
        <v>437</v>
      </c>
      <c r="C36" s="2" t="s">
        <v>18</v>
      </c>
      <c r="D36" s="15"/>
      <c r="E36" s="15">
        <v>0.8</v>
      </c>
      <c r="F36" s="10"/>
      <c r="G36" s="10">
        <f t="shared" si="0"/>
        <v>0</v>
      </c>
      <c r="H36" s="10"/>
      <c r="I36" s="10">
        <f t="shared" si="1"/>
        <v>0</v>
      </c>
      <c r="J36" s="10"/>
      <c r="K36" s="10">
        <f t="shared" si="2"/>
        <v>0</v>
      </c>
      <c r="L36" s="10">
        <f t="shared" si="3"/>
        <v>0</v>
      </c>
      <c r="N36" s="9"/>
      <c r="P36" s="9"/>
    </row>
    <row r="37" spans="1:16" x14ac:dyDescent="0.3">
      <c r="A37" s="2"/>
      <c r="B37" s="17" t="s">
        <v>13</v>
      </c>
      <c r="C37" s="18" t="s">
        <v>18</v>
      </c>
      <c r="D37" s="19"/>
      <c r="E37" s="19">
        <v>0.8</v>
      </c>
      <c r="F37" s="10"/>
      <c r="G37" s="10">
        <f t="shared" si="0"/>
        <v>0</v>
      </c>
      <c r="H37" s="10"/>
      <c r="I37" s="10">
        <f t="shared" si="1"/>
        <v>0</v>
      </c>
      <c r="J37" s="10"/>
      <c r="K37" s="10">
        <f t="shared" si="2"/>
        <v>0</v>
      </c>
      <c r="L37" s="10">
        <f t="shared" si="3"/>
        <v>0</v>
      </c>
    </row>
    <row r="38" spans="1:16" x14ac:dyDescent="0.3">
      <c r="A38" s="2"/>
      <c r="B38" s="17" t="s">
        <v>438</v>
      </c>
      <c r="C38" s="18" t="s">
        <v>464</v>
      </c>
      <c r="D38" s="19"/>
      <c r="E38" s="19">
        <v>4.5999999999999999E-2</v>
      </c>
      <c r="F38" s="10"/>
      <c r="G38" s="10">
        <f t="shared" si="0"/>
        <v>0</v>
      </c>
      <c r="H38" s="10"/>
      <c r="I38" s="10">
        <f t="shared" si="1"/>
        <v>0</v>
      </c>
      <c r="J38" s="10"/>
      <c r="K38" s="10">
        <f t="shared" si="2"/>
        <v>0</v>
      </c>
      <c r="L38" s="10">
        <f t="shared" si="3"/>
        <v>0</v>
      </c>
    </row>
    <row r="39" spans="1:16" x14ac:dyDescent="0.3">
      <c r="A39" s="2"/>
      <c r="B39" s="17" t="s">
        <v>44</v>
      </c>
      <c r="C39" s="18" t="s">
        <v>47</v>
      </c>
      <c r="D39" s="19"/>
      <c r="E39" s="19">
        <v>0.25</v>
      </c>
      <c r="F39" s="10"/>
      <c r="G39" s="10">
        <f t="shared" si="0"/>
        <v>0</v>
      </c>
      <c r="H39" s="10"/>
      <c r="I39" s="10">
        <f t="shared" si="1"/>
        <v>0</v>
      </c>
      <c r="J39" s="10"/>
      <c r="K39" s="10">
        <f t="shared" si="2"/>
        <v>0</v>
      </c>
      <c r="L39" s="10">
        <f t="shared" si="3"/>
        <v>0</v>
      </c>
    </row>
    <row r="40" spans="1:16" x14ac:dyDescent="0.3">
      <c r="A40" s="2"/>
      <c r="B40" s="17" t="s">
        <v>439</v>
      </c>
      <c r="C40" s="18" t="s">
        <v>72</v>
      </c>
      <c r="D40" s="19"/>
      <c r="E40" s="19">
        <v>1</v>
      </c>
      <c r="F40" s="10"/>
      <c r="G40" s="10">
        <f t="shared" si="0"/>
        <v>0</v>
      </c>
      <c r="H40" s="10"/>
      <c r="I40" s="10">
        <f t="shared" si="1"/>
        <v>0</v>
      </c>
      <c r="J40" s="10"/>
      <c r="K40" s="10">
        <f t="shared" si="2"/>
        <v>0</v>
      </c>
      <c r="L40" s="10">
        <f t="shared" si="3"/>
        <v>0</v>
      </c>
    </row>
    <row r="41" spans="1:16" x14ac:dyDescent="0.3">
      <c r="A41" s="2"/>
      <c r="B41" s="17" t="s">
        <v>43</v>
      </c>
      <c r="C41" s="18" t="s">
        <v>47</v>
      </c>
      <c r="D41" s="19"/>
      <c r="E41" s="19">
        <v>0</v>
      </c>
      <c r="F41" s="10"/>
      <c r="G41" s="10">
        <f t="shared" si="0"/>
        <v>0</v>
      </c>
      <c r="H41" s="10"/>
      <c r="I41" s="10">
        <f t="shared" si="1"/>
        <v>0</v>
      </c>
      <c r="J41" s="10"/>
      <c r="K41" s="10">
        <f t="shared" si="2"/>
        <v>0</v>
      </c>
      <c r="L41" s="10">
        <f t="shared" si="3"/>
        <v>0</v>
      </c>
    </row>
    <row r="42" spans="1:16" x14ac:dyDescent="0.3">
      <c r="A42" s="2"/>
      <c r="B42" s="17" t="s">
        <v>440</v>
      </c>
      <c r="C42" s="18" t="s">
        <v>72</v>
      </c>
      <c r="D42" s="19"/>
      <c r="E42" s="19">
        <v>0</v>
      </c>
      <c r="F42" s="10"/>
      <c r="G42" s="10">
        <f t="shared" si="0"/>
        <v>0</v>
      </c>
      <c r="H42" s="10"/>
      <c r="I42" s="10">
        <f t="shared" si="1"/>
        <v>0</v>
      </c>
      <c r="J42" s="10"/>
      <c r="K42" s="10">
        <f t="shared" si="2"/>
        <v>0</v>
      </c>
      <c r="L42" s="10">
        <f t="shared" si="3"/>
        <v>0</v>
      </c>
    </row>
    <row r="43" spans="1:16" x14ac:dyDescent="0.3">
      <c r="A43" s="2"/>
      <c r="B43" s="17" t="s">
        <v>441</v>
      </c>
      <c r="C43" s="18" t="s">
        <v>18</v>
      </c>
      <c r="D43" s="19"/>
      <c r="E43" s="19">
        <v>0.85</v>
      </c>
      <c r="F43" s="10"/>
      <c r="G43" s="10">
        <f t="shared" si="0"/>
        <v>0</v>
      </c>
      <c r="H43" s="10"/>
      <c r="I43" s="10">
        <f t="shared" si="1"/>
        <v>0</v>
      </c>
      <c r="J43" s="10"/>
      <c r="K43" s="10">
        <f t="shared" si="2"/>
        <v>0</v>
      </c>
      <c r="L43" s="10">
        <f t="shared" si="3"/>
        <v>0</v>
      </c>
    </row>
    <row r="44" spans="1:16" x14ac:dyDescent="0.3">
      <c r="A44" s="2">
        <f>A36+1</f>
        <v>9</v>
      </c>
      <c r="B44" s="14" t="s">
        <v>442</v>
      </c>
      <c r="C44" s="2" t="s">
        <v>16</v>
      </c>
      <c r="D44" s="15"/>
      <c r="E44" s="15">
        <v>11.43</v>
      </c>
      <c r="F44" s="10"/>
      <c r="G44" s="10">
        <f t="shared" si="0"/>
        <v>0</v>
      </c>
      <c r="H44" s="10"/>
      <c r="I44" s="10">
        <f t="shared" si="1"/>
        <v>0</v>
      </c>
      <c r="J44" s="10"/>
      <c r="K44" s="10">
        <f t="shared" si="2"/>
        <v>0</v>
      </c>
      <c r="L44" s="10">
        <f t="shared" si="3"/>
        <v>0</v>
      </c>
    </row>
    <row r="45" spans="1:16" x14ac:dyDescent="0.3">
      <c r="A45" s="2"/>
      <c r="B45" s="17" t="s">
        <v>13</v>
      </c>
      <c r="C45" s="18" t="s">
        <v>16</v>
      </c>
      <c r="D45" s="19"/>
      <c r="E45" s="19">
        <v>11.43</v>
      </c>
      <c r="F45" s="10"/>
      <c r="G45" s="10">
        <f t="shared" si="0"/>
        <v>0</v>
      </c>
      <c r="H45" s="10"/>
      <c r="I45" s="10">
        <f t="shared" si="1"/>
        <v>0</v>
      </c>
      <c r="J45" s="10"/>
      <c r="K45" s="10">
        <f t="shared" si="2"/>
        <v>0</v>
      </c>
      <c r="L45" s="10">
        <f t="shared" si="3"/>
        <v>0</v>
      </c>
    </row>
    <row r="46" spans="1:16" x14ac:dyDescent="0.3">
      <c r="A46" s="2"/>
      <c r="B46" s="17" t="s">
        <v>438</v>
      </c>
      <c r="C46" s="18" t="s">
        <v>464</v>
      </c>
      <c r="D46" s="19"/>
      <c r="E46" s="19">
        <v>0.15</v>
      </c>
      <c r="F46" s="10"/>
      <c r="G46" s="10">
        <f t="shared" si="0"/>
        <v>0</v>
      </c>
      <c r="H46" s="10"/>
      <c r="I46" s="10">
        <f t="shared" si="1"/>
        <v>0</v>
      </c>
      <c r="J46" s="10"/>
      <c r="K46" s="10">
        <f t="shared" si="2"/>
        <v>0</v>
      </c>
      <c r="L46" s="10">
        <f t="shared" si="3"/>
        <v>0</v>
      </c>
    </row>
    <row r="47" spans="1:16" x14ac:dyDescent="0.3">
      <c r="A47" s="2"/>
      <c r="B47" s="17" t="s">
        <v>44</v>
      </c>
      <c r="C47" s="18" t="s">
        <v>47</v>
      </c>
      <c r="D47" s="19"/>
      <c r="E47" s="19">
        <v>0.8</v>
      </c>
      <c r="F47" s="10"/>
      <c r="G47" s="10">
        <f t="shared" si="0"/>
        <v>0</v>
      </c>
      <c r="H47" s="10"/>
      <c r="I47" s="10">
        <f t="shared" si="1"/>
        <v>0</v>
      </c>
      <c r="J47" s="10"/>
      <c r="K47" s="10">
        <f t="shared" si="2"/>
        <v>0</v>
      </c>
      <c r="L47" s="10">
        <f t="shared" si="3"/>
        <v>0</v>
      </c>
    </row>
    <row r="48" spans="1:16" x14ac:dyDescent="0.3">
      <c r="A48" s="2"/>
      <c r="B48" s="17" t="s">
        <v>439</v>
      </c>
      <c r="C48" s="18" t="s">
        <v>72</v>
      </c>
      <c r="D48" s="19"/>
      <c r="E48" s="19">
        <v>1</v>
      </c>
      <c r="F48" s="10"/>
      <c r="G48" s="10">
        <f t="shared" si="0"/>
        <v>0</v>
      </c>
      <c r="H48" s="10"/>
      <c r="I48" s="10">
        <f t="shared" si="1"/>
        <v>0</v>
      </c>
      <c r="J48" s="10"/>
      <c r="K48" s="10">
        <f t="shared" si="2"/>
        <v>0</v>
      </c>
      <c r="L48" s="10">
        <f t="shared" si="3"/>
        <v>0</v>
      </c>
    </row>
    <row r="49" spans="1:12" x14ac:dyDescent="0.3">
      <c r="A49" s="2"/>
      <c r="B49" s="17" t="s">
        <v>43</v>
      </c>
      <c r="C49" s="18" t="s">
        <v>47</v>
      </c>
      <c r="D49" s="27"/>
      <c r="E49" s="19">
        <v>1</v>
      </c>
      <c r="F49" s="10"/>
      <c r="G49" s="10">
        <f t="shared" si="0"/>
        <v>0</v>
      </c>
      <c r="H49" s="10"/>
      <c r="I49" s="10">
        <f t="shared" si="1"/>
        <v>0</v>
      </c>
      <c r="J49" s="10"/>
      <c r="K49" s="10">
        <f t="shared" si="2"/>
        <v>0</v>
      </c>
      <c r="L49" s="10">
        <f t="shared" si="3"/>
        <v>0</v>
      </c>
    </row>
    <row r="50" spans="1:12" x14ac:dyDescent="0.3">
      <c r="A50" s="2"/>
      <c r="B50" s="17" t="s">
        <v>440</v>
      </c>
      <c r="C50" s="18" t="s">
        <v>72</v>
      </c>
      <c r="D50" s="27"/>
      <c r="E50" s="19">
        <v>8</v>
      </c>
      <c r="F50" s="10"/>
      <c r="G50" s="10">
        <f t="shared" si="0"/>
        <v>0</v>
      </c>
      <c r="H50" s="10"/>
      <c r="I50" s="10">
        <f t="shared" si="1"/>
        <v>0</v>
      </c>
      <c r="J50" s="10"/>
      <c r="K50" s="10">
        <f t="shared" si="2"/>
        <v>0</v>
      </c>
      <c r="L50" s="10">
        <f t="shared" si="3"/>
        <v>0</v>
      </c>
    </row>
    <row r="51" spans="1:12" x14ac:dyDescent="0.3">
      <c r="A51" s="2"/>
      <c r="B51" s="17" t="s">
        <v>441</v>
      </c>
      <c r="C51" s="18" t="s">
        <v>18</v>
      </c>
      <c r="D51" s="27"/>
      <c r="E51" s="19">
        <v>2.52</v>
      </c>
      <c r="F51" s="10"/>
      <c r="G51" s="10">
        <f t="shared" si="0"/>
        <v>0</v>
      </c>
      <c r="H51" s="10"/>
      <c r="I51" s="10">
        <f t="shared" si="1"/>
        <v>0</v>
      </c>
      <c r="J51" s="10"/>
      <c r="K51" s="10">
        <f t="shared" si="2"/>
        <v>0</v>
      </c>
      <c r="L51" s="10">
        <f t="shared" si="3"/>
        <v>0</v>
      </c>
    </row>
    <row r="52" spans="1:12" ht="28.8" x14ac:dyDescent="0.3">
      <c r="A52" s="2">
        <f>A44+1</f>
        <v>10</v>
      </c>
      <c r="B52" s="14" t="s">
        <v>443</v>
      </c>
      <c r="C52" s="2" t="s">
        <v>72</v>
      </c>
      <c r="D52" s="15"/>
      <c r="E52" s="15">
        <v>1</v>
      </c>
      <c r="F52" s="10"/>
      <c r="G52" s="10">
        <f t="shared" si="0"/>
        <v>0</v>
      </c>
      <c r="H52" s="10"/>
      <c r="I52" s="10">
        <f t="shared" si="1"/>
        <v>0</v>
      </c>
      <c r="J52" s="10"/>
      <c r="K52" s="10">
        <f t="shared" si="2"/>
        <v>0</v>
      </c>
      <c r="L52" s="10">
        <f t="shared" si="3"/>
        <v>0</v>
      </c>
    </row>
    <row r="53" spans="1:12" x14ac:dyDescent="0.3">
      <c r="A53" s="2"/>
      <c r="B53" s="17" t="s">
        <v>13</v>
      </c>
      <c r="C53" s="18" t="s">
        <v>72</v>
      </c>
      <c r="D53" s="19"/>
      <c r="E53" s="19">
        <v>1</v>
      </c>
      <c r="F53" s="10"/>
      <c r="G53" s="10">
        <f t="shared" si="0"/>
        <v>0</v>
      </c>
      <c r="H53" s="10"/>
      <c r="I53" s="10">
        <f t="shared" si="1"/>
        <v>0</v>
      </c>
      <c r="J53" s="10"/>
      <c r="K53" s="10">
        <f t="shared" si="2"/>
        <v>0</v>
      </c>
      <c r="L53" s="10">
        <f t="shared" si="3"/>
        <v>0</v>
      </c>
    </row>
    <row r="54" spans="1:12" x14ac:dyDescent="0.3">
      <c r="A54" s="2"/>
      <c r="B54" s="17" t="s">
        <v>444</v>
      </c>
      <c r="C54" s="18" t="s">
        <v>72</v>
      </c>
      <c r="D54" s="19"/>
      <c r="E54" s="19">
        <v>1</v>
      </c>
      <c r="F54" s="10"/>
      <c r="G54" s="10">
        <f t="shared" si="0"/>
        <v>0</v>
      </c>
      <c r="H54" s="10"/>
      <c r="I54" s="10">
        <f t="shared" si="1"/>
        <v>0</v>
      </c>
      <c r="J54" s="10"/>
      <c r="K54" s="10">
        <f t="shared" si="2"/>
        <v>0</v>
      </c>
      <c r="L54" s="10">
        <f t="shared" si="3"/>
        <v>0</v>
      </c>
    </row>
    <row r="55" spans="1:12" x14ac:dyDescent="0.3">
      <c r="A55" s="2">
        <f>A52+1</f>
        <v>11</v>
      </c>
      <c r="B55" s="14" t="s">
        <v>445</v>
      </c>
      <c r="C55" s="2" t="s">
        <v>72</v>
      </c>
      <c r="D55" s="15"/>
      <c r="E55" s="15">
        <v>1</v>
      </c>
      <c r="F55" s="10"/>
      <c r="G55" s="10">
        <f t="shared" si="0"/>
        <v>0</v>
      </c>
      <c r="H55" s="10"/>
      <c r="I55" s="10">
        <f t="shared" si="1"/>
        <v>0</v>
      </c>
      <c r="J55" s="10"/>
      <c r="K55" s="10">
        <f t="shared" si="2"/>
        <v>0</v>
      </c>
      <c r="L55" s="10">
        <f t="shared" si="3"/>
        <v>0</v>
      </c>
    </row>
    <row r="56" spans="1:12" x14ac:dyDescent="0.3">
      <c r="A56" s="2"/>
      <c r="B56" s="17" t="s">
        <v>13</v>
      </c>
      <c r="C56" s="18" t="s">
        <v>72</v>
      </c>
      <c r="D56" s="19"/>
      <c r="E56" s="19">
        <v>1</v>
      </c>
      <c r="F56" s="10"/>
      <c r="G56" s="10">
        <f t="shared" si="0"/>
        <v>0</v>
      </c>
      <c r="H56" s="10"/>
      <c r="I56" s="10">
        <f t="shared" si="1"/>
        <v>0</v>
      </c>
      <c r="J56" s="10"/>
      <c r="K56" s="10">
        <f t="shared" si="2"/>
        <v>0</v>
      </c>
      <c r="L56" s="10">
        <f t="shared" si="3"/>
        <v>0</v>
      </c>
    </row>
    <row r="57" spans="1:12" x14ac:dyDescent="0.3">
      <c r="A57" s="2"/>
      <c r="B57" s="17" t="s">
        <v>446</v>
      </c>
      <c r="C57" s="18" t="s">
        <v>72</v>
      </c>
      <c r="D57" s="19"/>
      <c r="E57" s="19">
        <v>1</v>
      </c>
      <c r="F57" s="10"/>
      <c r="G57" s="10">
        <f t="shared" si="0"/>
        <v>0</v>
      </c>
      <c r="H57" s="10"/>
      <c r="I57" s="10">
        <f t="shared" si="1"/>
        <v>0</v>
      </c>
      <c r="J57" s="10"/>
      <c r="K57" s="10">
        <f t="shared" si="2"/>
        <v>0</v>
      </c>
      <c r="L57" s="10">
        <f t="shared" si="3"/>
        <v>0</v>
      </c>
    </row>
    <row r="58" spans="1:12" x14ac:dyDescent="0.3">
      <c r="A58" s="2">
        <f>A55+1</f>
        <v>12</v>
      </c>
      <c r="B58" s="14" t="s">
        <v>447</v>
      </c>
      <c r="C58" s="2" t="s">
        <v>72</v>
      </c>
      <c r="D58" s="15"/>
      <c r="E58" s="15">
        <v>2</v>
      </c>
      <c r="F58" s="10"/>
      <c r="G58" s="10">
        <f t="shared" si="0"/>
        <v>0</v>
      </c>
      <c r="H58" s="10"/>
      <c r="I58" s="10">
        <f t="shared" si="1"/>
        <v>0</v>
      </c>
      <c r="J58" s="10"/>
      <c r="K58" s="10">
        <f t="shared" si="2"/>
        <v>0</v>
      </c>
      <c r="L58" s="10">
        <f t="shared" si="3"/>
        <v>0</v>
      </c>
    </row>
    <row r="59" spans="1:12" x14ac:dyDescent="0.3">
      <c r="A59" s="2"/>
      <c r="B59" s="17" t="s">
        <v>13</v>
      </c>
      <c r="C59" s="18" t="s">
        <v>72</v>
      </c>
      <c r="D59" s="19"/>
      <c r="E59" s="19">
        <v>2</v>
      </c>
      <c r="F59" s="10"/>
      <c r="G59" s="10">
        <f t="shared" si="0"/>
        <v>0</v>
      </c>
      <c r="H59" s="10"/>
      <c r="I59" s="10">
        <f t="shared" si="1"/>
        <v>0</v>
      </c>
      <c r="J59" s="10"/>
      <c r="K59" s="10">
        <f t="shared" si="2"/>
        <v>0</v>
      </c>
      <c r="L59" s="10">
        <f t="shared" si="3"/>
        <v>0</v>
      </c>
    </row>
    <row r="60" spans="1:12" x14ac:dyDescent="0.3">
      <c r="A60" s="2"/>
      <c r="B60" s="17" t="s">
        <v>448</v>
      </c>
      <c r="C60" s="18" t="s">
        <v>72</v>
      </c>
      <c r="D60" s="19"/>
      <c r="E60" s="19">
        <v>2</v>
      </c>
      <c r="F60" s="10"/>
      <c r="G60" s="10">
        <f t="shared" si="0"/>
        <v>0</v>
      </c>
      <c r="H60" s="10"/>
      <c r="I60" s="10">
        <f t="shared" si="1"/>
        <v>0</v>
      </c>
      <c r="J60" s="10"/>
      <c r="K60" s="10">
        <f t="shared" si="2"/>
        <v>0</v>
      </c>
      <c r="L60" s="10">
        <f t="shared" si="3"/>
        <v>0</v>
      </c>
    </row>
    <row r="61" spans="1:12" ht="28.8" x14ac:dyDescent="0.3">
      <c r="A61" s="2">
        <f>A58+1</f>
        <v>13</v>
      </c>
      <c r="B61" s="14" t="s">
        <v>449</v>
      </c>
      <c r="C61" s="2" t="s">
        <v>72</v>
      </c>
      <c r="D61" s="15"/>
      <c r="E61" s="15">
        <v>1</v>
      </c>
      <c r="F61" s="10"/>
      <c r="G61" s="10">
        <f t="shared" si="0"/>
        <v>0</v>
      </c>
      <c r="H61" s="10"/>
      <c r="I61" s="10">
        <f t="shared" si="1"/>
        <v>0</v>
      </c>
      <c r="J61" s="10"/>
      <c r="K61" s="10">
        <f t="shared" si="2"/>
        <v>0</v>
      </c>
      <c r="L61" s="10">
        <f t="shared" si="3"/>
        <v>0</v>
      </c>
    </row>
    <row r="62" spans="1:12" x14ac:dyDescent="0.3">
      <c r="A62" s="2"/>
      <c r="B62" s="17" t="s">
        <v>13</v>
      </c>
      <c r="C62" s="18" t="s">
        <v>72</v>
      </c>
      <c r="D62" s="19"/>
      <c r="E62" s="19">
        <v>1</v>
      </c>
      <c r="F62" s="10"/>
      <c r="G62" s="10">
        <f t="shared" si="0"/>
        <v>0</v>
      </c>
      <c r="H62" s="10"/>
      <c r="I62" s="10">
        <f t="shared" si="1"/>
        <v>0</v>
      </c>
      <c r="J62" s="10"/>
      <c r="K62" s="10">
        <f t="shared" si="2"/>
        <v>0</v>
      </c>
      <c r="L62" s="10">
        <f t="shared" si="3"/>
        <v>0</v>
      </c>
    </row>
    <row r="63" spans="1:12" x14ac:dyDescent="0.3">
      <c r="A63" s="2"/>
      <c r="B63" s="17" t="s">
        <v>450</v>
      </c>
      <c r="C63" s="18" t="s">
        <v>72</v>
      </c>
      <c r="D63" s="19"/>
      <c r="E63" s="19">
        <v>1</v>
      </c>
      <c r="F63" s="10"/>
      <c r="G63" s="10">
        <f t="shared" si="0"/>
        <v>0</v>
      </c>
      <c r="H63" s="10"/>
      <c r="I63" s="10">
        <f t="shared" si="1"/>
        <v>0</v>
      </c>
      <c r="J63" s="10"/>
      <c r="K63" s="10">
        <f t="shared" si="2"/>
        <v>0</v>
      </c>
      <c r="L63" s="10">
        <f t="shared" si="3"/>
        <v>0</v>
      </c>
    </row>
    <row r="64" spans="1:12" x14ac:dyDescent="0.3">
      <c r="A64" s="2">
        <f>A61+1</f>
        <v>14</v>
      </c>
      <c r="B64" s="14" t="s">
        <v>451</v>
      </c>
      <c r="C64" s="2" t="s">
        <v>72</v>
      </c>
      <c r="D64" s="32"/>
      <c r="E64" s="15">
        <v>2</v>
      </c>
      <c r="F64" s="10"/>
      <c r="G64" s="10">
        <f t="shared" si="0"/>
        <v>0</v>
      </c>
      <c r="H64" s="10"/>
      <c r="I64" s="10">
        <f t="shared" si="1"/>
        <v>0</v>
      </c>
      <c r="J64" s="10"/>
      <c r="K64" s="10">
        <f t="shared" si="2"/>
        <v>0</v>
      </c>
      <c r="L64" s="10">
        <f t="shared" si="3"/>
        <v>0</v>
      </c>
    </row>
    <row r="65" spans="1:16" x14ac:dyDescent="0.3">
      <c r="A65" s="2"/>
      <c r="B65" s="17" t="s">
        <v>13</v>
      </c>
      <c r="C65" s="18" t="s">
        <v>72</v>
      </c>
      <c r="D65" s="19"/>
      <c r="E65" s="19">
        <v>2</v>
      </c>
      <c r="F65" s="10"/>
      <c r="G65" s="10">
        <f t="shared" si="0"/>
        <v>0</v>
      </c>
      <c r="H65" s="10"/>
      <c r="I65" s="10">
        <f t="shared" si="1"/>
        <v>0</v>
      </c>
      <c r="J65" s="10"/>
      <c r="K65" s="10">
        <f t="shared" si="2"/>
        <v>0</v>
      </c>
      <c r="L65" s="10">
        <f t="shared" si="3"/>
        <v>0</v>
      </c>
      <c r="N65" s="9"/>
    </row>
    <row r="66" spans="1:16" x14ac:dyDescent="0.3">
      <c r="A66" s="2"/>
      <c r="B66" s="17" t="s">
        <v>452</v>
      </c>
      <c r="C66" s="18" t="s">
        <v>72</v>
      </c>
      <c r="D66" s="19"/>
      <c r="E66" s="19">
        <v>2</v>
      </c>
      <c r="F66" s="10"/>
      <c r="G66" s="10">
        <f t="shared" si="0"/>
        <v>0</v>
      </c>
      <c r="H66" s="10"/>
      <c r="I66" s="10">
        <f t="shared" si="1"/>
        <v>0</v>
      </c>
      <c r="J66" s="10"/>
      <c r="K66" s="10">
        <f t="shared" si="2"/>
        <v>0</v>
      </c>
      <c r="L66" s="10">
        <f t="shared" si="3"/>
        <v>0</v>
      </c>
    </row>
    <row r="67" spans="1:16" x14ac:dyDescent="0.3">
      <c r="A67" s="2">
        <f>A64+1</f>
        <v>15</v>
      </c>
      <c r="B67" s="14" t="s">
        <v>453</v>
      </c>
      <c r="C67" s="2" t="s">
        <v>72</v>
      </c>
      <c r="D67" s="15"/>
      <c r="E67" s="15">
        <v>1</v>
      </c>
      <c r="F67" s="10"/>
      <c r="G67" s="10">
        <f t="shared" si="0"/>
        <v>0</v>
      </c>
      <c r="H67" s="10"/>
      <c r="I67" s="10">
        <f t="shared" si="1"/>
        <v>0</v>
      </c>
      <c r="J67" s="10"/>
      <c r="K67" s="10">
        <f t="shared" si="2"/>
        <v>0</v>
      </c>
      <c r="L67" s="10">
        <f t="shared" si="3"/>
        <v>0</v>
      </c>
      <c r="N67" s="9"/>
      <c r="P67" s="9"/>
    </row>
    <row r="68" spans="1:16" x14ac:dyDescent="0.3">
      <c r="A68" s="2"/>
      <c r="B68" s="17" t="s">
        <v>13</v>
      </c>
      <c r="C68" s="18" t="s">
        <v>72</v>
      </c>
      <c r="D68" s="19"/>
      <c r="E68" s="19">
        <v>1</v>
      </c>
      <c r="F68" s="10"/>
      <c r="G68" s="10">
        <f t="shared" si="0"/>
        <v>0</v>
      </c>
      <c r="H68" s="10"/>
      <c r="I68" s="10">
        <f t="shared" si="1"/>
        <v>0</v>
      </c>
      <c r="J68" s="10"/>
      <c r="K68" s="10">
        <f t="shared" si="2"/>
        <v>0</v>
      </c>
      <c r="L68" s="10">
        <f t="shared" si="3"/>
        <v>0</v>
      </c>
    </row>
    <row r="69" spans="1:16" x14ac:dyDescent="0.3">
      <c r="A69" s="2"/>
      <c r="B69" s="17" t="s">
        <v>454</v>
      </c>
      <c r="C69" s="18" t="s">
        <v>72</v>
      </c>
      <c r="D69" s="19"/>
      <c r="E69" s="19">
        <v>1</v>
      </c>
      <c r="F69" s="10"/>
      <c r="G69" s="10">
        <f t="shared" si="0"/>
        <v>0</v>
      </c>
      <c r="H69" s="10"/>
      <c r="I69" s="10">
        <f t="shared" si="1"/>
        <v>0</v>
      </c>
      <c r="J69" s="10"/>
      <c r="K69" s="10">
        <f t="shared" si="2"/>
        <v>0</v>
      </c>
      <c r="L69" s="10">
        <f t="shared" si="3"/>
        <v>0</v>
      </c>
    </row>
    <row r="70" spans="1:16" x14ac:dyDescent="0.3">
      <c r="A70" s="2">
        <f>A67+1</f>
        <v>16</v>
      </c>
      <c r="B70" s="14" t="s">
        <v>455</v>
      </c>
      <c r="C70" s="2" t="s">
        <v>465</v>
      </c>
      <c r="D70" s="15"/>
      <c r="E70" s="15">
        <v>1</v>
      </c>
      <c r="F70" s="10"/>
      <c r="G70" s="10">
        <f t="shared" si="0"/>
        <v>0</v>
      </c>
      <c r="H70" s="10"/>
      <c r="I70" s="10">
        <f t="shared" si="1"/>
        <v>0</v>
      </c>
      <c r="J70" s="10"/>
      <c r="K70" s="10">
        <f t="shared" si="2"/>
        <v>0</v>
      </c>
      <c r="L70" s="10">
        <f t="shared" si="3"/>
        <v>0</v>
      </c>
    </row>
    <row r="71" spans="1:16" x14ac:dyDescent="0.3">
      <c r="A71" s="2">
        <f>A70+1</f>
        <v>17</v>
      </c>
      <c r="B71" s="14" t="s">
        <v>456</v>
      </c>
      <c r="C71" s="2" t="s">
        <v>72</v>
      </c>
      <c r="D71" s="15"/>
      <c r="E71" s="15">
        <v>2</v>
      </c>
      <c r="F71" s="10"/>
      <c r="G71" s="10">
        <f t="shared" si="0"/>
        <v>0</v>
      </c>
      <c r="H71" s="10"/>
      <c r="I71" s="10">
        <f t="shared" si="1"/>
        <v>0</v>
      </c>
      <c r="J71" s="10"/>
      <c r="K71" s="10">
        <f t="shared" si="2"/>
        <v>0</v>
      </c>
      <c r="L71" s="10">
        <f t="shared" si="3"/>
        <v>0</v>
      </c>
    </row>
    <row r="72" spans="1:16" x14ac:dyDescent="0.3">
      <c r="A72" s="2"/>
      <c r="B72" s="17" t="s">
        <v>13</v>
      </c>
      <c r="C72" s="18" t="s">
        <v>72</v>
      </c>
      <c r="D72" s="19"/>
      <c r="E72" s="19">
        <v>2</v>
      </c>
      <c r="F72" s="10"/>
      <c r="G72" s="10">
        <f t="shared" si="0"/>
        <v>0</v>
      </c>
      <c r="H72" s="10"/>
      <c r="I72" s="10">
        <f t="shared" si="1"/>
        <v>0</v>
      </c>
      <c r="J72" s="10"/>
      <c r="K72" s="10">
        <f t="shared" si="2"/>
        <v>0</v>
      </c>
      <c r="L72" s="10">
        <f t="shared" si="3"/>
        <v>0</v>
      </c>
    </row>
    <row r="73" spans="1:16" x14ac:dyDescent="0.3">
      <c r="A73" s="2"/>
      <c r="B73" s="17" t="s">
        <v>457</v>
      </c>
      <c r="C73" s="18" t="s">
        <v>72</v>
      </c>
      <c r="D73" s="19"/>
      <c r="E73" s="19">
        <v>2</v>
      </c>
      <c r="F73" s="10"/>
      <c r="G73" s="10">
        <f t="shared" si="0"/>
        <v>0</v>
      </c>
      <c r="H73" s="10"/>
      <c r="I73" s="10">
        <f t="shared" si="1"/>
        <v>0</v>
      </c>
      <c r="J73" s="10"/>
      <c r="K73" s="10">
        <f t="shared" si="2"/>
        <v>0</v>
      </c>
      <c r="L73" s="10">
        <f t="shared" si="3"/>
        <v>0</v>
      </c>
    </row>
    <row r="74" spans="1:16" x14ac:dyDescent="0.3">
      <c r="A74" s="2">
        <f>A71+1</f>
        <v>18</v>
      </c>
      <c r="B74" s="14" t="s">
        <v>458</v>
      </c>
      <c r="C74" s="2" t="s">
        <v>72</v>
      </c>
      <c r="D74" s="15"/>
      <c r="E74" s="15">
        <v>1</v>
      </c>
      <c r="F74" s="10"/>
      <c r="G74" s="10">
        <f t="shared" si="0"/>
        <v>0</v>
      </c>
      <c r="H74" s="10"/>
      <c r="I74" s="10">
        <f t="shared" si="1"/>
        <v>0</v>
      </c>
      <c r="J74" s="10"/>
      <c r="K74" s="10">
        <f t="shared" si="2"/>
        <v>0</v>
      </c>
      <c r="L74" s="10">
        <f t="shared" si="3"/>
        <v>0</v>
      </c>
    </row>
    <row r="75" spans="1:16" x14ac:dyDescent="0.3">
      <c r="A75" s="2"/>
      <c r="B75" s="17" t="s">
        <v>13</v>
      </c>
      <c r="C75" s="18" t="s">
        <v>72</v>
      </c>
      <c r="D75" s="19"/>
      <c r="E75" s="19">
        <v>1</v>
      </c>
      <c r="F75" s="10"/>
      <c r="G75" s="10">
        <f t="shared" si="0"/>
        <v>0</v>
      </c>
      <c r="H75" s="10"/>
      <c r="I75" s="10">
        <f t="shared" si="1"/>
        <v>0</v>
      </c>
      <c r="J75" s="10"/>
      <c r="K75" s="10">
        <f t="shared" si="2"/>
        <v>0</v>
      </c>
      <c r="L75" s="10">
        <f t="shared" si="3"/>
        <v>0</v>
      </c>
    </row>
    <row r="76" spans="1:16" x14ac:dyDescent="0.3">
      <c r="A76" s="2"/>
      <c r="B76" s="17" t="s">
        <v>459</v>
      </c>
      <c r="C76" s="18" t="s">
        <v>72</v>
      </c>
      <c r="D76" s="19"/>
      <c r="E76" s="19">
        <v>1</v>
      </c>
      <c r="F76" s="10"/>
      <c r="G76" s="10">
        <f t="shared" si="0"/>
        <v>0</v>
      </c>
      <c r="H76" s="10"/>
      <c r="I76" s="10">
        <f t="shared" si="1"/>
        <v>0</v>
      </c>
      <c r="J76" s="10"/>
      <c r="K76" s="10">
        <f t="shared" si="2"/>
        <v>0</v>
      </c>
      <c r="L76" s="10">
        <f t="shared" si="3"/>
        <v>0</v>
      </c>
    </row>
    <row r="77" spans="1:16" ht="57.6" x14ac:dyDescent="0.3">
      <c r="A77" s="2">
        <f>A74+1</f>
        <v>19</v>
      </c>
      <c r="B77" s="14" t="s">
        <v>460</v>
      </c>
      <c r="C77" s="2" t="s">
        <v>72</v>
      </c>
      <c r="D77" s="32"/>
      <c r="E77" s="15">
        <v>1</v>
      </c>
      <c r="F77" s="10"/>
      <c r="G77" s="10">
        <f t="shared" si="0"/>
        <v>0</v>
      </c>
      <c r="H77" s="10"/>
      <c r="I77" s="10">
        <f t="shared" si="1"/>
        <v>0</v>
      </c>
      <c r="J77" s="10"/>
      <c r="K77" s="10">
        <f t="shared" si="2"/>
        <v>0</v>
      </c>
      <c r="L77" s="10">
        <f t="shared" si="3"/>
        <v>0</v>
      </c>
    </row>
    <row r="78" spans="1:16" x14ac:dyDescent="0.3">
      <c r="A78" s="2">
        <f>A77+1</f>
        <v>20</v>
      </c>
      <c r="B78" s="14" t="s">
        <v>461</v>
      </c>
      <c r="C78" s="2" t="s">
        <v>72</v>
      </c>
      <c r="D78" s="32"/>
      <c r="E78" s="15">
        <v>1</v>
      </c>
      <c r="F78" s="10"/>
      <c r="G78" s="10">
        <f t="shared" si="0"/>
        <v>0</v>
      </c>
      <c r="H78" s="10"/>
      <c r="I78" s="10">
        <f t="shared" si="1"/>
        <v>0</v>
      </c>
      <c r="J78" s="10"/>
      <c r="K78" s="10">
        <f t="shared" si="2"/>
        <v>0</v>
      </c>
      <c r="L78" s="10">
        <f t="shared" si="3"/>
        <v>0</v>
      </c>
    </row>
    <row r="79" spans="1:16" x14ac:dyDescent="0.3">
      <c r="A79" s="2">
        <f>A78+1</f>
        <v>21</v>
      </c>
      <c r="B79" s="14" t="s">
        <v>462</v>
      </c>
      <c r="C79" s="2" t="s">
        <v>72</v>
      </c>
      <c r="D79" s="15"/>
      <c r="E79" s="15">
        <v>4</v>
      </c>
      <c r="F79" s="10"/>
      <c r="G79" s="10">
        <f t="shared" si="0"/>
        <v>0</v>
      </c>
      <c r="H79" s="10"/>
      <c r="I79" s="10">
        <f t="shared" si="1"/>
        <v>0</v>
      </c>
      <c r="J79" s="10"/>
      <c r="K79" s="10">
        <f t="shared" si="2"/>
        <v>0</v>
      </c>
      <c r="L79" s="10">
        <f t="shared" si="3"/>
        <v>0</v>
      </c>
    </row>
    <row r="80" spans="1:16" x14ac:dyDescent="0.3">
      <c r="A80" s="2">
        <f>A79+1</f>
        <v>22</v>
      </c>
      <c r="B80" s="14" t="s">
        <v>463</v>
      </c>
      <c r="C80" s="2" t="s">
        <v>72</v>
      </c>
      <c r="D80" s="15"/>
      <c r="E80" s="15">
        <v>2</v>
      </c>
      <c r="F80" s="10"/>
      <c r="G80" s="10">
        <f t="shared" si="0"/>
        <v>0</v>
      </c>
      <c r="H80" s="10"/>
      <c r="I80" s="10">
        <f t="shared" si="1"/>
        <v>0</v>
      </c>
      <c r="J80" s="10"/>
      <c r="K80" s="10">
        <f t="shared" si="2"/>
        <v>0</v>
      </c>
      <c r="L80" s="10">
        <f t="shared" si="3"/>
        <v>0</v>
      </c>
    </row>
    <row r="81" spans="1:12" x14ac:dyDescent="0.3">
      <c r="A81" s="3"/>
      <c r="B81" s="3" t="s">
        <v>7</v>
      </c>
      <c r="C81" s="3"/>
      <c r="D81" s="24"/>
      <c r="E81" s="24"/>
      <c r="F81" s="25"/>
      <c r="G81" s="25">
        <f>SUM(G10:G80)</f>
        <v>0</v>
      </c>
      <c r="H81" s="25"/>
      <c r="I81" s="25">
        <f>SUM(I10:I80)</f>
        <v>0</v>
      </c>
      <c r="J81" s="25"/>
      <c r="K81" s="25">
        <f>SUM(K10:K80)</f>
        <v>0</v>
      </c>
      <c r="L81" s="25">
        <f>SUM(L10:L80)</f>
        <v>0</v>
      </c>
    </row>
    <row r="82" spans="1:12" x14ac:dyDescent="0.3">
      <c r="A82" s="2"/>
      <c r="B82" s="5" t="s">
        <v>226</v>
      </c>
      <c r="C82" s="1"/>
      <c r="D82" s="8"/>
      <c r="E82" s="26">
        <v>0.03</v>
      </c>
      <c r="F82" s="10"/>
      <c r="G82" s="10"/>
      <c r="H82" s="10"/>
      <c r="I82" s="10"/>
      <c r="J82" s="10"/>
      <c r="K82" s="10"/>
      <c r="L82" s="10">
        <f>G81*E82</f>
        <v>0</v>
      </c>
    </row>
    <row r="83" spans="1:12" x14ac:dyDescent="0.3">
      <c r="A83" s="2"/>
      <c r="B83" s="2" t="s">
        <v>7</v>
      </c>
      <c r="C83" s="1"/>
      <c r="D83" s="8"/>
      <c r="E83" s="26"/>
      <c r="F83" s="10"/>
      <c r="G83" s="10"/>
      <c r="H83" s="10"/>
      <c r="I83" s="10"/>
      <c r="J83" s="10"/>
      <c r="K83" s="10"/>
      <c r="L83" s="10">
        <f>L82+L81</f>
        <v>0</v>
      </c>
    </row>
    <row r="84" spans="1:12" x14ac:dyDescent="0.3">
      <c r="A84" s="2"/>
      <c r="B84" s="5" t="s">
        <v>227</v>
      </c>
      <c r="C84" s="1"/>
      <c r="D84" s="8"/>
      <c r="E84" s="26">
        <v>0.1</v>
      </c>
      <c r="F84" s="10"/>
      <c r="G84" s="10"/>
      <c r="H84" s="10"/>
      <c r="I84" s="10"/>
      <c r="J84" s="10"/>
      <c r="K84" s="10"/>
      <c r="L84" s="10">
        <f>L83*E84</f>
        <v>0</v>
      </c>
    </row>
    <row r="85" spans="1:12" x14ac:dyDescent="0.3">
      <c r="A85" s="2"/>
      <c r="B85" s="2" t="s">
        <v>7</v>
      </c>
      <c r="C85" s="1"/>
      <c r="D85" s="8"/>
      <c r="E85" s="26"/>
      <c r="F85" s="10"/>
      <c r="G85" s="10"/>
      <c r="H85" s="10"/>
      <c r="I85" s="10"/>
      <c r="J85" s="10"/>
      <c r="K85" s="10"/>
      <c r="L85" s="10">
        <f>L84+L83</f>
        <v>0</v>
      </c>
    </row>
    <row r="86" spans="1:12" x14ac:dyDescent="0.3">
      <c r="A86" s="2"/>
      <c r="B86" s="5" t="s">
        <v>228</v>
      </c>
      <c r="C86" s="1"/>
      <c r="D86" s="8"/>
      <c r="E86" s="26">
        <v>0.01</v>
      </c>
      <c r="F86" s="10"/>
      <c r="G86" s="10"/>
      <c r="H86" s="10"/>
      <c r="I86" s="10"/>
      <c r="J86" s="10"/>
      <c r="K86" s="10"/>
      <c r="L86" s="10">
        <f>L85*E86</f>
        <v>0</v>
      </c>
    </row>
    <row r="87" spans="1:12" x14ac:dyDescent="0.3">
      <c r="A87" s="2"/>
      <c r="B87" s="2" t="s">
        <v>7</v>
      </c>
      <c r="C87" s="1"/>
      <c r="D87" s="8"/>
      <c r="E87" s="26"/>
      <c r="F87" s="10"/>
      <c r="G87" s="10"/>
      <c r="H87" s="10"/>
      <c r="I87" s="10"/>
      <c r="J87" s="10"/>
      <c r="K87" s="10"/>
      <c r="L87" s="10">
        <f>L86+L85</f>
        <v>0</v>
      </c>
    </row>
    <row r="88" spans="1:12" x14ac:dyDescent="0.3">
      <c r="A88" s="2"/>
      <c r="B88" s="5" t="s">
        <v>229</v>
      </c>
      <c r="C88" s="1"/>
      <c r="D88" s="8"/>
      <c r="E88" s="26">
        <v>0.08</v>
      </c>
      <c r="F88" s="10"/>
      <c r="G88" s="10"/>
      <c r="H88" s="10"/>
      <c r="I88" s="10"/>
      <c r="J88" s="10"/>
      <c r="K88" s="10"/>
      <c r="L88" s="10">
        <f>L87*E88</f>
        <v>0</v>
      </c>
    </row>
    <row r="89" spans="1:12" x14ac:dyDescent="0.3">
      <c r="A89" s="2"/>
      <c r="B89" s="2" t="s">
        <v>7</v>
      </c>
      <c r="C89" s="1"/>
      <c r="D89" s="8"/>
      <c r="E89" s="26"/>
      <c r="F89" s="10"/>
      <c r="G89" s="10"/>
      <c r="H89" s="10"/>
      <c r="I89" s="10"/>
      <c r="J89" s="10"/>
      <c r="K89" s="10"/>
      <c r="L89" s="10">
        <f>L88+L87</f>
        <v>0</v>
      </c>
    </row>
    <row r="90" spans="1:12" x14ac:dyDescent="0.3">
      <c r="A90" s="2"/>
      <c r="B90" s="5" t="s">
        <v>230</v>
      </c>
      <c r="C90" s="1"/>
      <c r="D90" s="8"/>
      <c r="E90" s="26">
        <v>0.03</v>
      </c>
      <c r="F90" s="10"/>
      <c r="G90" s="10"/>
      <c r="H90" s="10"/>
      <c r="I90" s="10"/>
      <c r="J90" s="10"/>
      <c r="K90" s="10"/>
      <c r="L90" s="10">
        <f>L89*E90</f>
        <v>0</v>
      </c>
    </row>
    <row r="91" spans="1:12" x14ac:dyDescent="0.3">
      <c r="A91" s="2"/>
      <c r="B91" s="2" t="s">
        <v>7</v>
      </c>
      <c r="C91" s="1"/>
      <c r="D91" s="8"/>
      <c r="E91" s="26"/>
      <c r="F91" s="10"/>
      <c r="G91" s="10"/>
      <c r="H91" s="10"/>
      <c r="I91" s="10"/>
      <c r="J91" s="10"/>
      <c r="K91" s="10"/>
      <c r="L91" s="10">
        <f>L90+L89</f>
        <v>0</v>
      </c>
    </row>
    <row r="92" spans="1:12" x14ac:dyDescent="0.3">
      <c r="A92" s="2"/>
      <c r="B92" s="5" t="s">
        <v>231</v>
      </c>
      <c r="C92" s="1"/>
      <c r="D92" s="8"/>
      <c r="E92" s="26">
        <v>0.18</v>
      </c>
      <c r="F92" s="10"/>
      <c r="G92" s="10"/>
      <c r="H92" s="10"/>
      <c r="I92" s="10"/>
      <c r="J92" s="10"/>
      <c r="K92" s="10"/>
      <c r="L92" s="10">
        <f>L91*E92</f>
        <v>0</v>
      </c>
    </row>
    <row r="93" spans="1:12" x14ac:dyDescent="0.3">
      <c r="A93" s="3"/>
      <c r="B93" s="3" t="s">
        <v>232</v>
      </c>
      <c r="C93" s="3"/>
      <c r="D93" s="24"/>
      <c r="E93" s="24"/>
      <c r="F93" s="25"/>
      <c r="G93" s="25"/>
      <c r="H93" s="25"/>
      <c r="I93" s="25"/>
      <c r="J93" s="25"/>
      <c r="K93" s="25"/>
      <c r="L93" s="25">
        <f>L92+L91</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8"/>
  <sheetViews>
    <sheetView zoomScale="85" zoomScaleNormal="85" workbookViewId="0">
      <selection activeCell="O23" sqref="O23"/>
    </sheetView>
  </sheetViews>
  <sheetFormatPr defaultRowHeight="14.4" x14ac:dyDescent="0.3"/>
  <cols>
    <col min="1" max="1" width="8.88671875" style="7"/>
    <col min="2" max="2" width="73.33203125" style="6" customWidth="1"/>
    <col min="3" max="3" width="10.88671875" customWidth="1"/>
    <col min="4" max="4" width="11.21875" style="9" customWidth="1"/>
    <col min="5" max="5" width="11.88671875" style="9" customWidth="1"/>
    <col min="6" max="11" width="11.77734375" customWidth="1"/>
    <col min="12" max="12" width="13" customWidth="1"/>
    <col min="13" max="13" width="10.6640625" bestFit="1" customWidth="1"/>
    <col min="14" max="14" width="9.21875" bestFit="1" customWidth="1"/>
  </cols>
  <sheetData>
    <row r="2" spans="1:12" x14ac:dyDescent="0.3">
      <c r="A2" s="40" t="s">
        <v>1036</v>
      </c>
      <c r="B2" s="40"/>
      <c r="C2" s="40"/>
      <c r="D2" s="40"/>
      <c r="E2" s="40"/>
      <c r="F2" s="40"/>
      <c r="G2" s="40"/>
      <c r="H2" s="40"/>
      <c r="I2" s="40"/>
      <c r="J2" s="40"/>
      <c r="K2" s="40"/>
      <c r="L2" s="40"/>
    </row>
    <row r="3" spans="1:12" x14ac:dyDescent="0.3">
      <c r="A3" s="40" t="s">
        <v>1037</v>
      </c>
      <c r="B3" s="40"/>
      <c r="C3" s="40"/>
      <c r="D3" s="40"/>
      <c r="E3" s="40"/>
      <c r="F3" s="40"/>
      <c r="G3" s="40"/>
      <c r="H3" s="40"/>
      <c r="I3" s="40"/>
      <c r="J3" s="40"/>
      <c r="K3" s="40"/>
      <c r="L3" s="40"/>
    </row>
    <row r="4" spans="1:12" x14ac:dyDescent="0.3">
      <c r="A4" s="36" t="s">
        <v>1052</v>
      </c>
      <c r="K4" s="33" t="s">
        <v>1038</v>
      </c>
      <c r="L4" s="34" t="str">
        <f>'2000 მ²'!L4</f>
        <v>001</v>
      </c>
    </row>
    <row r="5" spans="1:12" x14ac:dyDescent="0.3">
      <c r="A5" s="36" t="s">
        <v>1044</v>
      </c>
      <c r="K5" s="33" t="s">
        <v>1040</v>
      </c>
      <c r="L5" s="35">
        <f>'2000 მ²'!L5</f>
        <v>45887</v>
      </c>
    </row>
    <row r="6" spans="1:12" ht="28.8" customHeight="1" x14ac:dyDescent="0.3">
      <c r="A6" s="43" t="s">
        <v>0</v>
      </c>
      <c r="B6" s="43" t="s">
        <v>1</v>
      </c>
      <c r="C6" s="43" t="s">
        <v>2</v>
      </c>
      <c r="D6" s="45" t="s">
        <v>9</v>
      </c>
      <c r="E6" s="45" t="s">
        <v>3</v>
      </c>
      <c r="F6" s="41" t="s">
        <v>4</v>
      </c>
      <c r="G6" s="42"/>
      <c r="H6" s="41" t="s">
        <v>5</v>
      </c>
      <c r="I6" s="42"/>
      <c r="J6" s="41" t="s">
        <v>6</v>
      </c>
      <c r="K6" s="42"/>
      <c r="L6" s="43" t="s">
        <v>7</v>
      </c>
    </row>
    <row r="7" spans="1:12" ht="23.4" customHeight="1" x14ac:dyDescent="0.3">
      <c r="A7" s="44"/>
      <c r="B7" s="44"/>
      <c r="C7" s="44"/>
      <c r="D7" s="46"/>
      <c r="E7" s="46"/>
      <c r="F7" s="3" t="s">
        <v>8</v>
      </c>
      <c r="G7" s="3" t="s">
        <v>7</v>
      </c>
      <c r="H7" s="3" t="s">
        <v>8</v>
      </c>
      <c r="I7" s="3" t="s">
        <v>7</v>
      </c>
      <c r="J7" s="3" t="s">
        <v>8</v>
      </c>
      <c r="K7" s="3" t="s">
        <v>7</v>
      </c>
      <c r="L7" s="44"/>
    </row>
    <row r="8" spans="1:12" x14ac:dyDescent="0.3">
      <c r="A8" s="3">
        <v>1</v>
      </c>
      <c r="B8" s="3">
        <v>2</v>
      </c>
      <c r="C8" s="3">
        <v>3</v>
      </c>
      <c r="D8" s="3">
        <v>4</v>
      </c>
      <c r="E8" s="3">
        <v>5</v>
      </c>
      <c r="F8" s="3">
        <v>6</v>
      </c>
      <c r="G8" s="3">
        <v>7</v>
      </c>
      <c r="H8" s="3">
        <v>8</v>
      </c>
      <c r="I8" s="3">
        <v>9</v>
      </c>
      <c r="J8" s="3">
        <v>10</v>
      </c>
      <c r="K8" s="3">
        <v>11</v>
      </c>
      <c r="L8" s="3">
        <v>12</v>
      </c>
    </row>
    <row r="9" spans="1:12" x14ac:dyDescent="0.3">
      <c r="A9" s="11"/>
      <c r="B9" s="11" t="s">
        <v>504</v>
      </c>
      <c r="C9" s="4"/>
      <c r="D9" s="12"/>
      <c r="E9" s="12"/>
      <c r="F9" s="13"/>
      <c r="G9" s="13"/>
      <c r="H9" s="13"/>
      <c r="I9" s="13"/>
      <c r="J9" s="13"/>
      <c r="K9" s="13"/>
      <c r="L9" s="13"/>
    </row>
    <row r="10" spans="1:12" ht="28.8" x14ac:dyDescent="0.3">
      <c r="A10" s="2">
        <v>1</v>
      </c>
      <c r="B10" s="17" t="s">
        <v>493</v>
      </c>
      <c r="C10" s="18" t="s">
        <v>72</v>
      </c>
      <c r="D10" s="19"/>
      <c r="E10" s="19">
        <v>1</v>
      </c>
      <c r="F10" s="10"/>
      <c r="G10" s="10">
        <f t="shared" ref="G10:G45" si="0">F10*E10</f>
        <v>0</v>
      </c>
      <c r="H10" s="10"/>
      <c r="I10" s="10">
        <f t="shared" ref="I10:I45" si="1">H10*E10</f>
        <v>0</v>
      </c>
      <c r="J10" s="10"/>
      <c r="K10" s="10">
        <f t="shared" ref="K10:K45" si="2">J10*E10</f>
        <v>0</v>
      </c>
      <c r="L10" s="10">
        <f t="shared" ref="L10:L45" si="3">K10+I10+G10</f>
        <v>0</v>
      </c>
    </row>
    <row r="11" spans="1:12" x14ac:dyDescent="0.3">
      <c r="A11" s="2">
        <f t="shared" ref="A11:A21" si="4">A10+1</f>
        <v>2</v>
      </c>
      <c r="B11" s="17" t="s">
        <v>494</v>
      </c>
      <c r="C11" s="18" t="s">
        <v>72</v>
      </c>
      <c r="D11" s="19"/>
      <c r="E11" s="19">
        <v>2</v>
      </c>
      <c r="F11" s="10"/>
      <c r="G11" s="10">
        <f t="shared" si="0"/>
        <v>0</v>
      </c>
      <c r="H11" s="10"/>
      <c r="I11" s="10">
        <f t="shared" si="1"/>
        <v>0</v>
      </c>
      <c r="J11" s="10"/>
      <c r="K11" s="10">
        <f t="shared" si="2"/>
        <v>0</v>
      </c>
      <c r="L11" s="10">
        <f t="shared" si="3"/>
        <v>0</v>
      </c>
    </row>
    <row r="12" spans="1:12" ht="28.8" x14ac:dyDescent="0.3">
      <c r="A12" s="2">
        <f t="shared" si="4"/>
        <v>3</v>
      </c>
      <c r="B12" s="17" t="s">
        <v>495</v>
      </c>
      <c r="C12" s="18" t="s">
        <v>72</v>
      </c>
      <c r="D12" s="19"/>
      <c r="E12" s="19">
        <v>34</v>
      </c>
      <c r="F12" s="10"/>
      <c r="G12" s="10">
        <f t="shared" si="0"/>
        <v>0</v>
      </c>
      <c r="H12" s="10"/>
      <c r="I12" s="10">
        <f t="shared" si="1"/>
        <v>0</v>
      </c>
      <c r="J12" s="10"/>
      <c r="K12" s="10">
        <f t="shared" si="2"/>
        <v>0</v>
      </c>
      <c r="L12" s="10">
        <f t="shared" si="3"/>
        <v>0</v>
      </c>
    </row>
    <row r="13" spans="1:12" ht="28.8" x14ac:dyDescent="0.3">
      <c r="A13" s="2">
        <f t="shared" si="4"/>
        <v>4</v>
      </c>
      <c r="B13" s="17" t="s">
        <v>496</v>
      </c>
      <c r="C13" s="18" t="s">
        <v>72</v>
      </c>
      <c r="D13" s="19"/>
      <c r="E13" s="19">
        <v>5</v>
      </c>
      <c r="F13" s="10"/>
      <c r="G13" s="10">
        <f t="shared" si="0"/>
        <v>0</v>
      </c>
      <c r="H13" s="10"/>
      <c r="I13" s="10">
        <f t="shared" si="1"/>
        <v>0</v>
      </c>
      <c r="J13" s="10"/>
      <c r="K13" s="10">
        <f t="shared" si="2"/>
        <v>0</v>
      </c>
      <c r="L13" s="10">
        <f t="shared" si="3"/>
        <v>0</v>
      </c>
    </row>
    <row r="14" spans="1:12" x14ac:dyDescent="0.3">
      <c r="A14" s="2">
        <f t="shared" si="4"/>
        <v>5</v>
      </c>
      <c r="B14" s="17" t="s">
        <v>497</v>
      </c>
      <c r="C14" s="18" t="s">
        <v>72</v>
      </c>
      <c r="D14" s="19"/>
      <c r="E14" s="19">
        <v>1</v>
      </c>
      <c r="F14" s="10"/>
      <c r="G14" s="10">
        <f t="shared" si="0"/>
        <v>0</v>
      </c>
      <c r="H14" s="10"/>
      <c r="I14" s="10">
        <f t="shared" si="1"/>
        <v>0</v>
      </c>
      <c r="J14" s="10"/>
      <c r="K14" s="10">
        <f t="shared" si="2"/>
        <v>0</v>
      </c>
      <c r="L14" s="10">
        <f t="shared" si="3"/>
        <v>0</v>
      </c>
    </row>
    <row r="15" spans="1:12" x14ac:dyDescent="0.3">
      <c r="A15" s="2">
        <f t="shared" si="4"/>
        <v>6</v>
      </c>
      <c r="B15" s="17" t="s">
        <v>498</v>
      </c>
      <c r="C15" s="18" t="s">
        <v>72</v>
      </c>
      <c r="D15" s="19"/>
      <c r="E15" s="19">
        <v>1</v>
      </c>
      <c r="F15" s="10"/>
      <c r="G15" s="10">
        <f t="shared" si="0"/>
        <v>0</v>
      </c>
      <c r="H15" s="10"/>
      <c r="I15" s="10">
        <f t="shared" si="1"/>
        <v>0</v>
      </c>
      <c r="J15" s="10"/>
      <c r="K15" s="10">
        <f t="shared" si="2"/>
        <v>0</v>
      </c>
      <c r="L15" s="10">
        <f t="shared" si="3"/>
        <v>0</v>
      </c>
    </row>
    <row r="16" spans="1:12" x14ac:dyDescent="0.3">
      <c r="A16" s="2">
        <f t="shared" si="4"/>
        <v>7</v>
      </c>
      <c r="B16" s="17" t="s">
        <v>499</v>
      </c>
      <c r="C16" s="18" t="s">
        <v>72</v>
      </c>
      <c r="D16" s="19"/>
      <c r="E16" s="19">
        <v>1</v>
      </c>
      <c r="F16" s="10"/>
      <c r="G16" s="10">
        <f t="shared" si="0"/>
        <v>0</v>
      </c>
      <c r="H16" s="10"/>
      <c r="I16" s="10">
        <f t="shared" si="1"/>
        <v>0</v>
      </c>
      <c r="J16" s="10"/>
      <c r="K16" s="10">
        <f t="shared" si="2"/>
        <v>0</v>
      </c>
      <c r="L16" s="10">
        <f t="shared" si="3"/>
        <v>0</v>
      </c>
    </row>
    <row r="17" spans="1:12" x14ac:dyDescent="0.3">
      <c r="A17" s="2">
        <f t="shared" si="4"/>
        <v>8</v>
      </c>
      <c r="B17" s="17" t="s">
        <v>500</v>
      </c>
      <c r="C17" s="18" t="s">
        <v>72</v>
      </c>
      <c r="D17" s="19"/>
      <c r="E17" s="19">
        <v>1</v>
      </c>
      <c r="F17" s="10"/>
      <c r="G17" s="10">
        <f t="shared" si="0"/>
        <v>0</v>
      </c>
      <c r="H17" s="10"/>
      <c r="I17" s="10">
        <f t="shared" si="1"/>
        <v>0</v>
      </c>
      <c r="J17" s="10"/>
      <c r="K17" s="10">
        <f t="shared" si="2"/>
        <v>0</v>
      </c>
      <c r="L17" s="10">
        <f t="shared" si="3"/>
        <v>0</v>
      </c>
    </row>
    <row r="18" spans="1:12" x14ac:dyDescent="0.3">
      <c r="A18" s="2">
        <f t="shared" si="4"/>
        <v>9</v>
      </c>
      <c r="B18" s="17" t="s">
        <v>501</v>
      </c>
      <c r="C18" s="18" t="s">
        <v>72</v>
      </c>
      <c r="D18" s="27"/>
      <c r="E18" s="19">
        <v>1</v>
      </c>
      <c r="F18" s="10"/>
      <c r="G18" s="10">
        <f t="shared" si="0"/>
        <v>0</v>
      </c>
      <c r="H18" s="10"/>
      <c r="I18" s="10">
        <f t="shared" si="1"/>
        <v>0</v>
      </c>
      <c r="J18" s="10"/>
      <c r="K18" s="10">
        <f t="shared" si="2"/>
        <v>0</v>
      </c>
      <c r="L18" s="10">
        <f t="shared" si="3"/>
        <v>0</v>
      </c>
    </row>
    <row r="19" spans="1:12" x14ac:dyDescent="0.3">
      <c r="A19" s="2">
        <f t="shared" si="4"/>
        <v>10</v>
      </c>
      <c r="B19" s="17" t="s">
        <v>502</v>
      </c>
      <c r="C19" s="18" t="s">
        <v>12</v>
      </c>
      <c r="D19" s="27"/>
      <c r="E19" s="19">
        <v>2000</v>
      </c>
      <c r="F19" s="10"/>
      <c r="G19" s="10">
        <f t="shared" si="0"/>
        <v>0</v>
      </c>
      <c r="H19" s="10"/>
      <c r="I19" s="10">
        <f t="shared" si="1"/>
        <v>0</v>
      </c>
      <c r="J19" s="10"/>
      <c r="K19" s="10">
        <f t="shared" si="2"/>
        <v>0</v>
      </c>
      <c r="L19" s="10">
        <f t="shared" si="3"/>
        <v>0</v>
      </c>
    </row>
    <row r="20" spans="1:12" x14ac:dyDescent="0.3">
      <c r="A20" s="2">
        <f t="shared" si="4"/>
        <v>11</v>
      </c>
      <c r="B20" s="17" t="s">
        <v>503</v>
      </c>
      <c r="C20" s="18" t="s">
        <v>72</v>
      </c>
      <c r="D20" s="27"/>
      <c r="E20" s="19">
        <v>3</v>
      </c>
      <c r="F20" s="10"/>
      <c r="G20" s="10">
        <f t="shared" si="0"/>
        <v>0</v>
      </c>
      <c r="H20" s="10"/>
      <c r="I20" s="10">
        <f t="shared" si="1"/>
        <v>0</v>
      </c>
      <c r="J20" s="10"/>
      <c r="K20" s="10">
        <f t="shared" si="2"/>
        <v>0</v>
      </c>
      <c r="L20" s="10">
        <f t="shared" si="3"/>
        <v>0</v>
      </c>
    </row>
    <row r="21" spans="1:12" x14ac:dyDescent="0.3">
      <c r="A21" s="2">
        <f t="shared" si="4"/>
        <v>12</v>
      </c>
      <c r="B21" s="17" t="s">
        <v>1071</v>
      </c>
      <c r="C21" s="18" t="s">
        <v>25</v>
      </c>
      <c r="D21" s="27"/>
      <c r="E21" s="19">
        <v>1</v>
      </c>
      <c r="F21" s="10"/>
      <c r="G21" s="10">
        <f t="shared" si="0"/>
        <v>0</v>
      </c>
      <c r="H21" s="10"/>
      <c r="I21" s="10">
        <f t="shared" si="1"/>
        <v>0</v>
      </c>
      <c r="J21" s="10"/>
      <c r="K21" s="10">
        <f t="shared" si="2"/>
        <v>0</v>
      </c>
      <c r="L21" s="10">
        <f t="shared" si="3"/>
        <v>0</v>
      </c>
    </row>
    <row r="22" spans="1:12" x14ac:dyDescent="0.3">
      <c r="A22" s="11"/>
      <c r="B22" s="11" t="s">
        <v>505</v>
      </c>
      <c r="C22" s="4"/>
      <c r="D22" s="12"/>
      <c r="E22" s="12"/>
      <c r="F22" s="13"/>
      <c r="G22" s="13">
        <f t="shared" si="0"/>
        <v>0</v>
      </c>
      <c r="H22" s="13"/>
      <c r="I22" s="13">
        <f t="shared" si="1"/>
        <v>0</v>
      </c>
      <c r="J22" s="13"/>
      <c r="K22" s="13">
        <f t="shared" si="2"/>
        <v>0</v>
      </c>
      <c r="L22" s="13">
        <f t="shared" si="3"/>
        <v>0</v>
      </c>
    </row>
    <row r="23" spans="1:12" ht="28.8" x14ac:dyDescent="0.3">
      <c r="A23" s="2">
        <f>A20+1</f>
        <v>12</v>
      </c>
      <c r="B23" s="17" t="s">
        <v>493</v>
      </c>
      <c r="C23" s="18" t="s">
        <v>72</v>
      </c>
      <c r="D23" s="19"/>
      <c r="E23" s="19">
        <v>1</v>
      </c>
      <c r="F23" s="10"/>
      <c r="G23" s="10">
        <f t="shared" si="0"/>
        <v>0</v>
      </c>
      <c r="H23" s="10"/>
      <c r="I23" s="10">
        <f t="shared" si="1"/>
        <v>0</v>
      </c>
      <c r="J23" s="10"/>
      <c r="K23" s="10">
        <f t="shared" si="2"/>
        <v>0</v>
      </c>
      <c r="L23" s="10">
        <f t="shared" si="3"/>
        <v>0</v>
      </c>
    </row>
    <row r="24" spans="1:12" x14ac:dyDescent="0.3">
      <c r="A24" s="2">
        <f t="shared" ref="A24:A34" si="5">A23+1</f>
        <v>13</v>
      </c>
      <c r="B24" s="17" t="s">
        <v>494</v>
      </c>
      <c r="C24" s="18" t="s">
        <v>72</v>
      </c>
      <c r="D24" s="19"/>
      <c r="E24" s="19">
        <v>2</v>
      </c>
      <c r="F24" s="10"/>
      <c r="G24" s="10">
        <f t="shared" si="0"/>
        <v>0</v>
      </c>
      <c r="H24" s="10"/>
      <c r="I24" s="10">
        <f t="shared" si="1"/>
        <v>0</v>
      </c>
      <c r="J24" s="10"/>
      <c r="K24" s="10">
        <f t="shared" si="2"/>
        <v>0</v>
      </c>
      <c r="L24" s="10">
        <f t="shared" si="3"/>
        <v>0</v>
      </c>
    </row>
    <row r="25" spans="1:12" x14ac:dyDescent="0.3">
      <c r="A25" s="2">
        <f t="shared" si="5"/>
        <v>14</v>
      </c>
      <c r="B25" s="17" t="s">
        <v>506</v>
      </c>
      <c r="C25" s="18" t="s">
        <v>72</v>
      </c>
      <c r="D25" s="19"/>
      <c r="E25" s="19">
        <v>26</v>
      </c>
      <c r="F25" s="10"/>
      <c r="G25" s="10">
        <f t="shared" si="0"/>
        <v>0</v>
      </c>
      <c r="H25" s="10"/>
      <c r="I25" s="10">
        <f t="shared" si="1"/>
        <v>0</v>
      </c>
      <c r="J25" s="10"/>
      <c r="K25" s="10">
        <f t="shared" si="2"/>
        <v>0</v>
      </c>
      <c r="L25" s="10">
        <f t="shared" si="3"/>
        <v>0</v>
      </c>
    </row>
    <row r="26" spans="1:12" x14ac:dyDescent="0.3">
      <c r="A26" s="2">
        <f t="shared" si="5"/>
        <v>15</v>
      </c>
      <c r="B26" s="17" t="s">
        <v>507</v>
      </c>
      <c r="C26" s="18" t="s">
        <v>72</v>
      </c>
      <c r="D26" s="19"/>
      <c r="E26" s="19">
        <v>10</v>
      </c>
      <c r="F26" s="10"/>
      <c r="G26" s="10">
        <f t="shared" si="0"/>
        <v>0</v>
      </c>
      <c r="H26" s="10"/>
      <c r="I26" s="10">
        <f t="shared" si="1"/>
        <v>0</v>
      </c>
      <c r="J26" s="10"/>
      <c r="K26" s="10">
        <f t="shared" si="2"/>
        <v>0</v>
      </c>
      <c r="L26" s="10">
        <f t="shared" si="3"/>
        <v>0</v>
      </c>
    </row>
    <row r="27" spans="1:12" x14ac:dyDescent="0.3">
      <c r="A27" s="2">
        <f t="shared" si="5"/>
        <v>16</v>
      </c>
      <c r="B27" s="17" t="s">
        <v>498</v>
      </c>
      <c r="C27" s="18" t="s">
        <v>72</v>
      </c>
      <c r="D27" s="19"/>
      <c r="E27" s="19">
        <v>1</v>
      </c>
      <c r="F27" s="10"/>
      <c r="G27" s="10">
        <f t="shared" si="0"/>
        <v>0</v>
      </c>
      <c r="H27" s="10"/>
      <c r="I27" s="10">
        <f t="shared" si="1"/>
        <v>0</v>
      </c>
      <c r="J27" s="10"/>
      <c r="K27" s="10">
        <f t="shared" si="2"/>
        <v>0</v>
      </c>
      <c r="L27" s="10">
        <f t="shared" si="3"/>
        <v>0</v>
      </c>
    </row>
    <row r="28" spans="1:12" x14ac:dyDescent="0.3">
      <c r="A28" s="2">
        <f t="shared" si="5"/>
        <v>17</v>
      </c>
      <c r="B28" s="17" t="s">
        <v>499</v>
      </c>
      <c r="C28" s="18" t="s">
        <v>72</v>
      </c>
      <c r="D28" s="19"/>
      <c r="E28" s="19">
        <v>1</v>
      </c>
      <c r="F28" s="10"/>
      <c r="G28" s="10">
        <f t="shared" si="0"/>
        <v>0</v>
      </c>
      <c r="H28" s="10"/>
      <c r="I28" s="10">
        <f t="shared" si="1"/>
        <v>0</v>
      </c>
      <c r="J28" s="10"/>
      <c r="K28" s="10">
        <f t="shared" si="2"/>
        <v>0</v>
      </c>
      <c r="L28" s="10">
        <f t="shared" si="3"/>
        <v>0</v>
      </c>
    </row>
    <row r="29" spans="1:12" x14ac:dyDescent="0.3">
      <c r="A29" s="2">
        <f t="shared" si="5"/>
        <v>18</v>
      </c>
      <c r="B29" s="17" t="s">
        <v>508</v>
      </c>
      <c r="C29" s="18" t="s">
        <v>72</v>
      </c>
      <c r="D29" s="19"/>
      <c r="E29" s="19">
        <v>1</v>
      </c>
      <c r="F29" s="10"/>
      <c r="G29" s="10">
        <f t="shared" si="0"/>
        <v>0</v>
      </c>
      <c r="H29" s="10"/>
      <c r="I29" s="10">
        <f t="shared" si="1"/>
        <v>0</v>
      </c>
      <c r="J29" s="10"/>
      <c r="K29" s="10">
        <f t="shared" si="2"/>
        <v>0</v>
      </c>
      <c r="L29" s="10">
        <f t="shared" si="3"/>
        <v>0</v>
      </c>
    </row>
    <row r="30" spans="1:12" x14ac:dyDescent="0.3">
      <c r="A30" s="2">
        <f t="shared" si="5"/>
        <v>19</v>
      </c>
      <c r="B30" s="17" t="s">
        <v>500</v>
      </c>
      <c r="C30" s="18" t="s">
        <v>72</v>
      </c>
      <c r="D30" s="19"/>
      <c r="E30" s="19">
        <v>1</v>
      </c>
      <c r="F30" s="10"/>
      <c r="G30" s="10">
        <f t="shared" si="0"/>
        <v>0</v>
      </c>
      <c r="H30" s="10"/>
      <c r="I30" s="10">
        <f t="shared" si="1"/>
        <v>0</v>
      </c>
      <c r="J30" s="10"/>
      <c r="K30" s="10">
        <f t="shared" si="2"/>
        <v>0</v>
      </c>
      <c r="L30" s="10">
        <f t="shared" si="3"/>
        <v>0</v>
      </c>
    </row>
    <row r="31" spans="1:12" x14ac:dyDescent="0.3">
      <c r="A31" s="2">
        <f t="shared" si="5"/>
        <v>20</v>
      </c>
      <c r="B31" s="17" t="s">
        <v>503</v>
      </c>
      <c r="C31" s="18" t="s">
        <v>72</v>
      </c>
      <c r="D31" s="19"/>
      <c r="E31" s="19">
        <v>4</v>
      </c>
      <c r="F31" s="10"/>
      <c r="G31" s="10">
        <f t="shared" si="0"/>
        <v>0</v>
      </c>
      <c r="H31" s="10"/>
      <c r="I31" s="10">
        <f t="shared" si="1"/>
        <v>0</v>
      </c>
      <c r="J31" s="10"/>
      <c r="K31" s="10">
        <f t="shared" si="2"/>
        <v>0</v>
      </c>
      <c r="L31" s="10">
        <f t="shared" si="3"/>
        <v>0</v>
      </c>
    </row>
    <row r="32" spans="1:12" x14ac:dyDescent="0.3">
      <c r="A32" s="2">
        <f t="shared" si="5"/>
        <v>21</v>
      </c>
      <c r="B32" s="17" t="s">
        <v>509</v>
      </c>
      <c r="C32" s="18" t="s">
        <v>12</v>
      </c>
      <c r="D32" s="19"/>
      <c r="E32" s="19">
        <v>800</v>
      </c>
      <c r="F32" s="10"/>
      <c r="G32" s="10">
        <f t="shared" si="0"/>
        <v>0</v>
      </c>
      <c r="H32" s="10"/>
      <c r="I32" s="10">
        <f t="shared" si="1"/>
        <v>0</v>
      </c>
      <c r="J32" s="10"/>
      <c r="K32" s="10">
        <f t="shared" si="2"/>
        <v>0</v>
      </c>
      <c r="L32" s="10">
        <f t="shared" si="3"/>
        <v>0</v>
      </c>
    </row>
    <row r="33" spans="1:16" x14ac:dyDescent="0.3">
      <c r="A33" s="2">
        <f t="shared" si="5"/>
        <v>22</v>
      </c>
      <c r="B33" s="17" t="s">
        <v>519</v>
      </c>
      <c r="C33" s="18" t="s">
        <v>12</v>
      </c>
      <c r="D33" s="19"/>
      <c r="E33" s="19">
        <v>800</v>
      </c>
      <c r="F33" s="10"/>
      <c r="G33" s="10">
        <f t="shared" si="0"/>
        <v>0</v>
      </c>
      <c r="H33" s="10"/>
      <c r="I33" s="10">
        <f t="shared" si="1"/>
        <v>0</v>
      </c>
      <c r="J33" s="10"/>
      <c r="K33" s="10">
        <f t="shared" si="2"/>
        <v>0</v>
      </c>
      <c r="L33" s="10">
        <f t="shared" si="3"/>
        <v>0</v>
      </c>
    </row>
    <row r="34" spans="1:16" x14ac:dyDescent="0.3">
      <c r="A34" s="2">
        <f t="shared" si="5"/>
        <v>23</v>
      </c>
      <c r="B34" s="17" t="s">
        <v>1071</v>
      </c>
      <c r="C34" s="18" t="s">
        <v>25</v>
      </c>
      <c r="D34" s="19"/>
      <c r="E34" s="19">
        <v>1</v>
      </c>
      <c r="F34" s="10"/>
      <c r="G34" s="10">
        <f t="shared" si="0"/>
        <v>0</v>
      </c>
      <c r="H34" s="10"/>
      <c r="I34" s="10">
        <f t="shared" si="1"/>
        <v>0</v>
      </c>
      <c r="J34" s="10"/>
      <c r="K34" s="10">
        <f t="shared" si="2"/>
        <v>0</v>
      </c>
      <c r="L34" s="10">
        <f t="shared" si="3"/>
        <v>0</v>
      </c>
    </row>
    <row r="35" spans="1:16" x14ac:dyDescent="0.3">
      <c r="A35" s="11"/>
      <c r="B35" s="11" t="s">
        <v>510</v>
      </c>
      <c r="C35" s="4"/>
      <c r="D35" s="12"/>
      <c r="E35" s="12"/>
      <c r="F35" s="13"/>
      <c r="G35" s="13">
        <f t="shared" si="0"/>
        <v>0</v>
      </c>
      <c r="H35" s="13"/>
      <c r="I35" s="13">
        <f t="shared" si="1"/>
        <v>0</v>
      </c>
      <c r="J35" s="13"/>
      <c r="K35" s="13">
        <f t="shared" si="2"/>
        <v>0</v>
      </c>
      <c r="L35" s="13">
        <f t="shared" si="3"/>
        <v>0</v>
      </c>
    </row>
    <row r="36" spans="1:16" x14ac:dyDescent="0.3">
      <c r="A36" s="2">
        <f>A33+1</f>
        <v>23</v>
      </c>
      <c r="B36" s="17" t="s">
        <v>511</v>
      </c>
      <c r="C36" s="18" t="s">
        <v>72</v>
      </c>
      <c r="D36" s="19"/>
      <c r="E36" s="19">
        <v>2</v>
      </c>
      <c r="F36" s="10"/>
      <c r="G36" s="10">
        <f t="shared" si="0"/>
        <v>0</v>
      </c>
      <c r="H36" s="10"/>
      <c r="I36" s="10">
        <f t="shared" si="1"/>
        <v>0</v>
      </c>
      <c r="J36" s="10"/>
      <c r="K36" s="10">
        <f t="shared" si="2"/>
        <v>0</v>
      </c>
      <c r="L36" s="10">
        <f t="shared" si="3"/>
        <v>0</v>
      </c>
      <c r="N36" s="9"/>
    </row>
    <row r="37" spans="1:16" x14ac:dyDescent="0.3">
      <c r="A37" s="2">
        <f t="shared" ref="A37:A45" si="6">A36+1</f>
        <v>24</v>
      </c>
      <c r="B37" s="17" t="s">
        <v>512</v>
      </c>
      <c r="C37" s="18" t="s">
        <v>72</v>
      </c>
      <c r="D37" s="19"/>
      <c r="E37" s="19">
        <v>60</v>
      </c>
      <c r="F37" s="10"/>
      <c r="G37" s="10">
        <f t="shared" si="0"/>
        <v>0</v>
      </c>
      <c r="H37" s="10"/>
      <c r="I37" s="10">
        <f t="shared" si="1"/>
        <v>0</v>
      </c>
      <c r="J37" s="10"/>
      <c r="K37" s="10">
        <f t="shared" si="2"/>
        <v>0</v>
      </c>
      <c r="L37" s="10">
        <f t="shared" si="3"/>
        <v>0</v>
      </c>
    </row>
    <row r="38" spans="1:16" x14ac:dyDescent="0.3">
      <c r="A38" s="2">
        <f t="shared" si="6"/>
        <v>25</v>
      </c>
      <c r="B38" s="17" t="s">
        <v>513</v>
      </c>
      <c r="C38" s="18" t="s">
        <v>72</v>
      </c>
      <c r="D38" s="19"/>
      <c r="E38" s="19">
        <v>13</v>
      </c>
      <c r="F38" s="10"/>
      <c r="G38" s="10">
        <f t="shared" si="0"/>
        <v>0</v>
      </c>
      <c r="H38" s="10"/>
      <c r="I38" s="10">
        <f t="shared" si="1"/>
        <v>0</v>
      </c>
      <c r="J38" s="10"/>
      <c r="K38" s="10">
        <f t="shared" si="2"/>
        <v>0</v>
      </c>
      <c r="L38" s="10">
        <f t="shared" si="3"/>
        <v>0</v>
      </c>
      <c r="N38" s="9"/>
      <c r="P38" s="9"/>
    </row>
    <row r="39" spans="1:16" x14ac:dyDescent="0.3">
      <c r="A39" s="2">
        <f t="shared" si="6"/>
        <v>26</v>
      </c>
      <c r="B39" s="17" t="s">
        <v>514</v>
      </c>
      <c r="C39" s="18" t="s">
        <v>72</v>
      </c>
      <c r="D39" s="19"/>
      <c r="E39" s="19">
        <v>12</v>
      </c>
      <c r="F39" s="10"/>
      <c r="G39" s="10">
        <f t="shared" si="0"/>
        <v>0</v>
      </c>
      <c r="H39" s="10"/>
      <c r="I39" s="10">
        <f t="shared" si="1"/>
        <v>0</v>
      </c>
      <c r="J39" s="10"/>
      <c r="K39" s="10">
        <f t="shared" si="2"/>
        <v>0</v>
      </c>
      <c r="L39" s="10">
        <f t="shared" si="3"/>
        <v>0</v>
      </c>
    </row>
    <row r="40" spans="1:16" x14ac:dyDescent="0.3">
      <c r="A40" s="2">
        <f t="shared" si="6"/>
        <v>27</v>
      </c>
      <c r="B40" s="17" t="s">
        <v>515</v>
      </c>
      <c r="C40" s="18" t="s">
        <v>72</v>
      </c>
      <c r="D40" s="19"/>
      <c r="E40" s="19">
        <v>11</v>
      </c>
      <c r="F40" s="10"/>
      <c r="G40" s="10">
        <f t="shared" si="0"/>
        <v>0</v>
      </c>
      <c r="H40" s="10"/>
      <c r="I40" s="10">
        <f t="shared" si="1"/>
        <v>0</v>
      </c>
      <c r="J40" s="10"/>
      <c r="K40" s="10">
        <f t="shared" si="2"/>
        <v>0</v>
      </c>
      <c r="L40" s="10">
        <f t="shared" si="3"/>
        <v>0</v>
      </c>
    </row>
    <row r="41" spans="1:16" x14ac:dyDescent="0.3">
      <c r="A41" s="2">
        <f t="shared" si="6"/>
        <v>28</v>
      </c>
      <c r="B41" s="17" t="s">
        <v>516</v>
      </c>
      <c r="C41" s="18" t="s">
        <v>72</v>
      </c>
      <c r="D41" s="19"/>
      <c r="E41" s="19">
        <v>81</v>
      </c>
      <c r="F41" s="10"/>
      <c r="G41" s="10">
        <f t="shared" si="0"/>
        <v>0</v>
      </c>
      <c r="H41" s="10"/>
      <c r="I41" s="10">
        <f t="shared" si="1"/>
        <v>0</v>
      </c>
      <c r="J41" s="10"/>
      <c r="K41" s="10">
        <f t="shared" si="2"/>
        <v>0</v>
      </c>
      <c r="L41" s="10">
        <f t="shared" si="3"/>
        <v>0</v>
      </c>
    </row>
    <row r="42" spans="1:16" x14ac:dyDescent="0.3">
      <c r="A42" s="2">
        <f t="shared" si="6"/>
        <v>29</v>
      </c>
      <c r="B42" s="17" t="s">
        <v>517</v>
      </c>
      <c r="C42" s="18" t="s">
        <v>12</v>
      </c>
      <c r="D42" s="19"/>
      <c r="E42" s="19">
        <v>1500</v>
      </c>
      <c r="F42" s="10"/>
      <c r="G42" s="10">
        <f t="shared" si="0"/>
        <v>0</v>
      </c>
      <c r="H42" s="10"/>
      <c r="I42" s="10">
        <f t="shared" si="1"/>
        <v>0</v>
      </c>
      <c r="J42" s="10"/>
      <c r="K42" s="10">
        <f t="shared" si="2"/>
        <v>0</v>
      </c>
      <c r="L42" s="10">
        <f t="shared" si="3"/>
        <v>0</v>
      </c>
    </row>
    <row r="43" spans="1:16" x14ac:dyDescent="0.3">
      <c r="A43" s="2">
        <f t="shared" si="6"/>
        <v>30</v>
      </c>
      <c r="B43" s="17" t="s">
        <v>518</v>
      </c>
      <c r="C43" s="18" t="s">
        <v>72</v>
      </c>
      <c r="D43" s="19"/>
      <c r="E43" s="19">
        <v>2</v>
      </c>
      <c r="F43" s="10"/>
      <c r="G43" s="10">
        <f t="shared" si="0"/>
        <v>0</v>
      </c>
      <c r="H43" s="10"/>
      <c r="I43" s="10">
        <f t="shared" si="1"/>
        <v>0</v>
      </c>
      <c r="J43" s="10"/>
      <c r="K43" s="10">
        <f t="shared" si="2"/>
        <v>0</v>
      </c>
      <c r="L43" s="10">
        <f t="shared" si="3"/>
        <v>0</v>
      </c>
    </row>
    <row r="44" spans="1:16" x14ac:dyDescent="0.3">
      <c r="A44" s="2">
        <f t="shared" si="6"/>
        <v>31</v>
      </c>
      <c r="B44" s="17" t="s">
        <v>520</v>
      </c>
      <c r="C44" s="18" t="s">
        <v>12</v>
      </c>
      <c r="D44" s="19"/>
      <c r="E44" s="19">
        <v>800</v>
      </c>
      <c r="F44" s="10"/>
      <c r="G44" s="10">
        <f t="shared" si="0"/>
        <v>0</v>
      </c>
      <c r="H44" s="10"/>
      <c r="I44" s="10">
        <f t="shared" si="1"/>
        <v>0</v>
      </c>
      <c r="J44" s="10"/>
      <c r="K44" s="10">
        <f t="shared" si="2"/>
        <v>0</v>
      </c>
      <c r="L44" s="10">
        <f t="shared" si="3"/>
        <v>0</v>
      </c>
    </row>
    <row r="45" spans="1:16" x14ac:dyDescent="0.3">
      <c r="A45" s="2">
        <f t="shared" si="6"/>
        <v>32</v>
      </c>
      <c r="B45" s="17" t="s">
        <v>1071</v>
      </c>
      <c r="C45" s="18" t="s">
        <v>25</v>
      </c>
      <c r="D45" s="19"/>
      <c r="E45" s="19">
        <v>1</v>
      </c>
      <c r="F45" s="10"/>
      <c r="G45" s="10">
        <f t="shared" si="0"/>
        <v>0</v>
      </c>
      <c r="H45" s="10"/>
      <c r="I45" s="10">
        <f t="shared" si="1"/>
        <v>0</v>
      </c>
      <c r="J45" s="10"/>
      <c r="K45" s="10">
        <f t="shared" si="2"/>
        <v>0</v>
      </c>
      <c r="L45" s="10">
        <f t="shared" si="3"/>
        <v>0</v>
      </c>
    </row>
    <row r="46" spans="1:16" x14ac:dyDescent="0.3">
      <c r="A46" s="3"/>
      <c r="B46" s="3" t="s">
        <v>7</v>
      </c>
      <c r="C46" s="3"/>
      <c r="D46" s="24"/>
      <c r="E46" s="24"/>
      <c r="F46" s="25"/>
      <c r="G46" s="25">
        <f>SUM(G10:G45)</f>
        <v>0</v>
      </c>
      <c r="H46" s="25"/>
      <c r="I46" s="25">
        <f>SUM(I10:I45)</f>
        <v>0</v>
      </c>
      <c r="J46" s="25"/>
      <c r="K46" s="25">
        <f>SUM(K10:K45)</f>
        <v>0</v>
      </c>
      <c r="L46" s="25">
        <f>SUM(L10:L45)</f>
        <v>0</v>
      </c>
    </row>
    <row r="47" spans="1:16" x14ac:dyDescent="0.3">
      <c r="A47" s="2"/>
      <c r="B47" s="5" t="s">
        <v>226</v>
      </c>
      <c r="C47" s="1"/>
      <c r="D47" s="8"/>
      <c r="E47" s="26">
        <v>0.03</v>
      </c>
      <c r="F47" s="10"/>
      <c r="G47" s="10"/>
      <c r="H47" s="10"/>
      <c r="I47" s="10"/>
      <c r="J47" s="10"/>
      <c r="K47" s="10"/>
      <c r="L47" s="10">
        <f>G46*E47</f>
        <v>0</v>
      </c>
    </row>
    <row r="48" spans="1:16" x14ac:dyDescent="0.3">
      <c r="A48" s="2"/>
      <c r="B48" s="2" t="s">
        <v>7</v>
      </c>
      <c r="C48" s="1"/>
      <c r="D48" s="8"/>
      <c r="E48" s="26"/>
      <c r="F48" s="10"/>
      <c r="G48" s="10"/>
      <c r="H48" s="10"/>
      <c r="I48" s="10"/>
      <c r="J48" s="10"/>
      <c r="K48" s="10"/>
      <c r="L48" s="10">
        <f>L47+L46</f>
        <v>0</v>
      </c>
    </row>
    <row r="49" spans="1:12" x14ac:dyDescent="0.3">
      <c r="A49" s="2"/>
      <c r="B49" s="5" t="s">
        <v>227</v>
      </c>
      <c r="C49" s="1"/>
      <c r="D49" s="8"/>
      <c r="E49" s="26">
        <v>0.1</v>
      </c>
      <c r="F49" s="10"/>
      <c r="G49" s="10"/>
      <c r="H49" s="10"/>
      <c r="I49" s="10"/>
      <c r="J49" s="10"/>
      <c r="K49" s="10"/>
      <c r="L49" s="10">
        <f>L48*E49</f>
        <v>0</v>
      </c>
    </row>
    <row r="50" spans="1:12" x14ac:dyDescent="0.3">
      <c r="A50" s="2"/>
      <c r="B50" s="2" t="s">
        <v>7</v>
      </c>
      <c r="C50" s="1"/>
      <c r="D50" s="8"/>
      <c r="E50" s="26"/>
      <c r="F50" s="10"/>
      <c r="G50" s="10"/>
      <c r="H50" s="10"/>
      <c r="I50" s="10"/>
      <c r="J50" s="10"/>
      <c r="K50" s="10"/>
      <c r="L50" s="10">
        <f>L49+L48</f>
        <v>0</v>
      </c>
    </row>
    <row r="51" spans="1:12" x14ac:dyDescent="0.3">
      <c r="A51" s="2"/>
      <c r="B51" s="5" t="s">
        <v>228</v>
      </c>
      <c r="C51" s="1"/>
      <c r="D51" s="8"/>
      <c r="E51" s="26">
        <v>0.01</v>
      </c>
      <c r="F51" s="10"/>
      <c r="G51" s="10"/>
      <c r="H51" s="10"/>
      <c r="I51" s="10"/>
      <c r="J51" s="10"/>
      <c r="K51" s="10"/>
      <c r="L51" s="10">
        <f>L50*E51</f>
        <v>0</v>
      </c>
    </row>
    <row r="52" spans="1:12" x14ac:dyDescent="0.3">
      <c r="A52" s="2"/>
      <c r="B52" s="2" t="s">
        <v>7</v>
      </c>
      <c r="C52" s="1"/>
      <c r="D52" s="8"/>
      <c r="E52" s="26"/>
      <c r="F52" s="10"/>
      <c r="G52" s="10"/>
      <c r="H52" s="10"/>
      <c r="I52" s="10"/>
      <c r="J52" s="10"/>
      <c r="K52" s="10"/>
      <c r="L52" s="10">
        <f>L51+L50</f>
        <v>0</v>
      </c>
    </row>
    <row r="53" spans="1:12" x14ac:dyDescent="0.3">
      <c r="A53" s="2"/>
      <c r="B53" s="5" t="s">
        <v>229</v>
      </c>
      <c r="C53" s="1"/>
      <c r="D53" s="8"/>
      <c r="E53" s="26">
        <v>0.08</v>
      </c>
      <c r="F53" s="10"/>
      <c r="G53" s="10"/>
      <c r="H53" s="10"/>
      <c r="I53" s="10"/>
      <c r="J53" s="10"/>
      <c r="K53" s="10"/>
      <c r="L53" s="10">
        <f>L52*E53</f>
        <v>0</v>
      </c>
    </row>
    <row r="54" spans="1:12" x14ac:dyDescent="0.3">
      <c r="A54" s="2"/>
      <c r="B54" s="2" t="s">
        <v>7</v>
      </c>
      <c r="C54" s="1"/>
      <c r="D54" s="8"/>
      <c r="E54" s="26"/>
      <c r="F54" s="10"/>
      <c r="G54" s="10"/>
      <c r="H54" s="10"/>
      <c r="I54" s="10"/>
      <c r="J54" s="10"/>
      <c r="K54" s="10"/>
      <c r="L54" s="10">
        <f>L53+L52</f>
        <v>0</v>
      </c>
    </row>
    <row r="55" spans="1:12" x14ac:dyDescent="0.3">
      <c r="A55" s="2"/>
      <c r="B55" s="5" t="s">
        <v>230</v>
      </c>
      <c r="C55" s="1"/>
      <c r="D55" s="8"/>
      <c r="E55" s="26">
        <v>0.03</v>
      </c>
      <c r="F55" s="10"/>
      <c r="G55" s="10"/>
      <c r="H55" s="10"/>
      <c r="I55" s="10"/>
      <c r="J55" s="10"/>
      <c r="K55" s="10"/>
      <c r="L55" s="10">
        <f>L54*E55</f>
        <v>0</v>
      </c>
    </row>
    <row r="56" spans="1:12" x14ac:dyDescent="0.3">
      <c r="A56" s="2"/>
      <c r="B56" s="2" t="s">
        <v>7</v>
      </c>
      <c r="C56" s="1"/>
      <c r="D56" s="8"/>
      <c r="E56" s="26"/>
      <c r="F56" s="10"/>
      <c r="G56" s="10"/>
      <c r="H56" s="10"/>
      <c r="I56" s="10"/>
      <c r="J56" s="10"/>
      <c r="K56" s="10"/>
      <c r="L56" s="10">
        <f>L55+L54</f>
        <v>0</v>
      </c>
    </row>
    <row r="57" spans="1:12" x14ac:dyDescent="0.3">
      <c r="A57" s="2"/>
      <c r="B57" s="5" t="s">
        <v>231</v>
      </c>
      <c r="C57" s="1"/>
      <c r="D57" s="8"/>
      <c r="E57" s="26">
        <v>0.18</v>
      </c>
      <c r="F57" s="10"/>
      <c r="G57" s="10"/>
      <c r="H57" s="10"/>
      <c r="I57" s="10"/>
      <c r="J57" s="10"/>
      <c r="K57" s="10"/>
      <c r="L57" s="10">
        <f>L56*E57</f>
        <v>0</v>
      </c>
    </row>
    <row r="58" spans="1:12" x14ac:dyDescent="0.3">
      <c r="A58" s="3"/>
      <c r="B58" s="3" t="s">
        <v>232</v>
      </c>
      <c r="C58" s="3"/>
      <c r="D58" s="24"/>
      <c r="E58" s="24"/>
      <c r="F58" s="25"/>
      <c r="G58" s="25"/>
      <c r="H58" s="25"/>
      <c r="I58" s="25"/>
      <c r="J58" s="25"/>
      <c r="K58" s="25"/>
      <c r="L58" s="25">
        <f>L57+L56</f>
        <v>0</v>
      </c>
    </row>
  </sheetData>
  <mergeCells count="11">
    <mergeCell ref="A2:L2"/>
    <mergeCell ref="A3:L3"/>
    <mergeCell ref="H6:I6"/>
    <mergeCell ref="J6:K6"/>
    <mergeCell ref="L6:L7"/>
    <mergeCell ref="A6:A7"/>
    <mergeCell ref="B6:B7"/>
    <mergeCell ref="C6:C7"/>
    <mergeCell ref="D6:D7"/>
    <mergeCell ref="E6:E7"/>
    <mergeCell ref="F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კრებსითი</vt:lpstr>
      <vt:lpstr>2000 მ²</vt:lpstr>
      <vt:lpstr>400 მ²</vt:lpstr>
      <vt:lpstr>გარე_ტერიტორია</vt:lpstr>
      <vt:lpstr>სანიაღვრე</vt:lpstr>
      <vt:lpstr>სანტექნიკა</vt:lpstr>
      <vt:lpstr>კანალიზაცია</vt:lpstr>
      <vt:lpstr>წყალმომარაგება</vt:lpstr>
      <vt:lpstr>სუსტი_დენები</vt:lpstr>
      <vt:lpstr>ხანძარქრობა</vt:lpstr>
      <vt:lpstr>ელექტროობა</vt:lpstr>
      <vt:lpstr>გათბობა-გაგრილება</vt:lpstr>
      <vt:lpstr>საქვაბე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2025-08-18T10:04:52Z</dcterms:modified>
</cp:coreProperties>
</file>