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თავფურცელი" sheetId="2" r:id="rId1"/>
    <sheet name="1. მძღოლების შენობა" sheetId="3" r:id="rId2"/>
    <sheet name="2. რკ.ბეტონის ფილა #1" sheetId="4" r:id="rId3"/>
    <sheet name="3. ბაქნის გადახურვა" sheetId="5" r:id="rId4"/>
    <sheet name="4. გზის წერტ. აღდგენა" sheetId="6" r:id="rId5"/>
    <sheet name="5. ბაქნის გადახურვა (ნედლეული) " sheetId="7" r:id="rId6"/>
    <sheet name="6. რკ.ბეტონის ფილა #2" sheetId="10" r:id="rId7"/>
    <sheet name="7. გზის მოასფალტება-მობეტონება" sheetId="11" r:id="rId8"/>
    <sheet name="8. გადახურვა_ნედლეულის საწყობი" sheetId="12" r:id="rId9"/>
    <sheet name="9. სახურავის შეკეთება(მზა პ.)" sheetId="13" r:id="rId10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3" l="1"/>
  <c r="G73" i="3"/>
  <c r="G78" i="3"/>
  <c r="G109" i="3"/>
  <c r="G110" i="3"/>
  <c r="G126" i="3"/>
  <c r="G37" i="3"/>
  <c r="E41" i="3"/>
  <c r="G41" i="3"/>
  <c r="G169" i="3"/>
  <c r="L170" i="3"/>
  <c r="K73" i="3"/>
  <c r="I73" i="3"/>
  <c r="L73" i="3"/>
  <c r="K78" i="3"/>
  <c r="I78" i="3"/>
  <c r="L78" i="3"/>
  <c r="K109" i="3"/>
  <c r="I109" i="3"/>
  <c r="L109" i="3"/>
  <c r="K110" i="3"/>
  <c r="I110" i="3"/>
  <c r="L110" i="3"/>
  <c r="K126" i="3"/>
  <c r="I126" i="3"/>
  <c r="L126" i="3"/>
  <c r="K37" i="3"/>
  <c r="I37" i="3"/>
  <c r="L37" i="3"/>
  <c r="K41" i="3"/>
  <c r="I41" i="3"/>
  <c r="L41" i="3"/>
  <c r="K16" i="3"/>
  <c r="I16" i="3"/>
  <c r="L16" i="3"/>
  <c r="I15" i="3"/>
  <c r="L15" i="3"/>
  <c r="L169" i="3"/>
  <c r="L171" i="3"/>
  <c r="L172" i="3"/>
  <c r="L173" i="3"/>
  <c r="L174" i="3"/>
  <c r="L175" i="3"/>
  <c r="L176" i="3"/>
  <c r="L177" i="3"/>
  <c r="L178" i="3"/>
  <c r="L179" i="3"/>
  <c r="L180" i="3"/>
  <c r="L181" i="3"/>
  <c r="E14" i="2"/>
  <c r="G67" i="5"/>
  <c r="G97" i="5"/>
  <c r="L98" i="5"/>
  <c r="L67" i="5"/>
  <c r="L97" i="5"/>
  <c r="L99" i="5"/>
  <c r="L100" i="5"/>
  <c r="L101" i="5"/>
  <c r="L102" i="5"/>
  <c r="L103" i="5"/>
  <c r="L104" i="5"/>
  <c r="L105" i="5"/>
  <c r="L106" i="5"/>
  <c r="L107" i="5"/>
  <c r="L108" i="5"/>
  <c r="L109" i="5"/>
  <c r="E16" i="2"/>
  <c r="I20" i="4"/>
  <c r="L20" i="4"/>
  <c r="G18" i="4"/>
  <c r="I18" i="4"/>
  <c r="L18" i="4"/>
  <c r="I17" i="4"/>
  <c r="L17" i="4"/>
  <c r="I16" i="4"/>
  <c r="L16" i="4"/>
  <c r="L53" i="4"/>
  <c r="G53" i="4"/>
  <c r="L54" i="4"/>
  <c r="L55" i="4"/>
  <c r="L56" i="4"/>
  <c r="L57" i="4"/>
  <c r="L58" i="4"/>
  <c r="L59" i="4"/>
  <c r="L60" i="4"/>
  <c r="L61" i="4"/>
  <c r="L62" i="4"/>
  <c r="L63" i="4"/>
  <c r="L64" i="4"/>
  <c r="L65" i="4"/>
  <c r="E15" i="2"/>
  <c r="I16" i="6"/>
  <c r="L16" i="6"/>
  <c r="I17" i="6"/>
  <c r="L17" i="6"/>
  <c r="I19" i="6"/>
  <c r="L19" i="6"/>
  <c r="I18" i="6"/>
  <c r="L18" i="6"/>
  <c r="L29" i="6"/>
  <c r="L31" i="6"/>
  <c r="L32" i="6"/>
  <c r="L33" i="6"/>
  <c r="L34" i="6"/>
  <c r="L35" i="6"/>
  <c r="L36" i="6"/>
  <c r="L37" i="6"/>
  <c r="L38" i="6"/>
  <c r="L39" i="6"/>
  <c r="L40" i="6"/>
  <c r="L41" i="6"/>
  <c r="E17" i="2"/>
  <c r="I16" i="10"/>
  <c r="L16" i="10"/>
  <c r="I17" i="10"/>
  <c r="L17" i="10"/>
  <c r="I18" i="10"/>
  <c r="L18" i="10"/>
  <c r="I20" i="10"/>
  <c r="L20" i="10"/>
  <c r="I25" i="10"/>
  <c r="K25" i="10"/>
  <c r="L25" i="10"/>
  <c r="L53" i="10"/>
  <c r="L55" i="10"/>
  <c r="L56" i="10"/>
  <c r="L57" i="10"/>
  <c r="L58" i="10"/>
  <c r="L59" i="10"/>
  <c r="L60" i="10"/>
  <c r="L61" i="10"/>
  <c r="L62" i="10"/>
  <c r="L63" i="10"/>
  <c r="L64" i="10"/>
  <c r="L65" i="10"/>
  <c r="E19" i="2"/>
  <c r="F68" i="13"/>
  <c r="K69" i="13"/>
  <c r="K68" i="13"/>
  <c r="K70" i="13"/>
  <c r="K71" i="13"/>
  <c r="K72" i="13"/>
  <c r="K73" i="13"/>
  <c r="K74" i="13"/>
  <c r="K75" i="13"/>
  <c r="K76" i="13"/>
  <c r="K77" i="13"/>
  <c r="K78" i="13"/>
  <c r="K79" i="13"/>
  <c r="K80" i="13"/>
  <c r="E22" i="2"/>
  <c r="E23" i="2"/>
  <c r="J67" i="13"/>
  <c r="H67" i="13"/>
  <c r="F67" i="13"/>
  <c r="K67" i="13"/>
  <c r="J66" i="13"/>
  <c r="H66" i="13"/>
  <c r="F66" i="13"/>
  <c r="K66" i="13"/>
  <c r="J64" i="13"/>
  <c r="H64" i="13"/>
  <c r="F64" i="13"/>
  <c r="K64" i="13"/>
  <c r="J63" i="13"/>
  <c r="H63" i="13"/>
  <c r="F63" i="13"/>
  <c r="K63" i="13"/>
  <c r="J62" i="13"/>
  <c r="H62" i="13"/>
  <c r="F62" i="13"/>
  <c r="K62" i="13"/>
  <c r="J61" i="13"/>
  <c r="H61" i="13"/>
  <c r="F61" i="13"/>
  <c r="K61" i="13"/>
  <c r="J60" i="13"/>
  <c r="H60" i="13"/>
  <c r="F60" i="13"/>
  <c r="K60" i="13"/>
  <c r="J59" i="13"/>
  <c r="H59" i="13"/>
  <c r="F59" i="13"/>
  <c r="K59" i="13"/>
  <c r="J58" i="13"/>
  <c r="H58" i="13"/>
  <c r="F58" i="13"/>
  <c r="K58" i="13"/>
  <c r="J57" i="13"/>
  <c r="H57" i="13"/>
  <c r="F57" i="13"/>
  <c r="K57" i="13"/>
  <c r="J54" i="13"/>
  <c r="H54" i="13"/>
  <c r="F54" i="13"/>
  <c r="K54" i="13"/>
  <c r="J53" i="13"/>
  <c r="H53" i="13"/>
  <c r="F53" i="13"/>
  <c r="K53" i="13"/>
  <c r="J52" i="13"/>
  <c r="H52" i="13"/>
  <c r="F52" i="13"/>
  <c r="K52" i="13"/>
  <c r="J51" i="13"/>
  <c r="H51" i="13"/>
  <c r="F51" i="13"/>
  <c r="K51" i="13"/>
  <c r="J50" i="13"/>
  <c r="H50" i="13"/>
  <c r="F50" i="13"/>
  <c r="K50" i="13"/>
  <c r="J49" i="13"/>
  <c r="H49" i="13"/>
  <c r="F49" i="13"/>
  <c r="K49" i="13"/>
  <c r="J48" i="13"/>
  <c r="H48" i="13"/>
  <c r="F48" i="13"/>
  <c r="K48" i="13"/>
  <c r="J47" i="13"/>
  <c r="H47" i="13"/>
  <c r="F47" i="13"/>
  <c r="K47" i="13"/>
  <c r="J46" i="13"/>
  <c r="H46" i="13"/>
  <c r="F46" i="13"/>
  <c r="K46" i="13"/>
  <c r="J44" i="13"/>
  <c r="H44" i="13"/>
  <c r="F44" i="13"/>
  <c r="K44" i="13"/>
  <c r="J43" i="13"/>
  <c r="H43" i="13"/>
  <c r="F43" i="13"/>
  <c r="K43" i="13"/>
  <c r="J42" i="13"/>
  <c r="H42" i="13"/>
  <c r="F42" i="13"/>
  <c r="K42" i="13"/>
  <c r="J41" i="13"/>
  <c r="H41" i="13"/>
  <c r="F41" i="13"/>
  <c r="K41" i="13"/>
  <c r="J40" i="13"/>
  <c r="H40" i="13"/>
  <c r="F40" i="13"/>
  <c r="K40" i="13"/>
  <c r="J39" i="13"/>
  <c r="H39" i="13"/>
  <c r="F39" i="13"/>
  <c r="K39" i="13"/>
  <c r="J38" i="13"/>
  <c r="H38" i="13"/>
  <c r="F38" i="13"/>
  <c r="K38" i="13"/>
  <c r="F22" i="13"/>
  <c r="H22" i="13"/>
  <c r="J22" i="13"/>
  <c r="K22" i="13"/>
  <c r="F23" i="13"/>
  <c r="H23" i="13"/>
  <c r="J23" i="13"/>
  <c r="K23" i="13"/>
  <c r="F24" i="13"/>
  <c r="H24" i="13"/>
  <c r="J24" i="13"/>
  <c r="K24" i="13"/>
  <c r="F25" i="13"/>
  <c r="H25" i="13"/>
  <c r="J25" i="13"/>
  <c r="K25" i="13"/>
  <c r="F26" i="13"/>
  <c r="H26" i="13"/>
  <c r="J26" i="13"/>
  <c r="K26" i="13"/>
  <c r="F28" i="13"/>
  <c r="H28" i="13"/>
  <c r="J28" i="13"/>
  <c r="K28" i="13"/>
  <c r="F29" i="13"/>
  <c r="H29" i="13"/>
  <c r="J29" i="13"/>
  <c r="K29" i="13"/>
  <c r="F30" i="13"/>
  <c r="H30" i="13"/>
  <c r="J30" i="13"/>
  <c r="K30" i="13"/>
  <c r="F31" i="13"/>
  <c r="H31" i="13"/>
  <c r="J31" i="13"/>
  <c r="K31" i="13"/>
  <c r="F32" i="13"/>
  <c r="H32" i="13"/>
  <c r="J32" i="13"/>
  <c r="K32" i="13"/>
  <c r="F33" i="13"/>
  <c r="H33" i="13"/>
  <c r="J33" i="13"/>
  <c r="K33" i="13"/>
  <c r="F34" i="13"/>
  <c r="H34" i="13"/>
  <c r="J34" i="13"/>
  <c r="K34" i="13"/>
  <c r="F35" i="13"/>
  <c r="H35" i="13"/>
  <c r="J35" i="13"/>
  <c r="K35" i="13"/>
  <c r="F12" i="13"/>
  <c r="H12" i="13"/>
  <c r="J12" i="13"/>
  <c r="K12" i="13"/>
  <c r="F13" i="13"/>
  <c r="H13" i="13"/>
  <c r="J13" i="13"/>
  <c r="K13" i="13"/>
  <c r="F14" i="13"/>
  <c r="H14" i="13"/>
  <c r="J14" i="13"/>
  <c r="K14" i="13"/>
  <c r="F15" i="13"/>
  <c r="H15" i="13"/>
  <c r="J15" i="13"/>
  <c r="K15" i="13"/>
  <c r="F16" i="13"/>
  <c r="H16" i="13"/>
  <c r="J16" i="13"/>
  <c r="K16" i="13"/>
  <c r="F17" i="13"/>
  <c r="H17" i="13"/>
  <c r="J17" i="13"/>
  <c r="K17" i="13"/>
  <c r="F18" i="13"/>
  <c r="H18" i="13"/>
  <c r="J18" i="13"/>
  <c r="K18" i="13"/>
  <c r="F19" i="13"/>
  <c r="H19" i="13"/>
  <c r="J19" i="13"/>
  <c r="K19" i="13"/>
  <c r="D47" i="13"/>
  <c r="D40" i="13"/>
  <c r="D16" i="13"/>
  <c r="J68" i="13"/>
  <c r="H68" i="13"/>
  <c r="G46" i="12"/>
  <c r="I46" i="12"/>
  <c r="K46" i="12"/>
  <c r="L46" i="12"/>
  <c r="G81" i="11"/>
  <c r="I81" i="11"/>
  <c r="K81" i="11"/>
  <c r="L81" i="11"/>
  <c r="G53" i="10"/>
  <c r="I53" i="10"/>
  <c r="K53" i="10"/>
  <c r="G60" i="7"/>
  <c r="I60" i="7"/>
  <c r="K60" i="7"/>
  <c r="L60" i="7"/>
  <c r="G28" i="6"/>
  <c r="G29" i="6"/>
  <c r="I28" i="6"/>
  <c r="I29" i="6"/>
  <c r="K29" i="6"/>
  <c r="L28" i="6"/>
  <c r="I53" i="4"/>
  <c r="K53" i="4"/>
  <c r="I97" i="5"/>
  <c r="K97" i="5"/>
  <c r="K45" i="12"/>
  <c r="I45" i="12"/>
  <c r="G45" i="12"/>
  <c r="L45" i="12"/>
  <c r="K80" i="11"/>
  <c r="I80" i="11"/>
  <c r="G80" i="11"/>
  <c r="L80" i="11"/>
  <c r="K52" i="10"/>
  <c r="I52" i="10"/>
  <c r="G52" i="10"/>
  <c r="L52" i="10"/>
  <c r="K59" i="7"/>
  <c r="I59" i="7"/>
  <c r="G59" i="7"/>
  <c r="L59" i="7"/>
  <c r="K28" i="6"/>
  <c r="K96" i="5"/>
  <c r="I96" i="5"/>
  <c r="G96" i="5"/>
  <c r="L96" i="5"/>
  <c r="K52" i="4"/>
  <c r="I52" i="4"/>
  <c r="G52" i="4"/>
  <c r="L52" i="4"/>
  <c r="I169" i="3"/>
  <c r="K169" i="3"/>
  <c r="E168" i="3"/>
  <c r="K168" i="3"/>
  <c r="I168" i="3"/>
  <c r="G168" i="3"/>
  <c r="L168" i="3"/>
  <c r="G166" i="3"/>
  <c r="I166" i="3"/>
  <c r="K166" i="3"/>
  <c r="L166" i="3"/>
  <c r="E167" i="3"/>
  <c r="G167" i="3"/>
  <c r="I167" i="3"/>
  <c r="K167" i="3"/>
  <c r="L167" i="3"/>
  <c r="E12" i="3"/>
  <c r="G12" i="3"/>
  <c r="G13" i="3"/>
  <c r="E14" i="3"/>
  <c r="G14" i="3"/>
  <c r="G15" i="3"/>
  <c r="G16" i="3"/>
  <c r="E18" i="3"/>
  <c r="G18" i="3"/>
  <c r="E19" i="3"/>
  <c r="G19" i="3"/>
  <c r="G20" i="3"/>
  <c r="E21" i="3"/>
  <c r="G21" i="3"/>
  <c r="E22" i="3"/>
  <c r="G22" i="3"/>
  <c r="E23" i="3"/>
  <c r="G23" i="3"/>
  <c r="G24" i="3"/>
  <c r="E26" i="3"/>
  <c r="G26" i="3"/>
  <c r="E27" i="3"/>
  <c r="G27" i="3"/>
  <c r="E28" i="3"/>
  <c r="G28" i="3"/>
  <c r="G29" i="3"/>
  <c r="G30" i="3"/>
  <c r="E31" i="3"/>
  <c r="G31" i="3"/>
  <c r="E32" i="3"/>
  <c r="G32" i="3"/>
  <c r="E33" i="3"/>
  <c r="E34" i="3"/>
  <c r="G34" i="3"/>
  <c r="E35" i="3"/>
  <c r="G35" i="3"/>
  <c r="E36" i="3"/>
  <c r="G36" i="3"/>
  <c r="G38" i="3"/>
  <c r="G39" i="3"/>
  <c r="G40" i="3"/>
  <c r="G43" i="3"/>
  <c r="G44" i="3"/>
  <c r="E45" i="3"/>
  <c r="G45" i="3"/>
  <c r="G46" i="3"/>
  <c r="G47" i="3"/>
  <c r="G48" i="3"/>
  <c r="E49" i="3"/>
  <c r="G49" i="3"/>
  <c r="E50" i="3"/>
  <c r="G50" i="3"/>
  <c r="E51" i="3"/>
  <c r="G51" i="3"/>
  <c r="E52" i="3"/>
  <c r="E53" i="3"/>
  <c r="G53" i="3"/>
  <c r="E54" i="3"/>
  <c r="G54" i="3"/>
  <c r="E55" i="3"/>
  <c r="G55" i="3"/>
  <c r="G56" i="3"/>
  <c r="G57" i="3"/>
  <c r="G58" i="3"/>
  <c r="G59" i="3"/>
  <c r="E60" i="3"/>
  <c r="G60" i="3"/>
  <c r="E61" i="3"/>
  <c r="G61" i="3"/>
  <c r="E63" i="3"/>
  <c r="G63" i="3"/>
  <c r="E64" i="3"/>
  <c r="G64" i="3"/>
  <c r="E65" i="3"/>
  <c r="G65" i="3"/>
  <c r="G66" i="3"/>
  <c r="G67" i="3"/>
  <c r="G68" i="3"/>
  <c r="E69" i="3"/>
  <c r="G69" i="3"/>
  <c r="E70" i="3"/>
  <c r="G70" i="3"/>
  <c r="E72" i="3"/>
  <c r="E74" i="3"/>
  <c r="G74" i="3"/>
  <c r="E75" i="3"/>
  <c r="G75" i="3"/>
  <c r="E76" i="3"/>
  <c r="G76" i="3"/>
  <c r="E77" i="3"/>
  <c r="E79" i="3"/>
  <c r="G79" i="3"/>
  <c r="E80" i="3"/>
  <c r="G80" i="3"/>
  <c r="E81" i="3"/>
  <c r="G81" i="3"/>
  <c r="G83" i="3"/>
  <c r="G84" i="3"/>
  <c r="E85" i="3"/>
  <c r="G85" i="3"/>
  <c r="E86" i="3"/>
  <c r="G86" i="3"/>
  <c r="E87" i="3"/>
  <c r="G87" i="3"/>
  <c r="E88" i="3"/>
  <c r="G88" i="3"/>
  <c r="E89" i="3"/>
  <c r="G89" i="3"/>
  <c r="G90" i="3"/>
  <c r="G91" i="3"/>
  <c r="G92" i="3"/>
  <c r="E93" i="3"/>
  <c r="G93" i="3"/>
  <c r="G94" i="3"/>
  <c r="G96" i="3"/>
  <c r="G97" i="3"/>
  <c r="G98" i="3"/>
  <c r="G99" i="3"/>
  <c r="G100" i="3"/>
  <c r="G102" i="3"/>
  <c r="G103" i="3"/>
  <c r="G104" i="3"/>
  <c r="G105" i="3"/>
  <c r="G106" i="3"/>
  <c r="G107" i="3"/>
  <c r="E111" i="3"/>
  <c r="G111" i="3"/>
  <c r="G112" i="3"/>
  <c r="G113" i="3"/>
  <c r="G114" i="3"/>
  <c r="G116" i="3"/>
  <c r="G118" i="3"/>
  <c r="E119" i="3"/>
  <c r="G119" i="3"/>
  <c r="G120" i="3"/>
  <c r="G121" i="3"/>
  <c r="G123" i="3"/>
  <c r="G124" i="3"/>
  <c r="G128" i="3"/>
  <c r="G129" i="3"/>
  <c r="G130" i="3"/>
  <c r="G131" i="3"/>
  <c r="G133" i="3"/>
  <c r="G135" i="3"/>
  <c r="G136" i="3"/>
  <c r="G137" i="3"/>
  <c r="G139" i="3"/>
  <c r="G140" i="3"/>
  <c r="G141" i="3"/>
  <c r="G142" i="3"/>
  <c r="G143" i="3"/>
  <c r="G144" i="3"/>
  <c r="G146" i="3"/>
  <c r="G147" i="3"/>
  <c r="E148" i="3"/>
  <c r="G148" i="3"/>
  <c r="G149" i="3"/>
  <c r="G150" i="3"/>
  <c r="G151" i="3"/>
  <c r="G152" i="3"/>
  <c r="G154" i="3"/>
  <c r="G155" i="3"/>
  <c r="G156" i="3"/>
  <c r="G157" i="3"/>
  <c r="G158" i="3"/>
  <c r="G159" i="3"/>
  <c r="G160" i="3"/>
  <c r="G161" i="3"/>
  <c r="G162" i="3"/>
  <c r="G163" i="3"/>
  <c r="G164" i="3"/>
  <c r="I12" i="3"/>
  <c r="I13" i="3"/>
  <c r="I14" i="3"/>
  <c r="I18" i="3"/>
  <c r="I19" i="3"/>
  <c r="I20" i="3"/>
  <c r="I21" i="3"/>
  <c r="I22" i="3"/>
  <c r="I23" i="3"/>
  <c r="I24" i="3"/>
  <c r="I26" i="3"/>
  <c r="I27" i="3"/>
  <c r="I28" i="3"/>
  <c r="I29" i="3"/>
  <c r="I30" i="3"/>
  <c r="I31" i="3"/>
  <c r="I32" i="3"/>
  <c r="I34" i="3"/>
  <c r="I35" i="3"/>
  <c r="I36" i="3"/>
  <c r="I38" i="3"/>
  <c r="I39" i="3"/>
  <c r="I40" i="3"/>
  <c r="I43" i="3"/>
  <c r="I44" i="3"/>
  <c r="I45" i="3"/>
  <c r="I46" i="3"/>
  <c r="I47" i="3"/>
  <c r="I48" i="3"/>
  <c r="I49" i="3"/>
  <c r="I50" i="3"/>
  <c r="I51" i="3"/>
  <c r="I53" i="3"/>
  <c r="I54" i="3"/>
  <c r="I55" i="3"/>
  <c r="I56" i="3"/>
  <c r="I57" i="3"/>
  <c r="I58" i="3"/>
  <c r="I59" i="3"/>
  <c r="I60" i="3"/>
  <c r="I61" i="3"/>
  <c r="I63" i="3"/>
  <c r="I64" i="3"/>
  <c r="I65" i="3"/>
  <c r="I66" i="3"/>
  <c r="I67" i="3"/>
  <c r="I68" i="3"/>
  <c r="I69" i="3"/>
  <c r="I70" i="3"/>
  <c r="I74" i="3"/>
  <c r="I75" i="3"/>
  <c r="I76" i="3"/>
  <c r="I79" i="3"/>
  <c r="I80" i="3"/>
  <c r="I81" i="3"/>
  <c r="I83" i="3"/>
  <c r="I84" i="3"/>
  <c r="I85" i="3"/>
  <c r="I86" i="3"/>
  <c r="I87" i="3"/>
  <c r="I88" i="3"/>
  <c r="I89" i="3"/>
  <c r="I90" i="3"/>
  <c r="I91" i="3"/>
  <c r="I92" i="3"/>
  <c r="I93" i="3"/>
  <c r="I94" i="3"/>
  <c r="I96" i="3"/>
  <c r="I97" i="3"/>
  <c r="I98" i="3"/>
  <c r="I99" i="3"/>
  <c r="I100" i="3"/>
  <c r="I102" i="3"/>
  <c r="I103" i="3"/>
  <c r="I104" i="3"/>
  <c r="I105" i="3"/>
  <c r="I106" i="3"/>
  <c r="I107" i="3"/>
  <c r="I111" i="3"/>
  <c r="I112" i="3"/>
  <c r="I113" i="3"/>
  <c r="I114" i="3"/>
  <c r="I116" i="3"/>
  <c r="I118" i="3"/>
  <c r="I119" i="3"/>
  <c r="I120" i="3"/>
  <c r="I121" i="3"/>
  <c r="I123" i="3"/>
  <c r="I124" i="3"/>
  <c r="I128" i="3"/>
  <c r="I129" i="3"/>
  <c r="I130" i="3"/>
  <c r="I131" i="3"/>
  <c r="I133" i="3"/>
  <c r="I135" i="3"/>
  <c r="I136" i="3"/>
  <c r="I137" i="3"/>
  <c r="I139" i="3"/>
  <c r="I140" i="3"/>
  <c r="I141" i="3"/>
  <c r="I142" i="3"/>
  <c r="I143" i="3"/>
  <c r="I144" i="3"/>
  <c r="I146" i="3"/>
  <c r="I147" i="3"/>
  <c r="I148" i="3"/>
  <c r="I149" i="3"/>
  <c r="I150" i="3"/>
  <c r="I151" i="3"/>
  <c r="I152" i="3"/>
  <c r="I154" i="3"/>
  <c r="I155" i="3"/>
  <c r="I156" i="3"/>
  <c r="I157" i="3"/>
  <c r="I158" i="3"/>
  <c r="I159" i="3"/>
  <c r="I160" i="3"/>
  <c r="I161" i="3"/>
  <c r="I162" i="3"/>
  <c r="I163" i="3"/>
  <c r="I164" i="3"/>
  <c r="K12" i="3"/>
  <c r="K13" i="3"/>
  <c r="K14" i="3"/>
  <c r="K15" i="3"/>
  <c r="K18" i="3"/>
  <c r="K19" i="3"/>
  <c r="K20" i="3"/>
  <c r="K21" i="3"/>
  <c r="K22" i="3"/>
  <c r="K23" i="3"/>
  <c r="K24" i="3"/>
  <c r="K26" i="3"/>
  <c r="K27" i="3"/>
  <c r="K28" i="3"/>
  <c r="K29" i="3"/>
  <c r="K30" i="3"/>
  <c r="K31" i="3"/>
  <c r="K32" i="3"/>
  <c r="K34" i="3"/>
  <c r="K35" i="3"/>
  <c r="K36" i="3"/>
  <c r="K38" i="3"/>
  <c r="K39" i="3"/>
  <c r="K40" i="3"/>
  <c r="K43" i="3"/>
  <c r="K44" i="3"/>
  <c r="K45" i="3"/>
  <c r="K46" i="3"/>
  <c r="K47" i="3"/>
  <c r="K48" i="3"/>
  <c r="K49" i="3"/>
  <c r="K50" i="3"/>
  <c r="K51" i="3"/>
  <c r="K53" i="3"/>
  <c r="K54" i="3"/>
  <c r="K55" i="3"/>
  <c r="K56" i="3"/>
  <c r="K57" i="3"/>
  <c r="K58" i="3"/>
  <c r="K59" i="3"/>
  <c r="K60" i="3"/>
  <c r="K61" i="3"/>
  <c r="K63" i="3"/>
  <c r="K64" i="3"/>
  <c r="K65" i="3"/>
  <c r="K66" i="3"/>
  <c r="K67" i="3"/>
  <c r="K68" i="3"/>
  <c r="K69" i="3"/>
  <c r="K70" i="3"/>
  <c r="K74" i="3"/>
  <c r="K75" i="3"/>
  <c r="K76" i="3"/>
  <c r="K79" i="3"/>
  <c r="K80" i="3"/>
  <c r="K81" i="3"/>
  <c r="K83" i="3"/>
  <c r="K84" i="3"/>
  <c r="K85" i="3"/>
  <c r="K86" i="3"/>
  <c r="K87" i="3"/>
  <c r="K88" i="3"/>
  <c r="K89" i="3"/>
  <c r="K90" i="3"/>
  <c r="K91" i="3"/>
  <c r="K92" i="3"/>
  <c r="K93" i="3"/>
  <c r="K94" i="3"/>
  <c r="K96" i="3"/>
  <c r="K97" i="3"/>
  <c r="K98" i="3"/>
  <c r="K99" i="3"/>
  <c r="K100" i="3"/>
  <c r="K102" i="3"/>
  <c r="K103" i="3"/>
  <c r="K104" i="3"/>
  <c r="K105" i="3"/>
  <c r="K106" i="3"/>
  <c r="K107" i="3"/>
  <c r="K111" i="3"/>
  <c r="K112" i="3"/>
  <c r="K113" i="3"/>
  <c r="K114" i="3"/>
  <c r="K116" i="3"/>
  <c r="K118" i="3"/>
  <c r="K119" i="3"/>
  <c r="K120" i="3"/>
  <c r="K121" i="3"/>
  <c r="K123" i="3"/>
  <c r="K124" i="3"/>
  <c r="K128" i="3"/>
  <c r="K129" i="3"/>
  <c r="K130" i="3"/>
  <c r="K131" i="3"/>
  <c r="K133" i="3"/>
  <c r="K135" i="3"/>
  <c r="K136" i="3"/>
  <c r="K137" i="3"/>
  <c r="K139" i="3"/>
  <c r="K140" i="3"/>
  <c r="K141" i="3"/>
  <c r="K142" i="3"/>
  <c r="K143" i="3"/>
  <c r="K144" i="3"/>
  <c r="K146" i="3"/>
  <c r="K147" i="3"/>
  <c r="K148" i="3"/>
  <c r="K149" i="3"/>
  <c r="K150" i="3"/>
  <c r="K151" i="3"/>
  <c r="K152" i="3"/>
  <c r="K154" i="3"/>
  <c r="K155" i="3"/>
  <c r="K156" i="3"/>
  <c r="K157" i="3"/>
  <c r="K158" i="3"/>
  <c r="K159" i="3"/>
  <c r="K160" i="3"/>
  <c r="K161" i="3"/>
  <c r="K162" i="3"/>
  <c r="K163" i="3"/>
  <c r="K164" i="3"/>
  <c r="L12" i="3"/>
  <c r="L13" i="3"/>
  <c r="L14" i="3"/>
  <c r="L18" i="3"/>
  <c r="L19" i="3"/>
  <c r="L20" i="3"/>
  <c r="L21" i="3"/>
  <c r="L22" i="3"/>
  <c r="L23" i="3"/>
  <c r="L24" i="3"/>
  <c r="L26" i="3"/>
  <c r="L27" i="3"/>
  <c r="L28" i="3"/>
  <c r="L29" i="3"/>
  <c r="L30" i="3"/>
  <c r="L31" i="3"/>
  <c r="L32" i="3"/>
  <c r="L34" i="3"/>
  <c r="L35" i="3"/>
  <c r="L36" i="3"/>
  <c r="L38" i="3"/>
  <c r="L39" i="3"/>
  <c r="L40" i="3"/>
  <c r="L43" i="3"/>
  <c r="L44" i="3"/>
  <c r="L45" i="3"/>
  <c r="L46" i="3"/>
  <c r="L47" i="3"/>
  <c r="L48" i="3"/>
  <c r="L49" i="3"/>
  <c r="L50" i="3"/>
  <c r="L51" i="3"/>
  <c r="L53" i="3"/>
  <c r="L54" i="3"/>
  <c r="L55" i="3"/>
  <c r="L56" i="3"/>
  <c r="L57" i="3"/>
  <c r="L58" i="3"/>
  <c r="L59" i="3"/>
  <c r="L60" i="3"/>
  <c r="L61" i="3"/>
  <c r="L63" i="3"/>
  <c r="L64" i="3"/>
  <c r="L65" i="3"/>
  <c r="L66" i="3"/>
  <c r="L67" i="3"/>
  <c r="L68" i="3"/>
  <c r="L69" i="3"/>
  <c r="L70" i="3"/>
  <c r="L74" i="3"/>
  <c r="L75" i="3"/>
  <c r="L76" i="3"/>
  <c r="L79" i="3"/>
  <c r="L80" i="3"/>
  <c r="L81" i="3"/>
  <c r="L83" i="3"/>
  <c r="L84" i="3"/>
  <c r="L85" i="3"/>
  <c r="L86" i="3"/>
  <c r="L87" i="3"/>
  <c r="L88" i="3"/>
  <c r="L89" i="3"/>
  <c r="L90" i="3"/>
  <c r="L91" i="3"/>
  <c r="L92" i="3"/>
  <c r="L93" i="3"/>
  <c r="L94" i="3"/>
  <c r="L96" i="3"/>
  <c r="L97" i="3"/>
  <c r="L98" i="3"/>
  <c r="L99" i="3"/>
  <c r="L100" i="3"/>
  <c r="L102" i="3"/>
  <c r="L103" i="3"/>
  <c r="L104" i="3"/>
  <c r="L105" i="3"/>
  <c r="L106" i="3"/>
  <c r="L107" i="3"/>
  <c r="L111" i="3"/>
  <c r="L112" i="3"/>
  <c r="L113" i="3"/>
  <c r="L114" i="3"/>
  <c r="L116" i="3"/>
  <c r="L118" i="3"/>
  <c r="L119" i="3"/>
  <c r="L120" i="3"/>
  <c r="L121" i="3"/>
  <c r="L123" i="3"/>
  <c r="L124" i="3"/>
  <c r="L128" i="3"/>
  <c r="L129" i="3"/>
  <c r="L130" i="3"/>
  <c r="L131" i="3"/>
  <c r="L133" i="3"/>
  <c r="L135" i="3"/>
  <c r="L136" i="3"/>
  <c r="L137" i="3"/>
  <c r="L139" i="3"/>
  <c r="L140" i="3"/>
  <c r="L141" i="3"/>
  <c r="L142" i="3"/>
  <c r="L143" i="3"/>
  <c r="L144" i="3"/>
  <c r="L146" i="3"/>
  <c r="L147" i="3"/>
  <c r="L148" i="3"/>
  <c r="L149" i="3"/>
  <c r="L150" i="3"/>
  <c r="L151" i="3"/>
  <c r="L152" i="3"/>
  <c r="L154" i="3"/>
  <c r="L155" i="3"/>
  <c r="L156" i="3"/>
  <c r="L157" i="3"/>
  <c r="L158" i="3"/>
  <c r="L159" i="3"/>
  <c r="L160" i="3"/>
  <c r="L161" i="3"/>
  <c r="L162" i="3"/>
  <c r="L163" i="3"/>
  <c r="L164" i="3"/>
  <c r="E25" i="12"/>
  <c r="E33" i="12"/>
  <c r="E32" i="12"/>
  <c r="E19" i="12"/>
  <c r="E18" i="12"/>
  <c r="E17" i="12"/>
  <c r="E76" i="11"/>
  <c r="E75" i="11"/>
  <c r="E74" i="11"/>
  <c r="E17" i="11"/>
  <c r="E21" i="11"/>
  <c r="E23" i="11"/>
  <c r="E49" i="10"/>
  <c r="E48" i="10"/>
  <c r="E43" i="10"/>
  <c r="E41" i="10"/>
  <c r="E37" i="10"/>
  <c r="E36" i="10"/>
  <c r="E31" i="10"/>
  <c r="E29" i="10"/>
  <c r="E13" i="10"/>
  <c r="E12" i="10"/>
  <c r="E41" i="7"/>
  <c r="E36" i="7"/>
  <c r="E31" i="7"/>
  <c r="E30" i="7"/>
  <c r="E23" i="7"/>
  <c r="E27" i="7"/>
  <c r="E26" i="6"/>
  <c r="E25" i="6"/>
  <c r="E22" i="6"/>
  <c r="E13" i="6"/>
  <c r="E75" i="5"/>
  <c r="E41" i="5"/>
  <c r="E34" i="5"/>
  <c r="E31" i="5"/>
  <c r="E30" i="5"/>
  <c r="E49" i="4"/>
  <c r="E48" i="4"/>
  <c r="E41" i="4"/>
  <c r="E37" i="4"/>
  <c r="E36" i="4"/>
  <c r="E29" i="4"/>
  <c r="E13" i="4"/>
  <c r="E12" i="4"/>
  <c r="K45" i="11"/>
  <c r="L45" i="11"/>
  <c r="I44" i="11"/>
  <c r="L44" i="11"/>
  <c r="E13" i="11"/>
  <c r="E43" i="11"/>
  <c r="K41" i="12"/>
  <c r="L41" i="12"/>
  <c r="I40" i="12"/>
  <c r="L40" i="12"/>
  <c r="E11" i="12"/>
  <c r="I11" i="12"/>
  <c r="L11" i="12"/>
  <c r="E16" i="12"/>
  <c r="G16" i="12"/>
  <c r="L16" i="12"/>
  <c r="E22" i="12"/>
  <c r="G22" i="12"/>
  <c r="L22" i="12"/>
  <c r="E24" i="12"/>
  <c r="G24" i="12"/>
  <c r="L24" i="12"/>
  <c r="G17" i="12"/>
  <c r="L17" i="12"/>
  <c r="G18" i="12"/>
  <c r="L18" i="12"/>
  <c r="G19" i="12"/>
  <c r="L19" i="12"/>
  <c r="G32" i="12"/>
  <c r="L32" i="12"/>
  <c r="E34" i="12"/>
  <c r="G34" i="12"/>
  <c r="L34" i="12"/>
  <c r="G33" i="12"/>
  <c r="L33" i="12"/>
  <c r="E26" i="12"/>
  <c r="I26" i="12"/>
  <c r="L26" i="12"/>
  <c r="G35" i="12"/>
  <c r="L35" i="12"/>
  <c r="G36" i="12"/>
  <c r="L36" i="12"/>
  <c r="G37" i="12"/>
  <c r="L37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E21" i="2"/>
  <c r="G20" i="12"/>
  <c r="G21" i="12"/>
  <c r="G23" i="12"/>
  <c r="G38" i="12"/>
  <c r="E39" i="12"/>
  <c r="I43" i="12"/>
  <c r="E44" i="12"/>
  <c r="I44" i="12"/>
  <c r="K12" i="12"/>
  <c r="K13" i="12"/>
  <c r="K14" i="12"/>
  <c r="K27" i="12"/>
  <c r="K28" i="12"/>
  <c r="K29" i="12"/>
  <c r="K30" i="12"/>
  <c r="L12" i="12"/>
  <c r="L13" i="12"/>
  <c r="L14" i="12"/>
  <c r="L15" i="12"/>
  <c r="L20" i="12"/>
  <c r="L21" i="12"/>
  <c r="L23" i="12"/>
  <c r="L27" i="12"/>
  <c r="L28" i="12"/>
  <c r="L29" i="12"/>
  <c r="L30" i="12"/>
  <c r="L31" i="12"/>
  <c r="L38" i="12"/>
  <c r="L43" i="12"/>
  <c r="L44" i="12"/>
  <c r="G13" i="11"/>
  <c r="E15" i="11"/>
  <c r="G15" i="11"/>
  <c r="G16" i="11"/>
  <c r="E18" i="11"/>
  <c r="G18" i="11"/>
  <c r="E19" i="11"/>
  <c r="G19" i="11"/>
  <c r="G20" i="11"/>
  <c r="E22" i="11"/>
  <c r="G22" i="11"/>
  <c r="G23" i="11"/>
  <c r="E24" i="11"/>
  <c r="G24" i="11"/>
  <c r="E25" i="11"/>
  <c r="G25" i="11"/>
  <c r="G28" i="11"/>
  <c r="E29" i="11"/>
  <c r="G29" i="11"/>
  <c r="E27" i="11"/>
  <c r="E30" i="11"/>
  <c r="E31" i="11"/>
  <c r="G31" i="11"/>
  <c r="G32" i="11"/>
  <c r="G33" i="11"/>
  <c r="G34" i="11"/>
  <c r="G35" i="11"/>
  <c r="G36" i="11"/>
  <c r="G37" i="11"/>
  <c r="E39" i="11"/>
  <c r="G39" i="11"/>
  <c r="E40" i="11"/>
  <c r="G40" i="11"/>
  <c r="E41" i="11"/>
  <c r="G41" i="11"/>
  <c r="E48" i="11"/>
  <c r="G48" i="11"/>
  <c r="E50" i="11"/>
  <c r="G50" i="11"/>
  <c r="E51" i="11"/>
  <c r="G51" i="11"/>
  <c r="E53" i="11"/>
  <c r="G53" i="11"/>
  <c r="E54" i="11"/>
  <c r="G54" i="11"/>
  <c r="E55" i="11"/>
  <c r="G55" i="11"/>
  <c r="E56" i="11"/>
  <c r="G56" i="11"/>
  <c r="G57" i="11"/>
  <c r="E59" i="11"/>
  <c r="G59" i="11"/>
  <c r="G60" i="11"/>
  <c r="E62" i="11"/>
  <c r="G62" i="11"/>
  <c r="E63" i="11"/>
  <c r="G63" i="11"/>
  <c r="E64" i="11"/>
  <c r="G64" i="11"/>
  <c r="E65" i="11"/>
  <c r="G65" i="11"/>
  <c r="G66" i="11"/>
  <c r="E68" i="11"/>
  <c r="G68" i="11"/>
  <c r="E69" i="11"/>
  <c r="G69" i="11"/>
  <c r="E70" i="11"/>
  <c r="G70" i="11"/>
  <c r="G71" i="11"/>
  <c r="G72" i="11"/>
  <c r="G74" i="11"/>
  <c r="G75" i="11"/>
  <c r="G76" i="11"/>
  <c r="E77" i="11"/>
  <c r="G77" i="11"/>
  <c r="G78" i="11"/>
  <c r="G79" i="11"/>
  <c r="L82" i="11"/>
  <c r="K13" i="11"/>
  <c r="I13" i="11"/>
  <c r="L13" i="11"/>
  <c r="K15" i="11"/>
  <c r="I15" i="11"/>
  <c r="L15" i="11"/>
  <c r="K16" i="11"/>
  <c r="I16" i="11"/>
  <c r="L16" i="11"/>
  <c r="K18" i="11"/>
  <c r="I18" i="11"/>
  <c r="L18" i="11"/>
  <c r="K19" i="11"/>
  <c r="I19" i="11"/>
  <c r="L19" i="11"/>
  <c r="K20" i="11"/>
  <c r="I20" i="11"/>
  <c r="L20" i="11"/>
  <c r="K22" i="11"/>
  <c r="I22" i="11"/>
  <c r="L22" i="11"/>
  <c r="K24" i="11"/>
  <c r="I24" i="11"/>
  <c r="L24" i="11"/>
  <c r="K25" i="11"/>
  <c r="I25" i="11"/>
  <c r="L25" i="11"/>
  <c r="K28" i="11"/>
  <c r="I28" i="11"/>
  <c r="L28" i="11"/>
  <c r="K29" i="11"/>
  <c r="I29" i="11"/>
  <c r="L29" i="11"/>
  <c r="K31" i="11"/>
  <c r="I31" i="11"/>
  <c r="L31" i="11"/>
  <c r="K32" i="11"/>
  <c r="I32" i="11"/>
  <c r="L32" i="11"/>
  <c r="K33" i="11"/>
  <c r="I33" i="11"/>
  <c r="L33" i="11"/>
  <c r="K34" i="11"/>
  <c r="I34" i="11"/>
  <c r="L34" i="11"/>
  <c r="K35" i="11"/>
  <c r="I35" i="11"/>
  <c r="L35" i="11"/>
  <c r="K36" i="11"/>
  <c r="I36" i="11"/>
  <c r="L36" i="11"/>
  <c r="K37" i="11"/>
  <c r="I37" i="11"/>
  <c r="L37" i="11"/>
  <c r="K39" i="11"/>
  <c r="I39" i="11"/>
  <c r="L39" i="11"/>
  <c r="K40" i="11"/>
  <c r="I40" i="11"/>
  <c r="L40" i="11"/>
  <c r="K41" i="11"/>
  <c r="I41" i="11"/>
  <c r="L41" i="11"/>
  <c r="K48" i="11"/>
  <c r="I48" i="11"/>
  <c r="L48" i="11"/>
  <c r="K50" i="11"/>
  <c r="I50" i="11"/>
  <c r="L50" i="11"/>
  <c r="K51" i="11"/>
  <c r="I51" i="11"/>
  <c r="L51" i="11"/>
  <c r="K53" i="11"/>
  <c r="I53" i="11"/>
  <c r="L53" i="11"/>
  <c r="K54" i="11"/>
  <c r="I54" i="11"/>
  <c r="L54" i="11"/>
  <c r="K55" i="11"/>
  <c r="I55" i="11"/>
  <c r="L55" i="11"/>
  <c r="K56" i="11"/>
  <c r="I56" i="11"/>
  <c r="L56" i="11"/>
  <c r="K57" i="11"/>
  <c r="I57" i="11"/>
  <c r="L57" i="11"/>
  <c r="K59" i="11"/>
  <c r="I59" i="11"/>
  <c r="L59" i="11"/>
  <c r="K60" i="11"/>
  <c r="I60" i="11"/>
  <c r="L60" i="11"/>
  <c r="K62" i="11"/>
  <c r="I62" i="11"/>
  <c r="L62" i="11"/>
  <c r="K63" i="11"/>
  <c r="I63" i="11"/>
  <c r="L63" i="11"/>
  <c r="K64" i="11"/>
  <c r="I64" i="11"/>
  <c r="L64" i="11"/>
  <c r="K65" i="11"/>
  <c r="I65" i="11"/>
  <c r="L65" i="11"/>
  <c r="K66" i="11"/>
  <c r="I66" i="11"/>
  <c r="L66" i="11"/>
  <c r="K68" i="11"/>
  <c r="I68" i="11"/>
  <c r="L68" i="11"/>
  <c r="K69" i="11"/>
  <c r="I69" i="11"/>
  <c r="L69" i="11"/>
  <c r="K70" i="11"/>
  <c r="I70" i="11"/>
  <c r="L70" i="11"/>
  <c r="K71" i="11"/>
  <c r="I71" i="11"/>
  <c r="L71" i="11"/>
  <c r="K72" i="11"/>
  <c r="I72" i="11"/>
  <c r="L72" i="11"/>
  <c r="K74" i="11"/>
  <c r="I74" i="11"/>
  <c r="L74" i="11"/>
  <c r="K75" i="11"/>
  <c r="I75" i="11"/>
  <c r="L75" i="11"/>
  <c r="K76" i="11"/>
  <c r="I76" i="11"/>
  <c r="L76" i="11"/>
  <c r="K77" i="11"/>
  <c r="I77" i="11"/>
  <c r="L77" i="11"/>
  <c r="K78" i="11"/>
  <c r="I78" i="11"/>
  <c r="L78" i="11"/>
  <c r="K79" i="11"/>
  <c r="I79" i="11"/>
  <c r="L79" i="11"/>
  <c r="L83" i="11"/>
  <c r="L84" i="11"/>
  <c r="L85" i="11"/>
  <c r="L86" i="11"/>
  <c r="L87" i="11"/>
  <c r="L88" i="11"/>
  <c r="L89" i="11"/>
  <c r="L90" i="11"/>
  <c r="L91" i="11"/>
  <c r="L92" i="11"/>
  <c r="L93" i="11"/>
  <c r="E20" i="2"/>
  <c r="G12" i="10"/>
  <c r="E17" i="10"/>
  <c r="E26" i="10"/>
  <c r="G26" i="10"/>
  <c r="G13" i="10"/>
  <c r="E14" i="10"/>
  <c r="G14" i="10"/>
  <c r="E15" i="10"/>
  <c r="G15" i="10"/>
  <c r="E16" i="10"/>
  <c r="G16" i="10"/>
  <c r="G17" i="10"/>
  <c r="E18" i="10"/>
  <c r="G18" i="10"/>
  <c r="E20" i="10"/>
  <c r="G20" i="10"/>
  <c r="E22" i="10"/>
  <c r="G22" i="10"/>
  <c r="E23" i="10"/>
  <c r="G23" i="10"/>
  <c r="E25" i="10"/>
  <c r="G25" i="10"/>
  <c r="G29" i="10"/>
  <c r="E30" i="10"/>
  <c r="G30" i="10"/>
  <c r="E35" i="10"/>
  <c r="G35" i="10"/>
  <c r="G31" i="10"/>
  <c r="G32" i="10"/>
  <c r="G36" i="10"/>
  <c r="G37" i="10"/>
  <c r="G38" i="10"/>
  <c r="G41" i="10"/>
  <c r="E42" i="10"/>
  <c r="G42" i="10"/>
  <c r="E47" i="10"/>
  <c r="G47" i="10"/>
  <c r="G43" i="10"/>
  <c r="G44" i="10"/>
  <c r="G48" i="10"/>
  <c r="G49" i="10"/>
  <c r="G50" i="10"/>
  <c r="G27" i="10"/>
  <c r="G33" i="10"/>
  <c r="G39" i="10"/>
  <c r="G45" i="10"/>
  <c r="G51" i="10"/>
  <c r="L54" i="10"/>
  <c r="K12" i="10"/>
  <c r="I12" i="10"/>
  <c r="L12" i="10"/>
  <c r="K26" i="10"/>
  <c r="I26" i="10"/>
  <c r="L26" i="10"/>
  <c r="K13" i="10"/>
  <c r="I13" i="10"/>
  <c r="L13" i="10"/>
  <c r="K14" i="10"/>
  <c r="I14" i="10"/>
  <c r="L14" i="10"/>
  <c r="K15" i="10"/>
  <c r="I15" i="10"/>
  <c r="L15" i="10"/>
  <c r="K16" i="10"/>
  <c r="K17" i="10"/>
  <c r="K18" i="10"/>
  <c r="K20" i="10"/>
  <c r="K22" i="10"/>
  <c r="I22" i="10"/>
  <c r="L22" i="10"/>
  <c r="K23" i="10"/>
  <c r="I23" i="10"/>
  <c r="L23" i="10"/>
  <c r="K29" i="10"/>
  <c r="I29" i="10"/>
  <c r="L29" i="10"/>
  <c r="K30" i="10"/>
  <c r="I30" i="10"/>
  <c r="L30" i="10"/>
  <c r="K35" i="10"/>
  <c r="I35" i="10"/>
  <c r="L35" i="10"/>
  <c r="K31" i="10"/>
  <c r="I31" i="10"/>
  <c r="L31" i="10"/>
  <c r="K32" i="10"/>
  <c r="I32" i="10"/>
  <c r="L32" i="10"/>
  <c r="K36" i="10"/>
  <c r="I36" i="10"/>
  <c r="L36" i="10"/>
  <c r="K37" i="10"/>
  <c r="I37" i="10"/>
  <c r="L37" i="10"/>
  <c r="K38" i="10"/>
  <c r="I38" i="10"/>
  <c r="L38" i="10"/>
  <c r="K41" i="10"/>
  <c r="I41" i="10"/>
  <c r="L41" i="10"/>
  <c r="K42" i="10"/>
  <c r="I42" i="10"/>
  <c r="L42" i="10"/>
  <c r="K47" i="10"/>
  <c r="I47" i="10"/>
  <c r="L47" i="10"/>
  <c r="K43" i="10"/>
  <c r="I43" i="10"/>
  <c r="L43" i="10"/>
  <c r="K44" i="10"/>
  <c r="I44" i="10"/>
  <c r="L44" i="10"/>
  <c r="K48" i="10"/>
  <c r="I48" i="10"/>
  <c r="L48" i="10"/>
  <c r="K49" i="10"/>
  <c r="I49" i="10"/>
  <c r="L49" i="10"/>
  <c r="K50" i="10"/>
  <c r="I50" i="10"/>
  <c r="L50" i="10"/>
  <c r="K27" i="10"/>
  <c r="I27" i="10"/>
  <c r="L27" i="10"/>
  <c r="K33" i="10"/>
  <c r="I33" i="10"/>
  <c r="L33" i="10"/>
  <c r="K39" i="10"/>
  <c r="I39" i="10"/>
  <c r="L39" i="10"/>
  <c r="K45" i="10"/>
  <c r="I45" i="10"/>
  <c r="L45" i="10"/>
  <c r="K51" i="10"/>
  <c r="I51" i="10"/>
  <c r="L51" i="10"/>
  <c r="E11" i="7"/>
  <c r="E12" i="7"/>
  <c r="G12" i="7"/>
  <c r="G15" i="7"/>
  <c r="G17" i="7"/>
  <c r="E20" i="7"/>
  <c r="G20" i="7"/>
  <c r="E21" i="7"/>
  <c r="G21" i="7"/>
  <c r="G18" i="7"/>
  <c r="G19" i="7"/>
  <c r="G22" i="7"/>
  <c r="E24" i="7"/>
  <c r="G24" i="7"/>
  <c r="G27" i="7"/>
  <c r="E29" i="7"/>
  <c r="G29" i="7"/>
  <c r="E33" i="7"/>
  <c r="G33" i="7"/>
  <c r="E34" i="7"/>
  <c r="G34" i="7"/>
  <c r="E35" i="7"/>
  <c r="G35" i="7"/>
  <c r="G30" i="7"/>
  <c r="G31" i="7"/>
  <c r="E37" i="7"/>
  <c r="G37" i="7"/>
  <c r="E38" i="7"/>
  <c r="G38" i="7"/>
  <c r="E40" i="7"/>
  <c r="G40" i="7"/>
  <c r="E42" i="7"/>
  <c r="G42" i="7"/>
  <c r="E43" i="7"/>
  <c r="G43" i="7"/>
  <c r="E44" i="7"/>
  <c r="G44" i="7"/>
  <c r="G41" i="7"/>
  <c r="G50" i="7"/>
  <c r="E56" i="7"/>
  <c r="G56" i="7"/>
  <c r="G13" i="7"/>
  <c r="G14" i="7"/>
  <c r="G25" i="7"/>
  <c r="G26" i="7"/>
  <c r="G32" i="7"/>
  <c r="G46" i="7"/>
  <c r="G47" i="7"/>
  <c r="G48" i="7"/>
  <c r="G51" i="7"/>
  <c r="G52" i="7"/>
  <c r="G53" i="7"/>
  <c r="G54" i="7"/>
  <c r="G55" i="7"/>
  <c r="G57" i="7"/>
  <c r="G58" i="7"/>
  <c r="L61" i="7"/>
  <c r="K12" i="7"/>
  <c r="I12" i="7"/>
  <c r="L12" i="7"/>
  <c r="K15" i="7"/>
  <c r="I15" i="7"/>
  <c r="L15" i="7"/>
  <c r="K17" i="7"/>
  <c r="I17" i="7"/>
  <c r="L17" i="7"/>
  <c r="K20" i="7"/>
  <c r="I20" i="7"/>
  <c r="L20" i="7"/>
  <c r="K21" i="7"/>
  <c r="I21" i="7"/>
  <c r="L21" i="7"/>
  <c r="K18" i="7"/>
  <c r="I18" i="7"/>
  <c r="L18" i="7"/>
  <c r="K19" i="7"/>
  <c r="I19" i="7"/>
  <c r="L19" i="7"/>
  <c r="K22" i="7"/>
  <c r="I22" i="7"/>
  <c r="L22" i="7"/>
  <c r="K24" i="7"/>
  <c r="I24" i="7"/>
  <c r="L24" i="7"/>
  <c r="K27" i="7"/>
  <c r="I27" i="7"/>
  <c r="L27" i="7"/>
  <c r="K29" i="7"/>
  <c r="I29" i="7"/>
  <c r="L29" i="7"/>
  <c r="K33" i="7"/>
  <c r="I33" i="7"/>
  <c r="L33" i="7"/>
  <c r="K34" i="7"/>
  <c r="I34" i="7"/>
  <c r="L34" i="7"/>
  <c r="K35" i="7"/>
  <c r="I35" i="7"/>
  <c r="L35" i="7"/>
  <c r="K30" i="7"/>
  <c r="I30" i="7"/>
  <c r="L30" i="7"/>
  <c r="K31" i="7"/>
  <c r="I31" i="7"/>
  <c r="L31" i="7"/>
  <c r="K37" i="7"/>
  <c r="I37" i="7"/>
  <c r="L37" i="7"/>
  <c r="K38" i="7"/>
  <c r="I38" i="7"/>
  <c r="L38" i="7"/>
  <c r="K40" i="7"/>
  <c r="I40" i="7"/>
  <c r="L40" i="7"/>
  <c r="K42" i="7"/>
  <c r="I42" i="7"/>
  <c r="L42" i="7"/>
  <c r="K43" i="7"/>
  <c r="I43" i="7"/>
  <c r="L43" i="7"/>
  <c r="K44" i="7"/>
  <c r="I44" i="7"/>
  <c r="L44" i="7"/>
  <c r="K41" i="7"/>
  <c r="I41" i="7"/>
  <c r="L41" i="7"/>
  <c r="K50" i="7"/>
  <c r="I50" i="7"/>
  <c r="L50" i="7"/>
  <c r="K56" i="7"/>
  <c r="I56" i="7"/>
  <c r="L56" i="7"/>
  <c r="K13" i="7"/>
  <c r="I13" i="7"/>
  <c r="L13" i="7"/>
  <c r="K14" i="7"/>
  <c r="I14" i="7"/>
  <c r="L14" i="7"/>
  <c r="K25" i="7"/>
  <c r="I25" i="7"/>
  <c r="L25" i="7"/>
  <c r="K26" i="7"/>
  <c r="I26" i="7"/>
  <c r="L26" i="7"/>
  <c r="K32" i="7"/>
  <c r="I32" i="7"/>
  <c r="L32" i="7"/>
  <c r="K46" i="7"/>
  <c r="I46" i="7"/>
  <c r="L46" i="7"/>
  <c r="K47" i="7"/>
  <c r="I47" i="7"/>
  <c r="L47" i="7"/>
  <c r="K48" i="7"/>
  <c r="I48" i="7"/>
  <c r="L48" i="7"/>
  <c r="K51" i="7"/>
  <c r="I51" i="7"/>
  <c r="L51" i="7"/>
  <c r="K52" i="7"/>
  <c r="I52" i="7"/>
  <c r="L52" i="7"/>
  <c r="K53" i="7"/>
  <c r="I53" i="7"/>
  <c r="L53" i="7"/>
  <c r="K54" i="7"/>
  <c r="I54" i="7"/>
  <c r="L54" i="7"/>
  <c r="K55" i="7"/>
  <c r="I55" i="7"/>
  <c r="L55" i="7"/>
  <c r="K57" i="7"/>
  <c r="I57" i="7"/>
  <c r="L57" i="7"/>
  <c r="K58" i="7"/>
  <c r="I58" i="7"/>
  <c r="L58" i="7"/>
  <c r="L62" i="7"/>
  <c r="L63" i="7"/>
  <c r="L64" i="7"/>
  <c r="L65" i="7"/>
  <c r="L66" i="7"/>
  <c r="L67" i="7"/>
  <c r="L68" i="7"/>
  <c r="L69" i="7"/>
  <c r="L70" i="7"/>
  <c r="L71" i="7"/>
  <c r="L72" i="7"/>
  <c r="E18" i="2"/>
  <c r="G12" i="6"/>
  <c r="G13" i="6"/>
  <c r="E14" i="6"/>
  <c r="G14" i="6"/>
  <c r="E15" i="6"/>
  <c r="G15" i="6"/>
  <c r="E16" i="6"/>
  <c r="G16" i="6"/>
  <c r="E17" i="6"/>
  <c r="G17" i="6"/>
  <c r="E18" i="6"/>
  <c r="G18" i="6"/>
  <c r="E19" i="6"/>
  <c r="G19" i="6"/>
  <c r="G22" i="6"/>
  <c r="E23" i="6"/>
  <c r="G23" i="6"/>
  <c r="E24" i="6"/>
  <c r="G24" i="6"/>
  <c r="G25" i="6"/>
  <c r="G26" i="6"/>
  <c r="G20" i="6"/>
  <c r="G27" i="6"/>
  <c r="L30" i="6"/>
  <c r="K12" i="6"/>
  <c r="I12" i="6"/>
  <c r="L12" i="6"/>
  <c r="K13" i="6"/>
  <c r="I13" i="6"/>
  <c r="L13" i="6"/>
  <c r="K14" i="6"/>
  <c r="I14" i="6"/>
  <c r="L14" i="6"/>
  <c r="K15" i="6"/>
  <c r="I15" i="6"/>
  <c r="L15" i="6"/>
  <c r="K16" i="6"/>
  <c r="K17" i="6"/>
  <c r="K18" i="6"/>
  <c r="K19" i="6"/>
  <c r="K22" i="6"/>
  <c r="I22" i="6"/>
  <c r="L22" i="6"/>
  <c r="K23" i="6"/>
  <c r="I23" i="6"/>
  <c r="L23" i="6"/>
  <c r="K24" i="6"/>
  <c r="I24" i="6"/>
  <c r="L24" i="6"/>
  <c r="K25" i="6"/>
  <c r="I25" i="6"/>
  <c r="L25" i="6"/>
  <c r="K26" i="6"/>
  <c r="I26" i="6"/>
  <c r="L26" i="6"/>
  <c r="K20" i="6"/>
  <c r="I20" i="6"/>
  <c r="L20" i="6"/>
  <c r="K27" i="6"/>
  <c r="I27" i="6"/>
  <c r="L27" i="6"/>
  <c r="E11" i="5"/>
  <c r="E12" i="5"/>
  <c r="G12" i="5"/>
  <c r="E15" i="5"/>
  <c r="G15" i="5"/>
  <c r="G17" i="5"/>
  <c r="E20" i="5"/>
  <c r="G20" i="5"/>
  <c r="E21" i="5"/>
  <c r="G21" i="5"/>
  <c r="G18" i="5"/>
  <c r="G19" i="5"/>
  <c r="G22" i="5"/>
  <c r="E24" i="5"/>
  <c r="G24" i="5"/>
  <c r="E27" i="5"/>
  <c r="G27" i="5"/>
  <c r="E29" i="5"/>
  <c r="G29" i="5"/>
  <c r="E33" i="5"/>
  <c r="G33" i="5"/>
  <c r="G34" i="5"/>
  <c r="G35" i="5"/>
  <c r="G30" i="5"/>
  <c r="G31" i="5"/>
  <c r="G44" i="5"/>
  <c r="E37" i="5"/>
  <c r="G37" i="5"/>
  <c r="E38" i="5"/>
  <c r="G38" i="5"/>
  <c r="E40" i="5"/>
  <c r="G40" i="5"/>
  <c r="E42" i="5"/>
  <c r="G42" i="5"/>
  <c r="E43" i="5"/>
  <c r="G43" i="5"/>
  <c r="G41" i="5"/>
  <c r="G50" i="5"/>
  <c r="E56" i="5"/>
  <c r="G56" i="5"/>
  <c r="G51" i="5"/>
  <c r="E59" i="5"/>
  <c r="E60" i="5"/>
  <c r="G60" i="5"/>
  <c r="G63" i="5"/>
  <c r="G65" i="5"/>
  <c r="E67" i="5"/>
  <c r="E68" i="5"/>
  <c r="G68" i="5"/>
  <c r="G66" i="5"/>
  <c r="G69" i="5"/>
  <c r="G71" i="5"/>
  <c r="E74" i="5"/>
  <c r="G74" i="5"/>
  <c r="E76" i="5"/>
  <c r="G76" i="5"/>
  <c r="E78" i="5"/>
  <c r="G78" i="5"/>
  <c r="E79" i="5"/>
  <c r="G79" i="5"/>
  <c r="G75" i="5"/>
  <c r="G80" i="5"/>
  <c r="G86" i="5"/>
  <c r="E92" i="5"/>
  <c r="G92" i="5"/>
  <c r="G13" i="5"/>
  <c r="G14" i="5"/>
  <c r="G25" i="5"/>
  <c r="G26" i="5"/>
  <c r="G32" i="5"/>
  <c r="G46" i="5"/>
  <c r="G47" i="5"/>
  <c r="G48" i="5"/>
  <c r="G52" i="5"/>
  <c r="G53" i="5"/>
  <c r="G54" i="5"/>
  <c r="G55" i="5"/>
  <c r="G57" i="5"/>
  <c r="G61" i="5"/>
  <c r="G62" i="5"/>
  <c r="G72" i="5"/>
  <c r="G77" i="5"/>
  <c r="G82" i="5"/>
  <c r="G83" i="5"/>
  <c r="G84" i="5"/>
  <c r="G87" i="5"/>
  <c r="G88" i="5"/>
  <c r="G89" i="5"/>
  <c r="G90" i="5"/>
  <c r="G91" i="5"/>
  <c r="G93" i="5"/>
  <c r="G95" i="5"/>
  <c r="K12" i="5"/>
  <c r="I12" i="5"/>
  <c r="L12" i="5"/>
  <c r="K15" i="5"/>
  <c r="I15" i="5"/>
  <c r="L15" i="5"/>
  <c r="K17" i="5"/>
  <c r="I17" i="5"/>
  <c r="L17" i="5"/>
  <c r="K20" i="5"/>
  <c r="I20" i="5"/>
  <c r="L20" i="5"/>
  <c r="K21" i="5"/>
  <c r="I21" i="5"/>
  <c r="L21" i="5"/>
  <c r="K18" i="5"/>
  <c r="I18" i="5"/>
  <c r="L18" i="5"/>
  <c r="K19" i="5"/>
  <c r="I19" i="5"/>
  <c r="L19" i="5"/>
  <c r="K22" i="5"/>
  <c r="I22" i="5"/>
  <c r="L22" i="5"/>
  <c r="K24" i="5"/>
  <c r="I24" i="5"/>
  <c r="L24" i="5"/>
  <c r="K27" i="5"/>
  <c r="I27" i="5"/>
  <c r="L27" i="5"/>
  <c r="K29" i="5"/>
  <c r="I29" i="5"/>
  <c r="L29" i="5"/>
  <c r="K33" i="5"/>
  <c r="I33" i="5"/>
  <c r="L33" i="5"/>
  <c r="K34" i="5"/>
  <c r="I34" i="5"/>
  <c r="L34" i="5"/>
  <c r="K35" i="5"/>
  <c r="I35" i="5"/>
  <c r="L35" i="5"/>
  <c r="K30" i="5"/>
  <c r="I30" i="5"/>
  <c r="L30" i="5"/>
  <c r="K31" i="5"/>
  <c r="I31" i="5"/>
  <c r="L31" i="5"/>
  <c r="K44" i="5"/>
  <c r="I44" i="5"/>
  <c r="L44" i="5"/>
  <c r="K37" i="5"/>
  <c r="I37" i="5"/>
  <c r="L37" i="5"/>
  <c r="K38" i="5"/>
  <c r="I38" i="5"/>
  <c r="L38" i="5"/>
  <c r="K40" i="5"/>
  <c r="I40" i="5"/>
  <c r="L40" i="5"/>
  <c r="K42" i="5"/>
  <c r="I42" i="5"/>
  <c r="L42" i="5"/>
  <c r="K43" i="5"/>
  <c r="I43" i="5"/>
  <c r="L43" i="5"/>
  <c r="K41" i="5"/>
  <c r="I41" i="5"/>
  <c r="L41" i="5"/>
  <c r="K50" i="5"/>
  <c r="I50" i="5"/>
  <c r="L50" i="5"/>
  <c r="K56" i="5"/>
  <c r="I56" i="5"/>
  <c r="L56" i="5"/>
  <c r="K51" i="5"/>
  <c r="I51" i="5"/>
  <c r="L51" i="5"/>
  <c r="K60" i="5"/>
  <c r="I60" i="5"/>
  <c r="L60" i="5"/>
  <c r="K63" i="5"/>
  <c r="I63" i="5"/>
  <c r="L63" i="5"/>
  <c r="K65" i="5"/>
  <c r="I65" i="5"/>
  <c r="L65" i="5"/>
  <c r="K67" i="5"/>
  <c r="I67" i="5"/>
  <c r="K68" i="5"/>
  <c r="I68" i="5"/>
  <c r="L68" i="5"/>
  <c r="K66" i="5"/>
  <c r="I66" i="5"/>
  <c r="L66" i="5"/>
  <c r="K69" i="5"/>
  <c r="I69" i="5"/>
  <c r="L69" i="5"/>
  <c r="K71" i="5"/>
  <c r="I71" i="5"/>
  <c r="L71" i="5"/>
  <c r="K74" i="5"/>
  <c r="I74" i="5"/>
  <c r="L74" i="5"/>
  <c r="K76" i="5"/>
  <c r="I76" i="5"/>
  <c r="L76" i="5"/>
  <c r="K78" i="5"/>
  <c r="I78" i="5"/>
  <c r="L78" i="5"/>
  <c r="K79" i="5"/>
  <c r="I79" i="5"/>
  <c r="L79" i="5"/>
  <c r="K75" i="5"/>
  <c r="I75" i="5"/>
  <c r="L75" i="5"/>
  <c r="K80" i="5"/>
  <c r="I80" i="5"/>
  <c r="L80" i="5"/>
  <c r="K86" i="5"/>
  <c r="I86" i="5"/>
  <c r="L86" i="5"/>
  <c r="K92" i="5"/>
  <c r="I92" i="5"/>
  <c r="L92" i="5"/>
  <c r="K13" i="5"/>
  <c r="I13" i="5"/>
  <c r="L13" i="5"/>
  <c r="K14" i="5"/>
  <c r="I14" i="5"/>
  <c r="L14" i="5"/>
  <c r="K25" i="5"/>
  <c r="I25" i="5"/>
  <c r="L25" i="5"/>
  <c r="K26" i="5"/>
  <c r="I26" i="5"/>
  <c r="L26" i="5"/>
  <c r="K32" i="5"/>
  <c r="I32" i="5"/>
  <c r="L32" i="5"/>
  <c r="K46" i="5"/>
  <c r="I46" i="5"/>
  <c r="L46" i="5"/>
  <c r="K47" i="5"/>
  <c r="I47" i="5"/>
  <c r="L47" i="5"/>
  <c r="K48" i="5"/>
  <c r="I48" i="5"/>
  <c r="L48" i="5"/>
  <c r="K52" i="5"/>
  <c r="I52" i="5"/>
  <c r="L52" i="5"/>
  <c r="K53" i="5"/>
  <c r="I53" i="5"/>
  <c r="L53" i="5"/>
  <c r="K54" i="5"/>
  <c r="I54" i="5"/>
  <c r="L54" i="5"/>
  <c r="K55" i="5"/>
  <c r="I55" i="5"/>
  <c r="L55" i="5"/>
  <c r="K57" i="5"/>
  <c r="I57" i="5"/>
  <c r="L57" i="5"/>
  <c r="K61" i="5"/>
  <c r="I61" i="5"/>
  <c r="L61" i="5"/>
  <c r="K62" i="5"/>
  <c r="I62" i="5"/>
  <c r="L62" i="5"/>
  <c r="K72" i="5"/>
  <c r="I72" i="5"/>
  <c r="L72" i="5"/>
  <c r="K77" i="5"/>
  <c r="I77" i="5"/>
  <c r="L77" i="5"/>
  <c r="K82" i="5"/>
  <c r="I82" i="5"/>
  <c r="L82" i="5"/>
  <c r="K83" i="5"/>
  <c r="I83" i="5"/>
  <c r="L83" i="5"/>
  <c r="K84" i="5"/>
  <c r="I84" i="5"/>
  <c r="L84" i="5"/>
  <c r="K87" i="5"/>
  <c r="I87" i="5"/>
  <c r="L87" i="5"/>
  <c r="K88" i="5"/>
  <c r="I88" i="5"/>
  <c r="L88" i="5"/>
  <c r="K89" i="5"/>
  <c r="I89" i="5"/>
  <c r="L89" i="5"/>
  <c r="K90" i="5"/>
  <c r="I90" i="5"/>
  <c r="L90" i="5"/>
  <c r="K91" i="5"/>
  <c r="I91" i="5"/>
  <c r="L91" i="5"/>
  <c r="K93" i="5"/>
  <c r="I93" i="5"/>
  <c r="L93" i="5"/>
  <c r="K95" i="5"/>
  <c r="I95" i="5"/>
  <c r="L95" i="5"/>
  <c r="K12" i="4"/>
  <c r="I12" i="4"/>
  <c r="G12" i="4"/>
  <c r="L12" i="4"/>
  <c r="E17" i="4"/>
  <c r="E26" i="4"/>
  <c r="K26" i="4"/>
  <c r="I26" i="4"/>
  <c r="G26" i="4"/>
  <c r="L26" i="4"/>
  <c r="K13" i="4"/>
  <c r="I13" i="4"/>
  <c r="G13" i="4"/>
  <c r="L13" i="4"/>
  <c r="E14" i="4"/>
  <c r="K14" i="4"/>
  <c r="I14" i="4"/>
  <c r="G14" i="4"/>
  <c r="L14" i="4"/>
  <c r="E15" i="4"/>
  <c r="K15" i="4"/>
  <c r="I15" i="4"/>
  <c r="G15" i="4"/>
  <c r="L15" i="4"/>
  <c r="E16" i="4"/>
  <c r="K16" i="4"/>
  <c r="G16" i="4"/>
  <c r="K17" i="4"/>
  <c r="G17" i="4"/>
  <c r="E18" i="4"/>
  <c r="K18" i="4"/>
  <c r="E20" i="4"/>
  <c r="K20" i="4"/>
  <c r="G20" i="4"/>
  <c r="E22" i="4"/>
  <c r="K22" i="4"/>
  <c r="I22" i="4"/>
  <c r="G22" i="4"/>
  <c r="L22" i="4"/>
  <c r="E23" i="4"/>
  <c r="K23" i="4"/>
  <c r="I23" i="4"/>
  <c r="G23" i="4"/>
  <c r="L23" i="4"/>
  <c r="E25" i="4"/>
  <c r="K25" i="4"/>
  <c r="I25" i="4"/>
  <c r="G25" i="4"/>
  <c r="L25" i="4"/>
  <c r="K29" i="4"/>
  <c r="I29" i="4"/>
  <c r="G29" i="4"/>
  <c r="L29" i="4"/>
  <c r="E30" i="4"/>
  <c r="K30" i="4"/>
  <c r="I30" i="4"/>
  <c r="G30" i="4"/>
  <c r="L30" i="4"/>
  <c r="E35" i="4"/>
  <c r="K35" i="4"/>
  <c r="I35" i="4"/>
  <c r="G35" i="4"/>
  <c r="L35" i="4"/>
  <c r="K31" i="4"/>
  <c r="I31" i="4"/>
  <c r="G31" i="4"/>
  <c r="L31" i="4"/>
  <c r="K32" i="4"/>
  <c r="I32" i="4"/>
  <c r="G32" i="4"/>
  <c r="L32" i="4"/>
  <c r="K36" i="4"/>
  <c r="I36" i="4"/>
  <c r="G36" i="4"/>
  <c r="L36" i="4"/>
  <c r="K37" i="4"/>
  <c r="I37" i="4"/>
  <c r="G37" i="4"/>
  <c r="L37" i="4"/>
  <c r="K38" i="4"/>
  <c r="I38" i="4"/>
  <c r="G38" i="4"/>
  <c r="L38" i="4"/>
  <c r="K41" i="4"/>
  <c r="I41" i="4"/>
  <c r="G41" i="4"/>
  <c r="L41" i="4"/>
  <c r="E42" i="4"/>
  <c r="K42" i="4"/>
  <c r="I42" i="4"/>
  <c r="G42" i="4"/>
  <c r="L42" i="4"/>
  <c r="E47" i="4"/>
  <c r="K47" i="4"/>
  <c r="I47" i="4"/>
  <c r="G47" i="4"/>
  <c r="L47" i="4"/>
  <c r="K43" i="4"/>
  <c r="I43" i="4"/>
  <c r="G43" i="4"/>
  <c r="L43" i="4"/>
  <c r="K44" i="4"/>
  <c r="I44" i="4"/>
  <c r="G44" i="4"/>
  <c r="L44" i="4"/>
  <c r="K48" i="4"/>
  <c r="I48" i="4"/>
  <c r="G48" i="4"/>
  <c r="L48" i="4"/>
  <c r="K49" i="4"/>
  <c r="I49" i="4"/>
  <c r="G49" i="4"/>
  <c r="L49" i="4"/>
  <c r="K50" i="4"/>
  <c r="I50" i="4"/>
  <c r="G50" i="4"/>
  <c r="L50" i="4"/>
  <c r="K27" i="4"/>
  <c r="I27" i="4"/>
  <c r="G27" i="4"/>
  <c r="L27" i="4"/>
  <c r="K33" i="4"/>
  <c r="I33" i="4"/>
  <c r="G33" i="4"/>
  <c r="L33" i="4"/>
  <c r="K39" i="4"/>
  <c r="I39" i="4"/>
  <c r="G39" i="4"/>
  <c r="L39" i="4"/>
  <c r="K45" i="4"/>
  <c r="I45" i="4"/>
  <c r="G45" i="4"/>
  <c r="L45" i="4"/>
  <c r="K51" i="4"/>
  <c r="I51" i="4"/>
  <c r="G51" i="4"/>
  <c r="L51" i="4"/>
  <c r="E21" i="10"/>
  <c r="C37" i="7"/>
  <c r="C38" i="7"/>
  <c r="C29" i="7"/>
  <c r="C24" i="7"/>
  <c r="C27" i="7"/>
  <c r="C71" i="5"/>
  <c r="C24" i="5"/>
  <c r="C27" i="5"/>
  <c r="C37" i="5"/>
  <c r="C38" i="5"/>
  <c r="E21" i="4"/>
  <c r="E24" i="2"/>
  <c r="E25" i="2"/>
</calcChain>
</file>

<file path=xl/sharedStrings.xml><?xml version="1.0" encoding="utf-8"?>
<sst xmlns="http://schemas.openxmlformats.org/spreadsheetml/2006/main" count="1338" uniqueCount="329">
  <si>
    <t>#</t>
  </si>
  <si>
    <t>სამუშაოებისა და დანახარჯების  დასახელება</t>
  </si>
  <si>
    <t>მასალის ღირებულება</t>
  </si>
  <si>
    <t>ხელფასი</t>
  </si>
  <si>
    <t>მანქანა-დანადგარები</t>
  </si>
  <si>
    <t>სულ</t>
  </si>
  <si>
    <t>ერთეული</t>
  </si>
  <si>
    <t>ჯამი</t>
  </si>
  <si>
    <t>ცალი</t>
  </si>
  <si>
    <t>კგ</t>
  </si>
  <si>
    <t>ლარი</t>
  </si>
  <si>
    <t>უსაფრთხოების ხარჯი</t>
  </si>
  <si>
    <t>ზედნადები ხარჯი</t>
  </si>
  <si>
    <t>გეგმიური დაგროვება</t>
  </si>
  <si>
    <t>დროებითი შენობა-ნაგებობები</t>
  </si>
  <si>
    <t>კვ.მ</t>
  </si>
  <si>
    <t>კუბ.მ</t>
  </si>
  <si>
    <t>გ/მ</t>
  </si>
  <si>
    <t xml:space="preserve">სატრანსპორტო ხარჯი მასალიდან </t>
  </si>
  <si>
    <t>გაუთვალისწინებელი ხარჯი</t>
  </si>
  <si>
    <t>Lump.sum</t>
  </si>
  <si>
    <t>კომპლექტი</t>
  </si>
  <si>
    <t>რაოდენობა</t>
  </si>
  <si>
    <t>განზომილება</t>
  </si>
  <si>
    <t>საკონტაქტო ინფორმაცია:</t>
  </si>
  <si>
    <t>პროექტის მენეჯერი: გიორგი ღარიბაშვილი +995 577 20 03 42</t>
  </si>
  <si>
    <t>No:</t>
  </si>
  <si>
    <t>DESCRIPTION</t>
  </si>
  <si>
    <t>UNIT</t>
  </si>
  <si>
    <t>PRICE GEL</t>
  </si>
  <si>
    <t>SUB TOTAL</t>
  </si>
  <si>
    <t>VAT</t>
  </si>
  <si>
    <t>GRAND TOTAL</t>
  </si>
  <si>
    <t>შენიშვნა: ყველა სამუშაო უნდა შესრულდეს შემსრულებლის ხელობით, ტექნიკით, ძირითადი და სახარჯი მასალებით</t>
  </si>
  <si>
    <t>email:</t>
  </si>
  <si>
    <t>ტნ</t>
  </si>
  <si>
    <t>განზომილების ერთეულზე</t>
  </si>
  <si>
    <t>საპროექტო მონაცემზე</t>
  </si>
  <si>
    <t>ქვაბული</t>
  </si>
  <si>
    <t>III კატ. გრუნტის დამუშავება ექსკავატორით, ჩამჩის მოც. 0.5 კუბ.მ ავტოთვითმცლელზე დატვირთვით</t>
  </si>
  <si>
    <t>მძღოლების შენობა</t>
  </si>
  <si>
    <t>გრუნტის დამუშავება ხელით K=1.22</t>
  </si>
  <si>
    <t>სამშენებლო ნაგვის ტრანსპორტირება ნაგავსაყრელზე</t>
  </si>
  <si>
    <t>ქვაბულის ძირის ტკეპნა ხელის პნევმო-სატკეპნით</t>
  </si>
  <si>
    <t>ქვაბულის უკუშევსება ბალასტით და შრეობრივი დატკეპნა</t>
  </si>
  <si>
    <t>საძირკვლის ძირის ჰიდროიზოლაცია 2 ფენა ლინაკრომით და დამუშავება ბიტუმის ხსნარით, 10 სმ-იანი ამოკეცვით</t>
  </si>
  <si>
    <t>შრომითი რესურსი</t>
  </si>
  <si>
    <t>ბეტონის ტუმბოს მომსახურება</t>
  </si>
  <si>
    <t>ბეტონი B25 K=1.02</t>
  </si>
  <si>
    <t>ტონა</t>
  </si>
  <si>
    <t>ყალიბის ფარი</t>
  </si>
  <si>
    <t>ხის მასალა</t>
  </si>
  <si>
    <t>სხვა ხარჯები</t>
  </si>
  <si>
    <t>მონოლითური წერტ.საძირკვლების მოწყობა</t>
  </si>
  <si>
    <t>საძირკვლის ქვეშ ღორღის ფენის მოწყობა დატკეპნით K=1.25  20სმ</t>
  </si>
  <si>
    <t>მონოლითური კონსტრუქციები</t>
  </si>
  <si>
    <t>მოსამზადებელი ფენის დასხმა წერტ. საძირკვლის და რკ.ბეტონის ფილის მოსაწყობად ბეტონი ბ15, H 10 სმ</t>
  </si>
  <si>
    <t>მიწისქვეშა კონსტრუქციების კედლებზე ჰიდროიზოლაციის მოწყობა  2 ფენა ლინაკრომით და დამუშავება ბიტუმის ხსნარით</t>
  </si>
  <si>
    <t>მონ. რკ.ბეტონის ფილის მოწყობა 0.00 ნიშნულზე 20სმ</t>
  </si>
  <si>
    <t>ელექტროდი</t>
  </si>
  <si>
    <t>მონ. რკ.ბეტონის სვეტების მოწყობა 0.00 ნიშნულიდან +4.10 ნიშნულამდე</t>
  </si>
  <si>
    <t>მონ. რკ.ბეტონის გადახურვის ფილები +3.10 ნიშნულზე</t>
  </si>
  <si>
    <t>გრძ.მ</t>
  </si>
  <si>
    <t>A500C კლასის არმატურა ∅12 K=1.03</t>
  </si>
  <si>
    <t>A240C კლასის არმატურა ∅8 K=1.03</t>
  </si>
  <si>
    <t>A500C კლასის არმატურა ∅20 K=1.03</t>
  </si>
  <si>
    <t>A500C კლასის არმატურა ∅18 K=1.03</t>
  </si>
  <si>
    <t>A500C კლასის არმატურა ∅12  K=1.03</t>
  </si>
  <si>
    <t>A500C კლასის არმატურა ∅18  K=1.03</t>
  </si>
  <si>
    <t>კედლები</t>
  </si>
  <si>
    <t>პემზის ბლოკი 20*20*40</t>
  </si>
  <si>
    <t>ცემენტის ხსნარი "მ50"</t>
  </si>
  <si>
    <t>ფასადი</t>
  </si>
  <si>
    <t>ფასადის კედლების და პარაპეტის მაღალხარისხოვანი ლესვა ქვიშა-ცემენტის ხსნარით ფერდულების გათვალისწინებით</t>
  </si>
  <si>
    <t>ფასადის კედლების დეკორატიული ლესვა "ესპანკა" 2მმ ფერდულების გათვალისწინებით</t>
  </si>
  <si>
    <t xml:space="preserve">ფასადის კედლების მაღალხარისხოვანი შეღებვა წყალმედეგი საღებავით ფერდულების გათვალისწინებით </t>
  </si>
  <si>
    <t xml:space="preserve">ლითონის კარის დაგრუნტვა, ანტიკოროზიული დამუშავება და შეღებვა RAL 5002 (უკონტაქტო ღებვით) </t>
  </si>
  <si>
    <t>მეტალო-პლასტმასის ფანჯარის შეღებვა RAL 5002 (უკონტაქტო ღებვით)</t>
  </si>
  <si>
    <t>ბაზალტის ფილის საცრემლეების მოწყობა ფანჯრის ღიობებში 20მმ</t>
  </si>
  <si>
    <t>ლითონის კარი 100X220</t>
  </si>
  <si>
    <t>მეტალო-პლასტმასის ფანჯარა ნაწრთობი მინაპაკეტით 150X140 (გაღება-გადმოღება)</t>
  </si>
  <si>
    <t>სახურავი</t>
  </si>
  <si>
    <t>დამათბუნებელი ფენის მოწყობა პემზით 50 მმ</t>
  </si>
  <si>
    <t>ქვიშა-ცემენტის მოჭიმვა 50 მმ</t>
  </si>
  <si>
    <t>პარაპეტზე პროფილური თუნუქის მოწყობა ფერადი თუნუქის ფურცლით 0.5მმ RAL 5002</t>
  </si>
  <si>
    <t>წყალსადენი არხის მოწყობა (კომპლექტი)</t>
  </si>
  <si>
    <t>ჭერი</t>
  </si>
  <si>
    <t>არმსტრონგის შეკიდული ჭერის მოწყობა (თეთრი, სადა ფილებით, თეთრი პროფილებით)</t>
  </si>
  <si>
    <t>მძღოლების შენობა (სამშენებლო ნაწილი)</t>
  </si>
  <si>
    <t>იატაკი</t>
  </si>
  <si>
    <t>ჰიდროსაიზოლაცის მოწყობა ორი ფენა რუბეროიდით ბითუმის მასტიკაზე, 10 სმ - იანი ამოკეცვით</t>
  </si>
  <si>
    <t>დათბუნების მოწყობა პემზის ფენილით 10 სმ</t>
  </si>
  <si>
    <t xml:space="preserve">იატაკის მოჭიმვა ქვიშა-ცემენტის ხსნარით სისქე 50 მმ </t>
  </si>
  <si>
    <t xml:space="preserve">გეოტექსტილის მოწყობა სარინელისთვის </t>
  </si>
  <si>
    <t xml:space="preserve">პოლიეთინის ფირის გაფენა სარინელისთვის </t>
  </si>
  <si>
    <t>რკ.ბეტონის სარინელის მოწყობა</t>
  </si>
  <si>
    <t xml:space="preserve">კერამოგრანიტის ფილების დაგება სისქე 10 მმ. 600X600 ცივი პლინტუსით h=10სმ </t>
  </si>
  <si>
    <t>ბეტონის ზედაპირის მოხვეწა</t>
  </si>
  <si>
    <t>კარ-ფანჯრები</t>
  </si>
  <si>
    <t>კარის დამჭერი</t>
  </si>
  <si>
    <t>შესასვლელ კარზე ავტომატური საკეტის ("შვეიცარი") მოწყობა (ხარისხიანი)</t>
  </si>
  <si>
    <t>რკ.ბეტონის სარტყელის მოწყობა პარაპეტზე და კარის ღიობში</t>
  </si>
  <si>
    <t>შიდა კედლები</t>
  </si>
  <si>
    <t xml:space="preserve">კედლებზე თაბაშირ მუყაოს ფილის გაკვრა თავის კარკასით ფერდულების დათვალისწინებით </t>
  </si>
  <si>
    <t>შიდა კედლების დაგრუნტვა, შეფითხვნა-შეღებვა ნაოთხალების გათვალისწინებით შეღებვა რეცხვადი საღებავით კაპაროლის კატალოგით,  ორი ფენა (ფერი შეთანხმდეს დამკვეთთან)</t>
  </si>
  <si>
    <t>ვენტილაცია-კონდიცირება</t>
  </si>
  <si>
    <t>სპლიტ კონდიციონერი 12-იანი (მაღალი ხარისხის, თეთრი ფერის)</t>
  </si>
  <si>
    <t>არხული ვენტილატორი 150 კუბ.მ/სთ</t>
  </si>
  <si>
    <t>გოფრე დ100</t>
  </si>
  <si>
    <t xml:space="preserve">არხული ვენტილატორის ცხაურა (შიდა და გარე მონტაჟის) 15X15 </t>
  </si>
  <si>
    <t>სხვადასხვა</t>
  </si>
  <si>
    <t>სამშენებლო სამუშაოების დამთავრების შემდეგ შენობის და მიმდებარე ტერიტორიის დასუფთავება, სამშენებლო ნარჩენების შეგროვება, გამოტანა და ნაგავსაყრელზე განთავსება</t>
  </si>
  <si>
    <t>პროექტის დამუშავება და შეთანხმება სანებართვო სამსახურთან</t>
  </si>
  <si>
    <t xml:space="preserve">პროექტის დამუშავება </t>
  </si>
  <si>
    <t>პროექტის შეთანხმება სანებართვო სამსახურთან</t>
  </si>
  <si>
    <t>არმსტრონგის ლედ სანათი 60X60</t>
  </si>
  <si>
    <t>ელექტრო სამუშაოები</t>
  </si>
  <si>
    <t>კაბელები</t>
  </si>
  <si>
    <t>სპილენძის კაბელი ორმაგი იზოლაციით NYM-2X1.5</t>
  </si>
  <si>
    <t>სპილენძის კაბელი ორმაგი იზოლაციით NYM-3X2.5</t>
  </si>
  <si>
    <t>დამიწების კონტურის მოწყობა</t>
  </si>
  <si>
    <t>მიწის სამუშაოები</t>
  </si>
  <si>
    <t>***</t>
  </si>
  <si>
    <t>სამონტაჟო მასალა</t>
  </si>
  <si>
    <t>დამხმარე ელ.სამონტაჟო მასალები</t>
  </si>
  <si>
    <t xml:space="preserve">გამანაწილებელი კოლოფი </t>
  </si>
  <si>
    <r>
      <t xml:space="preserve">A240C კლასის არმატურა </t>
    </r>
    <r>
      <rPr>
        <sz val="10"/>
        <color theme="1"/>
        <rFont val="Sylfaen"/>
        <family val="1"/>
      </rPr>
      <t>∅</t>
    </r>
    <r>
      <rPr>
        <sz val="9"/>
        <color theme="1"/>
        <rFont val="Sylfaen"/>
        <family val="1"/>
      </rPr>
      <t>8 K=1.03</t>
    </r>
  </si>
  <si>
    <t>1 კლავიშიანი ჩამრთველი, 10 A</t>
  </si>
  <si>
    <t>2 კლავიშიანი ჩამრთველი, 10 A</t>
  </si>
  <si>
    <t>კაბელების მიყვანა ყველა ელ.მომხმარებელზე (კონდიციონერი, ვენტილატორი, სანათი, ჩამრთველი, როზეტი, ელ ფარი)</t>
  </si>
  <si>
    <t>ღორღის საფუძვლის მოწყობა სარინელისთვის 10 სმ</t>
  </si>
  <si>
    <r>
      <t xml:space="preserve">A500C კლასის არმატურა </t>
    </r>
    <r>
      <rPr>
        <sz val="10"/>
        <color theme="1"/>
        <rFont val="Sylfaen"/>
        <family val="1"/>
      </rPr>
      <t>∅</t>
    </r>
    <r>
      <rPr>
        <sz val="9"/>
        <color theme="1"/>
        <rFont val="Sylfaen"/>
        <family val="1"/>
      </rPr>
      <t>12 K=1.03</t>
    </r>
  </si>
  <si>
    <t>ელ.ფარი</t>
  </si>
  <si>
    <t>სპილენძის კაბელი ორმაგი იზოლაციით NYM-3X1.5</t>
  </si>
  <si>
    <t>საშტეფსელო როზეტი დამიწების კონტაქტით, 2P+E-16A, IP65 (შიდა სამონტაჟო)</t>
  </si>
  <si>
    <t>დამიწების ელექტროდი გალვანური L=3000 მმ, d=20 მმ</t>
  </si>
  <si>
    <t>ც</t>
  </si>
  <si>
    <t>დამიწების ზოლოვანა ლენტი (სალტის ზომა 40x4 მმ)</t>
  </si>
  <si>
    <t>უნივერსალური სამაგრი</t>
  </si>
  <si>
    <t>ანტიკოროზიული ლენტი</t>
  </si>
  <si>
    <t>დამხმარე მასალები</t>
  </si>
  <si>
    <t>ლითონის ელ ფარი 400X400X150</t>
  </si>
  <si>
    <t>მინიატურული ავტომატური ამომრთველი MCB 3xC63/6kA</t>
  </si>
  <si>
    <t>მინიატურული ავტომატური ამომრთველი MCB 3xC50/6kA</t>
  </si>
  <si>
    <t>მექანიკურად ბლოკირებული გადამრთველი 63A (ორი შემავალი ხაზი და ერთი გამავალი) ელ.ფარში სამონტაჟო</t>
  </si>
  <si>
    <t>მინიატურული ავტომატური ამომრთველი C25/6kA</t>
  </si>
  <si>
    <t>მინიატურული ავტომატური ამომრთველი C16/6kA</t>
  </si>
  <si>
    <t>კონტაქტორი 3X50/6kA</t>
  </si>
  <si>
    <t>კონტაქტორი 3X16/6kA</t>
  </si>
  <si>
    <t>მინიატურული კონტაქტორი 1NO-20A კონტაქტით</t>
  </si>
  <si>
    <t>სპილენძის სავარცხელა 3P-63A</t>
  </si>
  <si>
    <t>კბ./ცალი</t>
  </si>
  <si>
    <t>მეტალო-პლასტმასის ფანჯრის რაფების მოწყობა 140X15</t>
  </si>
  <si>
    <t>ჰიდროსაიზოლაცის მოწყობა ორი ფენა რუბეროიდით ბითუმის მასტიკაზე, 20 სმ-იანი ამოკეცვით (20სმ-იანი პირგადადებით)</t>
  </si>
  <si>
    <t>III კატ. გრუნტის დამუშავება ექსკავატორით ავტოთვითმცლელზე დატვირთვით</t>
  </si>
  <si>
    <t>ასფალტობეტონის საფარის ჩაჭრა სწორხაზოვნად</t>
  </si>
  <si>
    <t>ქვაბულის უკუშევსება ბალასტით 30 სმ და დატკეპნა</t>
  </si>
  <si>
    <t>საძირკვლის ქვეშ ღორღის ფენის მოწყობა დატკეპნით K=1.25  10სმ</t>
  </si>
  <si>
    <t>მოსამზადებელი ფენის დასხმა რკ.ბეტონის ფილის მოსაწყობად ბეტონი ბ15, H 10 სმ</t>
  </si>
  <si>
    <t>რკ/ბეტონის ფილა</t>
  </si>
  <si>
    <t>საძირკვლის ძირის და კედლების ჰიდროიზოლაცია 2 ფენა ლინაკრომით, დამუშავება ბიტუმის ხსნარით</t>
  </si>
  <si>
    <t>არსებული ასფალტის საფარის დემონტაჟი</t>
  </si>
  <si>
    <t>A500C კლასის არმატურა ∅14 K=1.03</t>
  </si>
  <si>
    <t>სხვა მასალა</t>
  </si>
  <si>
    <t>არსებული ბაქნის გადახურვა (მზა პროდუქციის საწყობი)</t>
  </si>
  <si>
    <t>კედლებზე სენდვიჩ-პანელების (80 მმ)  მოწყობა h=100მმ</t>
  </si>
  <si>
    <t xml:space="preserve">სახურავზე სენდვიჩ-პანელების (100 მმ) მოწყობა </t>
  </si>
  <si>
    <t>შრომის დანახარჯები</t>
  </si>
  <si>
    <t>მანქანა-მექანიზმები</t>
  </si>
  <si>
    <t>მასალა:</t>
  </si>
  <si>
    <t>კედლის სენდვიჩ პანელი სისქით 80მმ.</t>
  </si>
  <si>
    <t>ფასონური ელემენტების,აქსესუარების მოწყობა</t>
  </si>
  <si>
    <t>შურუფი</t>
  </si>
  <si>
    <t>გერმეტიკი</t>
  </si>
  <si>
    <t>სახურავის სენდვიჩ პანელი სისქით 100მმ.</t>
  </si>
  <si>
    <t>სხვა მანქანა</t>
  </si>
  <si>
    <t>ლითონის ფურცლოვანი სისქით 10 მმ.</t>
  </si>
  <si>
    <t>ლითონის კვადრატული მილი 120X80X4 (160*160*5,200*100*4, 160*80*4)</t>
  </si>
  <si>
    <t>არმატურა A500C Ø18</t>
  </si>
  <si>
    <t>გრუნტი</t>
  </si>
  <si>
    <t>ანტიკოროზიული საღებავი</t>
  </si>
  <si>
    <t>ტნ.</t>
  </si>
  <si>
    <t>არსებული გადახურვის კედლებზე სენდვიჩ-პანელების        (80 მმ)  მოწყობა h=100მმ</t>
  </si>
  <si>
    <t>ლითონ-კონსტრუქციის მოწყობა</t>
  </si>
  <si>
    <t>ამწე-კრანი</t>
  </si>
  <si>
    <t>კალათა</t>
  </si>
  <si>
    <t>ლითონის კვადრატული მილი 120X80X4</t>
  </si>
  <si>
    <t>არსებული წყალსაწრეტის მოხსნა და მოწყობა (კომპლექტი)</t>
  </si>
  <si>
    <t>გარე განათების მოწყობა</t>
  </si>
  <si>
    <t>ელ.სადენი 3/2.5</t>
  </si>
  <si>
    <t>მეტრი</t>
  </si>
  <si>
    <t>ელ.ავტომატი 3/16</t>
  </si>
  <si>
    <t>გარე მონტაჟის გამანაწილებელი კოლოფი</t>
  </si>
  <si>
    <t>მაგნიტური ჩამრთველი 15A</t>
  </si>
  <si>
    <t>დაბინდების რელე</t>
  </si>
  <si>
    <t>გოფრე 20მმ</t>
  </si>
  <si>
    <t>დამხმარე სამონტაჟო მასალა</t>
  </si>
  <si>
    <t>გარე მონტაჟის ლედ სანათი 200W</t>
  </si>
  <si>
    <t>ბაქნის გადახურვა (მზა პროდუქციის საწყობი)</t>
  </si>
  <si>
    <t>დაზიანებული გზის საფარის აღდგენა</t>
  </si>
  <si>
    <t>დემონტაჟი/საფუძვკის მომზადება რკ.ბრტონის ფილის მოსაწყობად</t>
  </si>
  <si>
    <t>რკ.ბეტონის ფილის მოსაწყობად ღორღის ფენის გაშლა და დატკეპნა K=1.25  10სმ</t>
  </si>
  <si>
    <t>ქვაბულის უკუშევსება ბალასტით 35 სმ და დატკეპნა</t>
  </si>
  <si>
    <t>სამშენებლო ნაგვის დატვირთვა ავტოთვითმცლელზე და ტრანსპორტირება ნაგავსაყრელზე</t>
  </si>
  <si>
    <t>სამშენებლო სამუშაოების დამთავრების შემდეგ ტერიტორიის დასუფთავება, სამშენებლო ნარჩენების შეგროვება, გამოტანა და ნაგავსაყრელზე განთავსება</t>
  </si>
  <si>
    <t>სამშენებლო სამუშაოების დამთავრების შემდეგ მიმდებარე ტერიტორიის დასუფთავება, სამშენებლო ნარჩენების შეგროვება, გამოტანა და ნაგავსაყრელზე განთავსება</t>
  </si>
  <si>
    <t>არსებული ბაქნის გადახურვა (ნედლეულის საწყობი)</t>
  </si>
  <si>
    <t>კედლებზე სენდვიჩ-პანელების (80 მმ)  მოწყობა h=1.40მ.</t>
  </si>
  <si>
    <t>კედლებზე სენდვიჩ-პანელების (80 მმ)  მოწყობა h=1.00მ.</t>
  </si>
  <si>
    <t>სხვა მანქანა-მექანიზმები</t>
  </si>
  <si>
    <t>მანქანა-მექანიზმი</t>
  </si>
  <si>
    <t>ბეტონის დაჭრა და ჰერმეტიკით დამუშავება</t>
  </si>
  <si>
    <t>პოლიურეთანის ჰერმეტიკი 310მლ.</t>
  </si>
  <si>
    <t>გზის მოასფალტება და მობეტონება</t>
  </si>
  <si>
    <t>არსებული ბორდიურის დემონტაჟი (გადარჩევა, დასაწყობება დამკვეთის მიერ მითითებულ ადგილზე)</t>
  </si>
  <si>
    <t>სხვა მანქანები</t>
  </si>
  <si>
    <t>დემონტაჟის სამუშაოები</t>
  </si>
  <si>
    <t>ექსკავატორი 0.5 კუბ.მ ჩამთით</t>
  </si>
  <si>
    <t xml:space="preserve">გრუნტის დამუშავება ხელით </t>
  </si>
  <si>
    <t>ასფალტობეტონის საფარის დემონტაჟი/აფრეზა</t>
  </si>
  <si>
    <t xml:space="preserve">სამშენებლო ნაგვის დატვირთვა ავტოთვითმცლელზე და ნაგავსაყრელზე ტრანსპორტირება </t>
  </si>
  <si>
    <t>ტერიტორიის პლანირება გრეიდერით</t>
  </si>
  <si>
    <t>სატვირთო მანქანა</t>
  </si>
  <si>
    <t>ავტოგრეიდერი (საშუალო ტიპის)</t>
  </si>
  <si>
    <t>ბალასტი</t>
  </si>
  <si>
    <t>წყალი</t>
  </si>
  <si>
    <t xml:space="preserve">მოსარწყავი მანქანა </t>
  </si>
  <si>
    <t>სატკეპნი საგზაო თვითმავალი გლუვი 18ტნ.</t>
  </si>
  <si>
    <t>ქვაბულის უკუშევსება ბალასტით 30 სმ და ღორღით 20 სმ დატკეპნით</t>
  </si>
  <si>
    <t>ფრაქციული ღორღი (0-40 მმ) მარკა 600-1200</t>
  </si>
  <si>
    <t>ბულდოზერი</t>
  </si>
  <si>
    <t>მოპირკეთება</t>
  </si>
  <si>
    <t>ტერიტორიის პლანირება ხელით და მექანიზებული წესით</t>
  </si>
  <si>
    <t>ხელის პნევმო-სატკეპნი</t>
  </si>
  <si>
    <t>ბორდიურის მოსაწყობად ტრანშეას მოწყობა ხელით</t>
  </si>
  <si>
    <t>ბორდიურის მოწყობა</t>
  </si>
  <si>
    <t>ბეტონის ბორდიური 1000/150/300 (ჩამოჭრილი კუთხით)</t>
  </si>
  <si>
    <t>ქვიშა-ცემენტის ხსნარი მ.100</t>
  </si>
  <si>
    <t>ღორღი 0-5მმ ფრაქციის (ბორდიურის ქვეშ)</t>
  </si>
  <si>
    <t>სხვა მასალები</t>
  </si>
  <si>
    <t>ბეტონი "ბ-15"</t>
  </si>
  <si>
    <t>ასფალტის საფარის ქვეშ ნაყარის მოჭრა 40სმ</t>
  </si>
  <si>
    <t>მოასფალტება</t>
  </si>
  <si>
    <t>თხევადი ბითუმის მოსხმა 0.6 კგ/მ2</t>
  </si>
  <si>
    <t>მსხვილმარცვლოვანი ფოროვანი ა/ბ ცხელი ნარევი II მარკა, h=7 სმ</t>
  </si>
  <si>
    <t>თხევადი ბითუმის მოსხმა 0.3 კგ/მ2</t>
  </si>
  <si>
    <t>წვრილმარცვლოვანი ფოროვანი ა/ბ ცხელი ნარევი მარკა II, ტიპი "ბ" h=4 სმ</t>
  </si>
  <si>
    <t>გეოტექსტილი</t>
  </si>
  <si>
    <t>რკ.ბეტონის ფილა 25სმ</t>
  </si>
  <si>
    <t>დამკვეთი:  სს "ლომისი"</t>
  </si>
  <si>
    <t>ს/ნ: 223236013</t>
  </si>
  <si>
    <t>supervisor.constructionteam@gmail.com</t>
  </si>
  <si>
    <t>რკ/ბეტონის ფილა #1</t>
  </si>
  <si>
    <t>რკ/ბეტონის ფილა #2</t>
  </si>
  <si>
    <t>გადახურვა (ნედლეულის საწყობი)</t>
  </si>
  <si>
    <t>განზომი-
ლების ერთ.</t>
  </si>
  <si>
    <t xml:space="preserve">რაოდენობა </t>
  </si>
  <si>
    <t>შრომის დანახარჯები:</t>
  </si>
  <si>
    <t>ამწე-კალათა</t>
  </si>
  <si>
    <t>დღე</t>
  </si>
  <si>
    <t xml:space="preserve">სხვა მანქანა </t>
  </si>
  <si>
    <t>სახურავის მოწყობა ფერადი პროფილირებული თუნუქით</t>
  </si>
  <si>
    <t>პროფილირებული ზოლოვანი თუნუქის ფურცლები სისქით 0.5მმ (შეღებილი RAL7016)</t>
  </si>
  <si>
    <t xml:space="preserve">სახურავის შუბლის მოწყობა თუნუქის ფურცლებით სისქით 0.5მმ (შეღებილი RAL7016) </t>
  </si>
  <si>
    <t>საჭრელი დისკი</t>
  </si>
  <si>
    <t>სჭვალი ქანჩის თავით</t>
  </si>
  <si>
    <t>ტვირთის გადასატანი რემნები</t>
  </si>
  <si>
    <t>კომპ.</t>
  </si>
  <si>
    <t>სახურავზე ხის კარკასის მოწყობა</t>
  </si>
  <si>
    <t xml:space="preserve">ელექტრო ხერხი </t>
  </si>
  <si>
    <t xml:space="preserve">სჭვალი </t>
  </si>
  <si>
    <t>ტერიტორიის დასუფთავება</t>
  </si>
  <si>
    <t>სამშენებლო სამუშაოების დამთავრების შემდეგ ტერიტორიის დასუფთავება, სამშენებლო ნარჩენების შეგროვება ხელით და ნაგავსაყრელზე ტრანსპორტირება</t>
  </si>
  <si>
    <t>თუნუქის აქსესუარების (კეხი, კუთხე) მოწყობა 0.5მმ (შეღებილი RAL7016)</t>
  </si>
  <si>
    <t>ხის შეფიცვრა 100X30 მმ</t>
  </si>
  <si>
    <t>მავთული</t>
  </si>
  <si>
    <t>ხის კოჭების მოწყობაბ 10X15სმ</t>
  </si>
  <si>
    <t>ხის კარკასის ანტისეპტირება (ყველა გვერდის დამუშავება)</t>
  </si>
  <si>
    <t xml:space="preserve">შემკრავი ღეროვანი მავთული </t>
  </si>
  <si>
    <t>არსებული ამორტიზირებული სენდვიჩ-პანელის სახურავზე ხის კარკასის მოწყობა და თუნუქით გადახურვა
 (ნედლეულის საწყობი)</t>
  </si>
  <si>
    <t>არსებულ ნიშნულზე რკ.ბეტონის ფილის მოწყობა 14.60X6.0მ.</t>
  </si>
  <si>
    <t>არსებულ ნიშნულზე რკ.ბეტონის ფილის მოწყობა 14.60X1.20მ.</t>
  </si>
  <si>
    <t>არსებულ ნიშნულზე რკ.ბეტონის ფილის მოწყობა ზედაპირის დამუშავებით 6.5X3.25მ.</t>
  </si>
  <si>
    <t>არსებულ ნიშნულზე რკ.ბეტონის ფილის მოწყობა 7.20X3.75მ.</t>
  </si>
  <si>
    <t>არსებულ ნიშნულზე რკ.ბეტონის ფილის მოწყობა 15.50X1.90მ.</t>
  </si>
  <si>
    <t>პარაპეტის მოწყობა ბლოკით 25 მ2</t>
  </si>
  <si>
    <t>ფასადის კედლების წყობა მსუბუქი საკედლე ბლოკით 75 მ2</t>
  </si>
  <si>
    <t>პროექტის დასახელება: ქარხნის ტერიტორიაზე სამშენებლო სამუშაოების შესრულება</t>
  </si>
  <si>
    <r>
      <t xml:space="preserve">სამუშაოების დასრულების შემდეგ </t>
    </r>
    <r>
      <rPr>
        <b/>
        <sz val="9"/>
        <color theme="1"/>
        <rFont val="Cambria"/>
        <family val="1"/>
        <scheme val="major"/>
      </rPr>
      <t>As built</t>
    </r>
    <r>
      <rPr>
        <sz val="9"/>
        <color theme="1"/>
        <rFont val="Cambria"/>
        <family val="1"/>
        <scheme val="major"/>
      </rPr>
      <t xml:space="preserve"> ნახაზების მომზადება </t>
    </r>
  </si>
  <si>
    <t>სახურავის შეკეთება (მზა პროდუქციის საწყობი)</t>
  </si>
  <si>
    <t>სახურავიდან არსებული მასალების მოხსნა</t>
  </si>
  <si>
    <t>არსებული წყალსაწრეტი მილის მოხსნა/დასაწყობება</t>
  </si>
  <si>
    <t xml:space="preserve">სახურავზე არსებული წყალსადენი არხის გასუფთავება მოპირკეთებისგან და ნაგვისგან </t>
  </si>
  <si>
    <t>არსებული თუნუქის კეხის მოხსნა/დროებით დასაწყობება</t>
  </si>
  <si>
    <t>არსებული სენდვიჩ-პანელის მოხსნა/დროებით დასაწყობება</t>
  </si>
  <si>
    <t>სენდვჩ-პანელის ფერდულების გაწმენდა/დამუშავება</t>
  </si>
  <si>
    <t>არსებულ წყალსადენ არხში ლითონ-კონსტრუქციის მოწყობა</t>
  </si>
  <si>
    <t>წყალსადენი არხის სამონტაჟო სამუშაოები</t>
  </si>
  <si>
    <t>სჭვალი (ქანჩის თავით)</t>
  </si>
  <si>
    <t>თუნუქის ფურცელი 0.5მმ (შეღებილი, მუქი ნაცრისფერი სათუნუქე საღებავით)</t>
  </si>
  <si>
    <t>პოლიურეთანის ჰერმეტიკი</t>
  </si>
  <si>
    <t>წყალსადენი არხის მოწყობა თუნუქის ფურცლით (გადაბმის ადგილების დამუშავება პოლიურეთანის ჰერმეტიკით)</t>
  </si>
  <si>
    <t>მილკვადრატი 30X40X0.3, 40X40X0.3, 40X60X0.3</t>
  </si>
  <si>
    <t xml:space="preserve">წყალსადენი არხის მოწყობა 0.5მმ (კომპლექტი, 1სმ-იანი იზოლაციით) </t>
  </si>
  <si>
    <t>წყალსადენი არხის მოწყობა თუნუქით 0.5მმ დ=150  1 სმ-იანი იზოლაციით</t>
  </si>
  <si>
    <t xml:space="preserve">წყალსაწრეტის მოწყობა თუნუქით 0.5მმ d=150, h=6მ.  RAL701(კომპლექტი - ძაბრი, მილი, გადამყვანი, სამაგრი) </t>
  </si>
  <si>
    <t>წყალსაწრეტის მოწყობა ფერადი თუნუქით 0.5მმ d=150, h=5მ. (კომპლექტი  - ძაბრი, მილი, გადამყვანი, სამაგრი)</t>
  </si>
  <si>
    <t>წყალსაწრეტის მოწყობა თუნუქით (0.5მმ) d=150, h=5მ. (კომპლექტი - ძაბრი, მილი, გადამყვანი, სამაგრი)</t>
  </si>
  <si>
    <t>წყალსადენი არხის მოწყობა (კომპლექტი, 1 სმ-იანი იზოლაციით) 0.5მმ  d=150</t>
  </si>
  <si>
    <t>ლიტრი</t>
  </si>
  <si>
    <t>რუბეროიდი, 2 ფენა</t>
  </si>
  <si>
    <t>თუნუქის წყალსაწრეტი (0.5მმ) d=150, h=6მ. (კომპლექტი- ძაბრი, მილი, გადამყვანი, სამაგრი)</t>
  </si>
  <si>
    <t xml:space="preserve">თუნუქის კეხის ქვეშ ჰიდროიზოლაციის მოწყობა რუბეროიდით </t>
  </si>
  <si>
    <t>ახალი სენვიჩ პანელის ფილები</t>
  </si>
  <si>
    <t>კეხის აღდგენა მოხსნილი და ახალი თუნუქის პროფილით</t>
  </si>
  <si>
    <t>სახურავის აღდგენა მოხსნილი და ახალი სენდვიჩ-პანელით</t>
  </si>
  <si>
    <t>მოხსნილი მოპირკეთების აღდგენა მოხსნილი და ახალი მასალებით</t>
  </si>
  <si>
    <t>თუნუქის აქსესუარები (არსებულის შესაბამისი)</t>
  </si>
  <si>
    <t>კეხების და აქსესუარების მოწყობა სახურავზე</t>
  </si>
  <si>
    <t>წყალსაწრეტის მოწყობა თუნუქით (0.5მმ) d=150, h=6მ. (კომპლექტი- ძაბრი, მილი, გადამყვანი, სამაგრი)</t>
  </si>
  <si>
    <t>შენობის პერიმეტრზე სენდვიჩ-პანელის ფერდულების გაწმენდა/დამუშავება</t>
  </si>
  <si>
    <t>სახურავზე დაზიანებული ზოლის შეკეთება 2 ფენა რუბეროიდით</t>
  </si>
  <si>
    <t>შენობის პერიმეტრზე სენდვიჩ-პანელის აქსესუარების მონტაჟი</t>
  </si>
  <si>
    <t>ფერადი თუნუქის აქსესუარები 0.5მმ</t>
  </si>
  <si>
    <t>დასუფთავება</t>
  </si>
  <si>
    <t>ბეტონი B15 K=1.02</t>
  </si>
  <si>
    <t>PVC გოფრირებული მილი ∅25</t>
  </si>
  <si>
    <t>A240C კლასის არმატურა ∅12 K=1.03</t>
  </si>
  <si>
    <t>A500C კლასის არმატურა ∅8 K=1.03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</si>
</sst>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[$₾-437]_-;\-* #,##0.00\ [$₾-437]_-;_-* &quot;-&quot;??\ [$₾-437]_-;_-@_-"/>
    <numFmt numFmtId="165" formatCode="_-* #,##0.00\ _₾_-;\-* #,##0.00\ _₾_-;_-* &quot;-&quot;??\ _₾_-;_-@_-"/>
    <numFmt numFmtId="166" formatCode="_([$$-409]* #,##0.00_);_([$$-409]* \(#,##0.00\);_([$$-409]* &quot;-&quot;??_);_(@_)"/>
    <numFmt numFmtId="167" formatCode="[$-409]d\-mmm\-yy;@"/>
    <numFmt numFmtId="168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9"/>
      <name val="Cambria"/>
      <family val="2"/>
      <scheme val="major"/>
    </font>
    <font>
      <b/>
      <sz val="9"/>
      <color theme="1"/>
      <name val="Cambria"/>
      <family val="2"/>
      <scheme val="major"/>
    </font>
    <font>
      <sz val="9"/>
      <color theme="1"/>
      <name val="Cambria"/>
      <family val="2"/>
      <scheme val="major"/>
    </font>
    <font>
      <sz val="10"/>
      <name val="Arial"/>
      <family val="2"/>
      <charset val="162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mbria"/>
      <family val="2"/>
      <scheme val="major"/>
    </font>
    <font>
      <b/>
      <sz val="9"/>
      <color rgb="FF0070C0"/>
      <name val="Cambria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3" fillId="0" borderId="0">
      <protection locked="0"/>
    </xf>
    <xf numFmtId="0" fontId="7" fillId="0" borderId="0"/>
    <xf numFmtId="9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3" fillId="0" borderId="0"/>
    <xf numFmtId="0" fontId="17" fillId="0" borderId="0" applyNumberFormat="0" applyFill="0" applyBorder="0" applyAlignment="0" applyProtection="0"/>
    <xf numFmtId="0" fontId="20" fillId="0" borderId="0"/>
    <xf numFmtId="166" fontId="2" fillId="0" borderId="0"/>
    <xf numFmtId="0" fontId="3" fillId="0" borderId="0"/>
  </cellStyleXfs>
  <cellXfs count="270">
    <xf numFmtId="0" fontId="0" fillId="0" borderId="0" xfId="0"/>
    <xf numFmtId="0" fontId="4" fillId="0" borderId="11" xfId="2" applyFont="1" applyBorder="1" applyAlignment="1" applyProtection="1">
      <alignment horizontal="center" vertical="center" wrapText="1"/>
    </xf>
    <xf numFmtId="0" fontId="6" fillId="0" borderId="0" xfId="0" applyFont="1" applyProtection="1"/>
    <xf numFmtId="2" fontId="6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4" fillId="4" borderId="10" xfId="2" applyFont="1" applyFill="1" applyBorder="1" applyAlignment="1" applyProtection="1">
      <alignment horizontal="center" vertical="center" wrapText="1"/>
    </xf>
    <xf numFmtId="4" fontId="4" fillId="4" borderId="10" xfId="0" applyNumberFormat="1" applyFont="1" applyFill="1" applyBorder="1" applyAlignment="1" applyProtection="1">
      <alignment horizontal="center" vertical="center" wrapText="1"/>
    </xf>
    <xf numFmtId="4" fontId="4" fillId="4" borderId="5" xfId="0" applyNumberFormat="1" applyFont="1" applyFill="1" applyBorder="1" applyAlignment="1" applyProtection="1">
      <alignment horizontal="center" vertical="center" wrapText="1"/>
    </xf>
    <xf numFmtId="0" fontId="4" fillId="4" borderId="4" xfId="2" applyFont="1" applyFill="1" applyBorder="1" applyAlignment="1" applyProtection="1">
      <alignment horizontal="center" vertical="center" wrapText="1"/>
    </xf>
    <xf numFmtId="3" fontId="4" fillId="4" borderId="5" xfId="2" applyNumberFormat="1" applyFont="1" applyFill="1" applyBorder="1" applyAlignment="1" applyProtection="1">
      <alignment horizontal="center" vertical="center" wrapText="1"/>
    </xf>
    <xf numFmtId="0" fontId="4" fillId="4" borderId="5" xfId="2" applyFont="1" applyFill="1" applyBorder="1" applyAlignment="1" applyProtection="1">
      <alignment horizontal="center" vertical="center" wrapText="1"/>
    </xf>
    <xf numFmtId="3" fontId="4" fillId="4" borderId="9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4" borderId="7" xfId="2" applyFont="1" applyFill="1" applyBorder="1" applyAlignment="1" applyProtection="1">
      <alignment horizontal="center" vertical="center" wrapText="1"/>
    </xf>
    <xf numFmtId="3" fontId="4" fillId="4" borderId="8" xfId="2" applyNumberFormat="1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/>
    </xf>
    <xf numFmtId="0" fontId="8" fillId="8" borderId="25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4" fontId="5" fillId="0" borderId="5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Protection="1"/>
    <xf numFmtId="0" fontId="5" fillId="2" borderId="4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horizontal="center" vertical="center" wrapText="1"/>
    </xf>
    <xf numFmtId="2" fontId="6" fillId="0" borderId="5" xfId="0" applyNumberFormat="1" applyFont="1" applyBorder="1" applyAlignment="1" applyProtection="1">
      <alignment horizontal="center" vertical="center"/>
    </xf>
    <xf numFmtId="43" fontId="6" fillId="0" borderId="5" xfId="1" applyFont="1" applyBorder="1" applyProtection="1"/>
    <xf numFmtId="43" fontId="6" fillId="0" borderId="5" xfId="1" applyFont="1" applyFill="1" applyBorder="1" applyProtection="1"/>
    <xf numFmtId="164" fontId="6" fillId="0" borderId="6" xfId="1" applyNumberFormat="1" applyFont="1" applyBorder="1" applyProtection="1"/>
    <xf numFmtId="0" fontId="10" fillId="0" borderId="5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horizontal="center" vertical="center" wrapText="1"/>
    </xf>
    <xf numFmtId="43" fontId="6" fillId="0" borderId="5" xfId="1" applyFont="1" applyBorder="1" applyAlignment="1" applyProtection="1"/>
    <xf numFmtId="0" fontId="22" fillId="0" borderId="4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vertical="center" wrapText="1"/>
    </xf>
    <xf numFmtId="0" fontId="22" fillId="0" borderId="5" xfId="0" applyFont="1" applyBorder="1" applyAlignment="1" applyProtection="1">
      <alignment horizontal="center" vertical="center" wrapText="1"/>
    </xf>
    <xf numFmtId="2" fontId="22" fillId="0" borderId="5" xfId="0" applyNumberFormat="1" applyFont="1" applyBorder="1" applyAlignment="1" applyProtection="1">
      <alignment horizontal="center" vertical="center"/>
    </xf>
    <xf numFmtId="43" fontId="22" fillId="0" borderId="5" xfId="1" applyFont="1" applyBorder="1" applyProtection="1"/>
    <xf numFmtId="43" fontId="22" fillId="0" borderId="5" xfId="1" applyFont="1" applyFill="1" applyBorder="1" applyProtection="1"/>
    <xf numFmtId="0" fontId="22" fillId="0" borderId="0" xfId="0" applyFont="1" applyProtection="1"/>
    <xf numFmtId="43" fontId="22" fillId="0" borderId="0" xfId="0" applyNumberFormat="1" applyFont="1" applyProtection="1"/>
    <xf numFmtId="0" fontId="23" fillId="0" borderId="4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4" fontId="5" fillId="2" borderId="5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2" fontId="6" fillId="0" borderId="5" xfId="0" applyNumberFormat="1" applyFont="1" applyFill="1" applyBorder="1" applyAlignment="1" applyProtection="1">
      <alignment horizontal="center" vertical="center"/>
    </xf>
    <xf numFmtId="168" fontId="6" fillId="0" borderId="5" xfId="0" applyNumberFormat="1" applyFont="1" applyBorder="1" applyAlignment="1" applyProtection="1">
      <alignment horizontal="center" vertical="center"/>
    </xf>
    <xf numFmtId="43" fontId="6" fillId="2" borderId="6" xfId="0" applyNumberFormat="1" applyFont="1" applyFill="1" applyBorder="1" applyProtection="1"/>
    <xf numFmtId="2" fontId="23" fillId="0" borderId="5" xfId="0" applyNumberFormat="1" applyFont="1" applyBorder="1" applyAlignment="1" applyProtection="1">
      <alignment horizontal="center" vertical="center"/>
    </xf>
    <xf numFmtId="43" fontId="6" fillId="0" borderId="6" xfId="0" applyNumberFormat="1" applyFont="1" applyFill="1" applyBorder="1" applyProtection="1"/>
    <xf numFmtId="0" fontId="6" fillId="0" borderId="0" xfId="0" applyFont="1" applyFill="1" applyProtection="1"/>
    <xf numFmtId="0" fontId="11" fillId="3" borderId="5" xfId="0" applyFont="1" applyFill="1" applyBorder="1" applyAlignment="1" applyProtection="1">
      <alignment horizontal="left" vertical="top" wrapText="1"/>
    </xf>
    <xf numFmtId="2" fontId="22" fillId="0" borderId="4" xfId="0" applyNumberFormat="1" applyFont="1" applyBorder="1" applyAlignment="1" applyProtection="1">
      <alignment horizontal="center" vertical="center"/>
    </xf>
    <xf numFmtId="2" fontId="22" fillId="0" borderId="5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43" fontId="6" fillId="2" borderId="18" xfId="0" applyNumberFormat="1" applyFont="1" applyFill="1" applyBorder="1" applyProtection="1"/>
    <xf numFmtId="0" fontId="11" fillId="3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vertical="center" wrapText="1"/>
    </xf>
    <xf numFmtId="2" fontId="11" fillId="0" borderId="5" xfId="0" applyNumberFormat="1" applyFont="1" applyFill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vertical="center" wrapText="1"/>
    </xf>
    <xf numFmtId="9" fontId="4" fillId="2" borderId="5" xfId="0" applyNumberFormat="1" applyFont="1" applyFill="1" applyBorder="1" applyAlignment="1" applyProtection="1">
      <alignment horizontal="center" vertical="center" wrapText="1"/>
    </xf>
    <xf numFmtId="4" fontId="4" fillId="2" borderId="5" xfId="0" applyNumberFormat="1" applyFont="1" applyFill="1" applyBorder="1" applyAlignment="1" applyProtection="1">
      <alignment horizontal="center" vertical="center" wrapText="1"/>
    </xf>
    <xf numFmtId="4" fontId="4" fillId="2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10" fontId="4" fillId="0" borderId="5" xfId="0" applyNumberFormat="1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 wrapText="1"/>
    </xf>
    <xf numFmtId="10" fontId="4" fillId="2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 wrapText="1"/>
    </xf>
    <xf numFmtId="4" fontId="5" fillId="2" borderId="20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Protection="1"/>
    <xf numFmtId="4" fontId="6" fillId="0" borderId="0" xfId="0" applyNumberFormat="1" applyFont="1" applyAlignment="1" applyProtection="1">
      <alignment horizontal="center" vertical="center"/>
    </xf>
    <xf numFmtId="43" fontId="6" fillId="8" borderId="5" xfId="1" applyFont="1" applyFill="1" applyBorder="1" applyProtection="1">
      <protection locked="0"/>
    </xf>
    <xf numFmtId="43" fontId="22" fillId="8" borderId="5" xfId="1" applyFont="1" applyFill="1" applyBorder="1" applyProtection="1">
      <protection locked="0"/>
    </xf>
    <xf numFmtId="10" fontId="4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22" xfId="0" applyFont="1" applyFill="1" applyBorder="1" applyAlignment="1" applyProtection="1">
      <alignment horizontal="center" vertical="center"/>
    </xf>
    <xf numFmtId="43" fontId="6" fillId="0" borderId="0" xfId="0" applyNumberFormat="1" applyFont="1" applyFill="1" applyProtection="1"/>
    <xf numFmtId="0" fontId="6" fillId="0" borderId="22" xfId="0" applyFont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/>
    </xf>
    <xf numFmtId="0" fontId="8" fillId="7" borderId="5" xfId="0" applyFont="1" applyFill="1" applyBorder="1" applyAlignment="1" applyProtection="1">
      <alignment vertical="center" wrapText="1"/>
    </xf>
    <xf numFmtId="0" fontId="23" fillId="7" borderId="5" xfId="0" applyFont="1" applyFill="1" applyBorder="1" applyAlignment="1" applyProtection="1">
      <alignment horizontal="center" vertical="center" wrapText="1"/>
    </xf>
    <xf numFmtId="43" fontId="6" fillId="7" borderId="5" xfId="1" applyFont="1" applyFill="1" applyBorder="1" applyAlignment="1" applyProtection="1"/>
    <xf numFmtId="2" fontId="8" fillId="7" borderId="5" xfId="0" applyNumberFormat="1" applyFont="1" applyFill="1" applyBorder="1" applyAlignment="1" applyProtection="1">
      <alignment horizontal="center" vertical="center"/>
    </xf>
    <xf numFmtId="43" fontId="6" fillId="7" borderId="5" xfId="1" applyFont="1" applyFill="1" applyBorder="1" applyProtection="1"/>
    <xf numFmtId="43" fontId="6" fillId="7" borderId="6" xfId="1" applyFont="1" applyFill="1" applyBorder="1" applyProtection="1"/>
    <xf numFmtId="0" fontId="22" fillId="0" borderId="4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vertical="center" wrapText="1"/>
    </xf>
    <xf numFmtId="0" fontId="22" fillId="0" borderId="5" xfId="0" applyFont="1" applyFill="1" applyBorder="1" applyAlignment="1" applyProtection="1">
      <alignment horizontal="center" vertical="center" wrapText="1"/>
    </xf>
    <xf numFmtId="0" fontId="22" fillId="0" borderId="0" xfId="0" applyFont="1" applyFill="1" applyProtection="1"/>
    <xf numFmtId="43" fontId="22" fillId="0" borderId="0" xfId="0" applyNumberFormat="1" applyFont="1" applyFill="1" applyProtection="1"/>
    <xf numFmtId="2" fontId="8" fillId="0" borderId="5" xfId="0" applyNumberFormat="1" applyFont="1" applyBorder="1" applyAlignment="1" applyProtection="1">
      <alignment horizontal="center" vertical="center"/>
    </xf>
    <xf numFmtId="2" fontId="6" fillId="0" borderId="4" xfId="0" applyNumberFormat="1" applyFont="1" applyBorder="1" applyAlignment="1" applyProtection="1">
      <alignment horizontal="center" vertical="center"/>
    </xf>
    <xf numFmtId="0" fontId="4" fillId="4" borderId="29" xfId="2" applyFont="1" applyFill="1" applyBorder="1" applyAlignment="1" applyProtection="1">
      <alignment horizontal="center" vertical="center" wrapText="1"/>
    </xf>
    <xf numFmtId="2" fontId="27" fillId="2" borderId="5" xfId="0" applyNumberFormat="1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2" fontId="11" fillId="3" borderId="5" xfId="0" applyNumberFormat="1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vertical="center" wrapText="1"/>
    </xf>
    <xf numFmtId="2" fontId="11" fillId="0" borderId="5" xfId="0" applyNumberFormat="1" applyFont="1" applyFill="1" applyBorder="1" applyAlignment="1" applyProtection="1">
      <alignment horizontal="center" vertical="center"/>
    </xf>
    <xf numFmtId="4" fontId="18" fillId="2" borderId="5" xfId="0" applyNumberFormat="1" applyFont="1" applyFill="1" applyBorder="1" applyAlignment="1" applyProtection="1">
      <alignment horizontal="center" vertical="center" wrapText="1"/>
    </xf>
    <xf numFmtId="164" fontId="5" fillId="2" borderId="6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center" vertical="center" wrapText="1"/>
    </xf>
    <xf numFmtId="2" fontId="26" fillId="0" borderId="5" xfId="0" applyNumberFormat="1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left" vertical="center" wrapText="1"/>
    </xf>
    <xf numFmtId="2" fontId="2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Protection="1"/>
    <xf numFmtId="2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2" fontId="16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left" vertical="center" wrapText="1"/>
    </xf>
    <xf numFmtId="0" fontId="20" fillId="3" borderId="5" xfId="0" applyFont="1" applyFill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left" vertical="center" wrapText="1"/>
    </xf>
    <xf numFmtId="9" fontId="26" fillId="0" borderId="5" xfId="4" applyFont="1" applyBorder="1" applyAlignment="1" applyProtection="1">
      <alignment horizontal="center" vertical="center" wrapText="1"/>
    </xf>
    <xf numFmtId="164" fontId="6" fillId="2" borderId="6" xfId="0" applyNumberFormat="1" applyFont="1" applyFill="1" applyBorder="1" applyProtection="1"/>
    <xf numFmtId="0" fontId="10" fillId="0" borderId="5" xfId="0" applyFont="1" applyFill="1" applyBorder="1" applyAlignment="1" applyProtection="1">
      <alignment vertical="center" wrapText="1"/>
    </xf>
    <xf numFmtId="164" fontId="6" fillId="2" borderId="18" xfId="0" applyNumberFormat="1" applyFont="1" applyFill="1" applyBorder="1" applyProtection="1"/>
    <xf numFmtId="3" fontId="4" fillId="4" borderId="6" xfId="2" applyNumberFormat="1" applyFont="1" applyFill="1" applyBorder="1" applyAlignment="1" applyProtection="1">
      <alignment horizontal="center" vertical="center" wrapText="1"/>
    </xf>
    <xf numFmtId="2" fontId="9" fillId="0" borderId="5" xfId="0" applyNumberFormat="1" applyFont="1" applyBorder="1" applyAlignment="1" applyProtection="1">
      <alignment horizontal="center" vertical="center"/>
    </xf>
    <xf numFmtId="164" fontId="6" fillId="7" borderId="6" xfId="1" applyNumberFormat="1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43" fontId="5" fillId="0" borderId="5" xfId="1" applyFont="1" applyBorder="1" applyProtection="1"/>
    <xf numFmtId="43" fontId="5" fillId="0" borderId="5" xfId="1" applyFont="1" applyFill="1" applyBorder="1" applyProtection="1"/>
    <xf numFmtId="164" fontId="8" fillId="0" borderId="6" xfId="1" applyNumberFormat="1" applyFont="1" applyBorder="1" applyProtection="1"/>
    <xf numFmtId="43" fontId="8" fillId="0" borderId="0" xfId="0" applyNumberFormat="1" applyFont="1" applyFill="1" applyProtection="1"/>
    <xf numFmtId="0" fontId="8" fillId="0" borderId="0" xfId="0" applyFont="1" applyFill="1" applyProtection="1"/>
    <xf numFmtId="0" fontId="9" fillId="0" borderId="5" xfId="0" applyFont="1" applyFill="1" applyBorder="1" applyAlignment="1" applyProtection="1">
      <alignment horizontal="center" vertical="center"/>
    </xf>
    <xf numFmtId="43" fontId="9" fillId="0" borderId="5" xfId="1" applyFont="1" applyBorder="1" applyProtection="1"/>
    <xf numFmtId="43" fontId="9" fillId="0" borderId="5" xfId="1" applyFont="1" applyFill="1" applyBorder="1" applyProtection="1"/>
    <xf numFmtId="164" fontId="9" fillId="0" borderId="6" xfId="1" applyNumberFormat="1" applyFont="1" applyBorder="1" applyProtection="1"/>
    <xf numFmtId="43" fontId="9" fillId="0" borderId="0" xfId="0" applyNumberFormat="1" applyFont="1" applyFill="1" applyProtection="1"/>
    <xf numFmtId="0" fontId="9" fillId="0" borderId="0" xfId="0" applyFont="1" applyFill="1" applyProtection="1"/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vertical="center" wrapText="1"/>
    </xf>
    <xf numFmtId="43" fontId="8" fillId="0" borderId="0" xfId="0" applyNumberFormat="1" applyFont="1" applyProtection="1"/>
    <xf numFmtId="0" fontId="8" fillId="0" borderId="0" xfId="0" applyFont="1" applyProtection="1"/>
    <xf numFmtId="0" fontId="9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</xf>
    <xf numFmtId="2" fontId="5" fillId="0" borderId="5" xfId="0" applyNumberFormat="1" applyFont="1" applyBorder="1" applyAlignment="1" applyProtection="1">
      <alignment horizontal="center" vertical="center"/>
    </xf>
    <xf numFmtId="164" fontId="5" fillId="0" borderId="6" xfId="1" applyNumberFormat="1" applyFont="1" applyBorder="1" applyProtection="1"/>
    <xf numFmtId="0" fontId="5" fillId="0" borderId="0" xfId="0" applyFont="1" applyProtection="1"/>
    <xf numFmtId="43" fontId="5" fillId="0" borderId="0" xfId="0" applyNumberFormat="1" applyFont="1" applyProtection="1"/>
    <xf numFmtId="0" fontId="6" fillId="0" borderId="5" xfId="0" applyFont="1" applyFill="1" applyBorder="1" applyAlignment="1" applyProtection="1">
      <alignment horizontal="center" vertical="center" wrapText="1"/>
    </xf>
    <xf numFmtId="2" fontId="9" fillId="0" borderId="4" xfId="0" applyNumberFormat="1" applyFont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43" fontId="6" fillId="0" borderId="5" xfId="1" applyFont="1" applyFill="1" applyBorder="1" applyAlignment="1" applyProtection="1"/>
    <xf numFmtId="0" fontId="23" fillId="0" borderId="4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vertical="center" wrapText="1"/>
    </xf>
    <xf numFmtId="2" fontId="23" fillId="0" borderId="5" xfId="0" applyNumberFormat="1" applyFont="1" applyFill="1" applyBorder="1" applyAlignment="1" applyProtection="1">
      <alignment horizontal="center" vertical="center"/>
    </xf>
    <xf numFmtId="43" fontId="6" fillId="8" borderId="5" xfId="1" applyFont="1" applyFill="1" applyBorder="1" applyAlignment="1" applyProtection="1">
      <alignment horizontal="center" vertical="center"/>
      <protection locked="0"/>
    </xf>
    <xf numFmtId="43" fontId="5" fillId="8" borderId="5" xfId="1" applyFont="1" applyFill="1" applyBorder="1" applyProtection="1">
      <protection locked="0"/>
    </xf>
    <xf numFmtId="43" fontId="9" fillId="8" borderId="5" xfId="1" applyFont="1" applyFill="1" applyBorder="1" applyProtection="1">
      <protection locked="0"/>
    </xf>
    <xf numFmtId="0" fontId="28" fillId="0" borderId="12" xfId="3" applyFont="1" applyBorder="1" applyAlignment="1" applyProtection="1">
      <alignment horizontal="center" vertical="center"/>
    </xf>
    <xf numFmtId="0" fontId="28" fillId="0" borderId="13" xfId="3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4" fontId="28" fillId="0" borderId="13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4" fontId="28" fillId="0" borderId="0" xfId="0" applyNumberFormat="1" applyFont="1" applyBorder="1" applyAlignment="1" applyProtection="1">
      <alignment horizontal="center" vertical="center"/>
    </xf>
    <xf numFmtId="4" fontId="6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1" fontId="6" fillId="0" borderId="5" xfId="0" applyNumberFormat="1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43" fontId="6" fillId="0" borderId="6" xfId="1" applyFont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/>
    <xf numFmtId="4" fontId="9" fillId="0" borderId="5" xfId="0" applyNumberFormat="1" applyFont="1" applyFill="1" applyBorder="1" applyAlignment="1" applyProtection="1">
      <alignment horizontal="center" vertical="center"/>
    </xf>
    <xf numFmtId="0" fontId="4" fillId="4" borderId="5" xfId="2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4" xfId="2" applyFont="1" applyFill="1" applyBorder="1" applyAlignment="1" applyProtection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5" xfId="2" applyFont="1" applyFill="1" applyBorder="1" applyAlignment="1" applyProtection="1">
      <alignment horizontal="center" vertical="center" wrapText="1"/>
    </xf>
    <xf numFmtId="4" fontId="4" fillId="4" borderId="2" xfId="0" applyNumberFormat="1" applyFont="1" applyFill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0" fontId="22" fillId="0" borderId="24" xfId="0" applyFont="1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center" vertical="center"/>
    </xf>
    <xf numFmtId="4" fontId="4" fillId="4" borderId="6" xfId="0" applyNumberFormat="1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 wrapText="1"/>
    </xf>
    <xf numFmtId="4" fontId="5" fillId="4" borderId="2" xfId="0" applyNumberFormat="1" applyFont="1" applyFill="1" applyBorder="1" applyAlignment="1" applyProtection="1">
      <alignment horizontal="center" vertical="center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10" fillId="0" borderId="0" xfId="0" applyFont="1" applyProtection="1"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43" fontId="12" fillId="6" borderId="30" xfId="0" applyNumberFormat="1" applyFont="1" applyFill="1" applyBorder="1" applyAlignment="1" applyProtection="1">
      <alignment horizontal="center" vertical="center" wrapText="1"/>
      <protection locked="0"/>
    </xf>
    <xf numFmtId="43" fontId="12" fillId="6" borderId="31" xfId="0" applyNumberFormat="1" applyFont="1" applyFill="1" applyBorder="1" applyAlignment="1" applyProtection="1">
      <alignment horizontal="center" vertical="center" wrapText="1"/>
      <protection locked="0"/>
    </xf>
    <xf numFmtId="43" fontId="12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6" applyFont="1" applyAlignment="1" applyProtection="1">
      <alignment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left" vertical="center"/>
      <protection locked="0"/>
    </xf>
    <xf numFmtId="0" fontId="17" fillId="0" borderId="0" xfId="7" applyAlignment="1" applyProtection="1">
      <alignment horizontal="left" vertical="center"/>
      <protection locked="0"/>
    </xf>
    <xf numFmtId="0" fontId="15" fillId="0" borderId="0" xfId="6" applyFont="1" applyAlignment="1" applyProtection="1">
      <alignment horizontal="center" vertical="center"/>
      <protection locked="0"/>
    </xf>
    <xf numFmtId="0" fontId="16" fillId="0" borderId="0" xfId="6" applyFont="1" applyAlignment="1" applyProtection="1">
      <alignment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8" fillId="0" borderId="0" xfId="6" applyFont="1" applyAlignment="1" applyProtection="1">
      <alignment vertical="center"/>
      <protection locked="0"/>
    </xf>
    <xf numFmtId="10" fontId="18" fillId="0" borderId="0" xfId="4" applyNumberFormat="1" applyFont="1" applyFill="1" applyBorder="1" applyAlignment="1" applyProtection="1">
      <alignment horizontal="center" vertical="center"/>
      <protection locked="0"/>
    </xf>
    <xf numFmtId="43" fontId="18" fillId="0" borderId="0" xfId="1" applyFont="1" applyFill="1" applyBorder="1" applyAlignment="1" applyProtection="1">
      <alignment vertical="center"/>
      <protection locked="0"/>
    </xf>
    <xf numFmtId="0" fontId="18" fillId="0" borderId="0" xfId="6" applyFont="1" applyAlignment="1" applyProtection="1">
      <alignment horizontal="center" vertical="center" wrapText="1"/>
      <protection locked="0"/>
    </xf>
    <xf numFmtId="43" fontId="19" fillId="0" borderId="0" xfId="1" applyFont="1" applyFill="1" applyBorder="1" applyAlignment="1" applyProtection="1">
      <alignment vertical="center"/>
      <protection locked="0"/>
    </xf>
    <xf numFmtId="0" fontId="16" fillId="0" borderId="0" xfId="8" applyFont="1" applyAlignment="1" applyProtection="1">
      <alignment horizontal="center" vertical="center"/>
      <protection locked="0"/>
    </xf>
    <xf numFmtId="0" fontId="11" fillId="0" borderId="0" xfId="8" applyFont="1" applyAlignment="1" applyProtection="1">
      <alignment horizontal="center" vertical="center"/>
      <protection locked="0"/>
    </xf>
    <xf numFmtId="43" fontId="11" fillId="0" borderId="0" xfId="1" applyFont="1" applyAlignment="1" applyProtection="1">
      <alignment horizontal="center" vertical="center"/>
      <protection locked="0"/>
    </xf>
    <xf numFmtId="166" fontId="10" fillId="0" borderId="0" xfId="9" applyFont="1" applyAlignment="1" applyProtection="1">
      <alignment horizontal="center" vertical="center"/>
      <protection locked="0"/>
    </xf>
    <xf numFmtId="166" fontId="21" fillId="0" borderId="0" xfId="9" applyFont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horizontal="center"/>
      <protection locked="0"/>
    </xf>
    <xf numFmtId="167" fontId="10" fillId="0" borderId="0" xfId="9" applyNumberFormat="1" applyFont="1" applyAlignment="1" applyProtection="1">
      <alignment horizontal="center" vertical="center"/>
      <protection locked="0"/>
    </xf>
    <xf numFmtId="166" fontId="16" fillId="0" borderId="14" xfId="6" applyNumberFormat="1" applyFont="1" applyBorder="1" applyAlignment="1" applyProtection="1">
      <alignment horizontal="center" vertical="center"/>
    </xf>
    <xf numFmtId="164" fontId="16" fillId="0" borderId="14" xfId="6" applyNumberFormat="1" applyFont="1" applyBorder="1" applyAlignment="1" applyProtection="1">
      <alignment horizontal="center" vertical="center"/>
    </xf>
    <xf numFmtId="166" fontId="16" fillId="0" borderId="15" xfId="6" applyNumberFormat="1" applyFont="1" applyBorder="1" applyAlignment="1" applyProtection="1">
      <alignment horizontal="center" vertical="center"/>
    </xf>
    <xf numFmtId="164" fontId="16" fillId="0" borderId="15" xfId="6" applyNumberFormat="1" applyFont="1" applyBorder="1" applyAlignment="1" applyProtection="1">
      <alignment horizontal="center" vertical="center"/>
    </xf>
    <xf numFmtId="0" fontId="10" fillId="0" borderId="15" xfId="6" applyFont="1" applyBorder="1" applyAlignment="1" applyProtection="1">
      <alignment horizontal="center" vertical="center"/>
    </xf>
    <xf numFmtId="0" fontId="11" fillId="3" borderId="16" xfId="7" applyFont="1" applyFill="1" applyBorder="1" applyAlignment="1" applyProtection="1">
      <alignment vertical="center"/>
    </xf>
    <xf numFmtId="164" fontId="11" fillId="0" borderId="15" xfId="6" applyNumberFormat="1" applyFont="1" applyBorder="1" applyAlignment="1" applyProtection="1">
      <alignment vertical="center"/>
    </xf>
    <xf numFmtId="0" fontId="10" fillId="0" borderId="28" xfId="6" applyFont="1" applyBorder="1" applyAlignment="1" applyProtection="1">
      <alignment horizontal="center" vertical="center"/>
    </xf>
    <xf numFmtId="0" fontId="18" fillId="7" borderId="16" xfId="5" applyFont="1" applyFill="1" applyBorder="1" applyAlignment="1" applyProtection="1">
      <alignment horizontal="center" vertical="center"/>
    </xf>
    <xf numFmtId="0" fontId="18" fillId="7" borderId="16" xfId="5" applyFont="1" applyFill="1" applyBorder="1" applyAlignment="1" applyProtection="1">
      <alignment vertical="center"/>
    </xf>
    <xf numFmtId="0" fontId="18" fillId="7" borderId="17" xfId="5" applyFont="1" applyFill="1" applyBorder="1" applyAlignment="1" applyProtection="1">
      <alignment vertical="center"/>
    </xf>
    <xf numFmtId="164" fontId="18" fillId="7" borderId="16" xfId="5" applyNumberFormat="1" applyFont="1" applyFill="1" applyBorder="1" applyAlignment="1" applyProtection="1">
      <alignment vertical="center"/>
    </xf>
    <xf numFmtId="0" fontId="10" fillId="0" borderId="16" xfId="6" applyFont="1" applyBorder="1" applyAlignment="1" applyProtection="1">
      <alignment horizontal="center" vertical="center"/>
    </xf>
    <xf numFmtId="0" fontId="10" fillId="0" borderId="16" xfId="6" applyFont="1" applyBorder="1" applyAlignment="1" applyProtection="1">
      <alignment vertical="center"/>
    </xf>
    <xf numFmtId="10" fontId="18" fillId="0" borderId="16" xfId="4" applyNumberFormat="1" applyFont="1" applyBorder="1" applyAlignment="1" applyProtection="1">
      <alignment horizontal="center" vertical="center"/>
    </xf>
    <xf numFmtId="164" fontId="11" fillId="0" borderId="16" xfId="6" applyNumberFormat="1" applyFont="1" applyBorder="1" applyAlignment="1" applyProtection="1">
      <alignment vertical="center"/>
    </xf>
  </cellXfs>
  <cellStyles count="11">
    <cellStyle name="20% - Accent3" xfId="5" builtinId="38"/>
    <cellStyle name="Comma" xfId="1" builtinId="3"/>
    <cellStyle name="Hyperlink" xfId="7" builtinId="8"/>
    <cellStyle name="Normal" xfId="0" builtinId="0"/>
    <cellStyle name="Normal 2" xfId="6"/>
    <cellStyle name="Normal 35" xfId="10"/>
    <cellStyle name="Normal 4" xfId="9"/>
    <cellStyle name="Normal 52" xfId="3"/>
    <cellStyle name="Normal_APEAS IPC COVER PAGE" xfId="8"/>
    <cellStyle name="Normal_FU I" xfId="2"/>
    <cellStyle name="Percent" xfId="4" builtinId="5"/>
  </cellStyles>
  <dxfs count="0"/>
  <tableStyles count="0" defaultTableStyle="TableStyleMedium2" defaultPivotStyle="PivotStyleMedium9"/>
  <colors>
    <mruColors>
      <color rgb="FF0162BB"/>
      <color rgb="FF045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104775</xdr:rowOff>
    </xdr:from>
    <xdr:to>
      <xdr:col>1</xdr:col>
      <xdr:colOff>2788339</xdr:colOff>
      <xdr:row>4</xdr:row>
      <xdr:rowOff>111748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04775"/>
          <a:ext cx="1921564" cy="911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95250</xdr:rowOff>
    </xdr:from>
    <xdr:to>
      <xdr:col>1</xdr:col>
      <xdr:colOff>2778814</xdr:colOff>
      <xdr:row>4</xdr:row>
      <xdr:rowOff>140323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95250"/>
          <a:ext cx="1921564" cy="9118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85725</xdr:rowOff>
    </xdr:from>
    <xdr:to>
      <xdr:col>1</xdr:col>
      <xdr:colOff>2816914</xdr:colOff>
      <xdr:row>4</xdr:row>
      <xdr:rowOff>140323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85725"/>
          <a:ext cx="1921564" cy="911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76200</xdr:rowOff>
    </xdr:from>
    <xdr:to>
      <xdr:col>1</xdr:col>
      <xdr:colOff>2721664</xdr:colOff>
      <xdr:row>4</xdr:row>
      <xdr:rowOff>83173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76200"/>
          <a:ext cx="1921564" cy="9118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66675</xdr:rowOff>
    </xdr:from>
    <xdr:to>
      <xdr:col>1</xdr:col>
      <xdr:colOff>2731189</xdr:colOff>
      <xdr:row>4</xdr:row>
      <xdr:rowOff>83173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66675"/>
          <a:ext cx="1921564" cy="9118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38100</xdr:rowOff>
    </xdr:from>
    <xdr:to>
      <xdr:col>1</xdr:col>
      <xdr:colOff>2731189</xdr:colOff>
      <xdr:row>4</xdr:row>
      <xdr:rowOff>111748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8100"/>
          <a:ext cx="1921564" cy="9118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28575</xdr:rowOff>
    </xdr:from>
    <xdr:to>
      <xdr:col>1</xdr:col>
      <xdr:colOff>2740714</xdr:colOff>
      <xdr:row>4</xdr:row>
      <xdr:rowOff>111748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28575"/>
          <a:ext cx="1921564" cy="9118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911088</xdr:colOff>
      <xdr:row>0</xdr:row>
      <xdr:rowOff>57980</xdr:rowOff>
    </xdr:from>
    <xdr:to>
      <xdr:col>1</xdr:col>
      <xdr:colOff>2832652</xdr:colOff>
      <xdr:row>4</xdr:row>
      <xdr:rowOff>207828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638" y="57980"/>
          <a:ext cx="1921564" cy="9118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911088</xdr:colOff>
      <xdr:row>0</xdr:row>
      <xdr:rowOff>57980</xdr:rowOff>
    </xdr:from>
    <xdr:to>
      <xdr:col>1</xdr:col>
      <xdr:colOff>2832652</xdr:colOff>
      <xdr:row>4</xdr:row>
      <xdr:rowOff>207828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75DEE63-8EB8-499B-9D81-73ACA37A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638" y="57980"/>
          <a:ext cx="1921564" cy="911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ervisor.constructionteam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38"/>
  <sheetViews>
    <sheetView tabSelected="1" workbookViewId="0">
      <selection activeCell="H20" sqref="H20"/>
    </sheetView>
  </sheetViews>
  <sheetFormatPr defaultColWidth="12.42578125" defaultRowHeight="12.75" x14ac:dyDescent="0.25"/>
  <cols>
    <col min="1" max="1" width="2.42578125" style="234" customWidth="1"/>
    <col min="2" max="2" width="6.7109375" style="234" customWidth="1"/>
    <col min="3" max="3" width="56.7109375" style="234" customWidth="1"/>
    <col min="4" max="4" width="8.7109375" style="234" bestFit="1" customWidth="1"/>
    <col min="5" max="5" width="30.42578125" style="234" customWidth="1"/>
    <col min="6" max="16384" width="12.42578125" style="234"/>
  </cols>
  <sheetData>
    <row r="2" spans="1:5" s="229" customFormat="1" ht="13.5" thickBot="1" x14ac:dyDescent="0.25"/>
    <row r="3" spans="1:5" s="229" customFormat="1" ht="51" customHeight="1" thickBot="1" x14ac:dyDescent="0.25">
      <c r="A3" s="230"/>
      <c r="B3" s="231" t="s">
        <v>287</v>
      </c>
      <c r="C3" s="232"/>
      <c r="D3" s="232"/>
      <c r="E3" s="233"/>
    </row>
    <row r="5" spans="1:5" x14ac:dyDescent="0.25">
      <c r="B5" s="235" t="s">
        <v>249</v>
      </c>
      <c r="C5" s="235"/>
    </row>
    <row r="6" spans="1:5" x14ac:dyDescent="0.25">
      <c r="B6" s="235" t="s">
        <v>250</v>
      </c>
      <c r="C6" s="235"/>
    </row>
    <row r="7" spans="1:5" x14ac:dyDescent="0.25">
      <c r="B7" s="236" t="s">
        <v>24</v>
      </c>
      <c r="C7" s="236"/>
    </row>
    <row r="8" spans="1:5" x14ac:dyDescent="0.25">
      <c r="B8" s="236" t="s">
        <v>25</v>
      </c>
      <c r="C8" s="236"/>
    </row>
    <row r="9" spans="1:5" ht="15" x14ac:dyDescent="0.25">
      <c r="B9" s="237" t="s">
        <v>34</v>
      </c>
      <c r="C9" s="238" t="s">
        <v>251</v>
      </c>
    </row>
    <row r="10" spans="1:5" ht="15" x14ac:dyDescent="0.25">
      <c r="B10" s="237"/>
      <c r="C10" s="238"/>
    </row>
    <row r="11" spans="1:5" ht="13.5" thickBot="1" x14ac:dyDescent="0.3">
      <c r="B11" s="239"/>
      <c r="C11" s="239"/>
    </row>
    <row r="12" spans="1:5" ht="13.5" thickTop="1" x14ac:dyDescent="0.25">
      <c r="B12" s="254" t="s">
        <v>26</v>
      </c>
      <c r="C12" s="254" t="s">
        <v>27</v>
      </c>
      <c r="D12" s="254" t="s">
        <v>28</v>
      </c>
      <c r="E12" s="255" t="s">
        <v>29</v>
      </c>
    </row>
    <row r="13" spans="1:5" ht="13.5" thickBot="1" x14ac:dyDescent="0.3">
      <c r="B13" s="256"/>
      <c r="C13" s="256"/>
      <c r="D13" s="256"/>
      <c r="E13" s="257"/>
    </row>
    <row r="14" spans="1:5" ht="14.25" thickTop="1" thickBot="1" x14ac:dyDescent="0.3">
      <c r="B14" s="258">
        <v>1</v>
      </c>
      <c r="C14" s="259" t="s">
        <v>40</v>
      </c>
      <c r="D14" s="258"/>
      <c r="E14" s="260">
        <f>'1. მძღოლების შენობა'!L181</f>
        <v>0</v>
      </c>
    </row>
    <row r="15" spans="1:5" ht="14.25" thickTop="1" thickBot="1" x14ac:dyDescent="0.3">
      <c r="B15" s="258">
        <v>2</v>
      </c>
      <c r="C15" s="259" t="s">
        <v>252</v>
      </c>
      <c r="D15" s="261"/>
      <c r="E15" s="260">
        <f>'2. რკ.ბეტონის ფილა #1'!L65</f>
        <v>0</v>
      </c>
    </row>
    <row r="16" spans="1:5" ht="14.25" thickTop="1" thickBot="1" x14ac:dyDescent="0.3">
      <c r="B16" s="258">
        <v>3</v>
      </c>
      <c r="C16" s="259" t="s">
        <v>198</v>
      </c>
      <c r="D16" s="261"/>
      <c r="E16" s="260">
        <f>'3. ბაქნის გადახურვა'!L109</f>
        <v>0</v>
      </c>
    </row>
    <row r="17" spans="2:5" ht="14.25" thickTop="1" thickBot="1" x14ac:dyDescent="0.3">
      <c r="B17" s="258">
        <v>4</v>
      </c>
      <c r="C17" s="259" t="s">
        <v>199</v>
      </c>
      <c r="D17" s="261"/>
      <c r="E17" s="260">
        <f>'4. გზის წერტ. აღდგენა'!L41</f>
        <v>0</v>
      </c>
    </row>
    <row r="18" spans="2:5" ht="14.25" thickTop="1" thickBot="1" x14ac:dyDescent="0.3">
      <c r="B18" s="258">
        <v>5</v>
      </c>
      <c r="C18" s="259" t="s">
        <v>206</v>
      </c>
      <c r="D18" s="261"/>
      <c r="E18" s="260">
        <f>'5. ბაქნის გადახურვა (ნედლეული) '!L72</f>
        <v>0</v>
      </c>
    </row>
    <row r="19" spans="2:5" ht="14.25" thickTop="1" thickBot="1" x14ac:dyDescent="0.3">
      <c r="B19" s="258">
        <v>6</v>
      </c>
      <c r="C19" s="259" t="s">
        <v>253</v>
      </c>
      <c r="D19" s="261"/>
      <c r="E19" s="260">
        <f>'6. რკ.ბეტონის ფილა #2'!L65</f>
        <v>0</v>
      </c>
    </row>
    <row r="20" spans="2:5" ht="14.25" thickTop="1" thickBot="1" x14ac:dyDescent="0.3">
      <c r="B20" s="258">
        <v>7</v>
      </c>
      <c r="C20" s="259" t="s">
        <v>213</v>
      </c>
      <c r="D20" s="261"/>
      <c r="E20" s="260">
        <f>'7. გზის მოასფალტება-მობეტონება'!L93</f>
        <v>0</v>
      </c>
    </row>
    <row r="21" spans="2:5" ht="14.25" thickTop="1" thickBot="1" x14ac:dyDescent="0.3">
      <c r="B21" s="258">
        <v>8</v>
      </c>
      <c r="C21" s="259" t="s">
        <v>254</v>
      </c>
      <c r="D21" s="261"/>
      <c r="E21" s="260">
        <f>'8. გადახურვა_ნედლეულის საწყობი'!L58</f>
        <v>0</v>
      </c>
    </row>
    <row r="22" spans="2:5" ht="14.25" thickTop="1" thickBot="1" x14ac:dyDescent="0.3">
      <c r="B22" s="258">
        <v>9</v>
      </c>
      <c r="C22" s="259" t="s">
        <v>289</v>
      </c>
      <c r="D22" s="261"/>
      <c r="E22" s="260">
        <f>'9. სახურავის შეკეთება(მზა პ.)'!K80</f>
        <v>0</v>
      </c>
    </row>
    <row r="23" spans="2:5" s="240" customFormat="1" ht="14.25" thickTop="1" thickBot="1" x14ac:dyDescent="0.3">
      <c r="B23" s="262"/>
      <c r="C23" s="263" t="s">
        <v>30</v>
      </c>
      <c r="D23" s="264"/>
      <c r="E23" s="265">
        <f>SUM(E14:E22)</f>
        <v>0</v>
      </c>
    </row>
    <row r="24" spans="2:5" ht="14.25" thickTop="1" thickBot="1" x14ac:dyDescent="0.3">
      <c r="B24" s="266"/>
      <c r="C24" s="267" t="s">
        <v>31</v>
      </c>
      <c r="D24" s="268">
        <v>0.18</v>
      </c>
      <c r="E24" s="269">
        <f>E23*D24</f>
        <v>0</v>
      </c>
    </row>
    <row r="25" spans="2:5" s="240" customFormat="1" ht="33.75" customHeight="1" thickTop="1" thickBot="1" x14ac:dyDescent="0.3">
      <c r="B25" s="262"/>
      <c r="C25" s="263" t="s">
        <v>32</v>
      </c>
      <c r="D25" s="264"/>
      <c r="E25" s="265">
        <f t="shared" ref="E25" si="0">E24+E23</f>
        <v>0</v>
      </c>
    </row>
    <row r="26" spans="2:5" ht="13.5" thickTop="1" x14ac:dyDescent="0.25">
      <c r="B26" s="241"/>
    </row>
    <row r="27" spans="2:5" x14ac:dyDescent="0.25">
      <c r="B27" s="241"/>
      <c r="C27" s="242"/>
      <c r="D27" s="243"/>
      <c r="E27" s="244"/>
    </row>
    <row r="28" spans="2:5" ht="30.6" customHeight="1" x14ac:dyDescent="0.25">
      <c r="B28" s="245" t="s">
        <v>33</v>
      </c>
      <c r="C28" s="245"/>
      <c r="D28" s="245"/>
      <c r="E28" s="245"/>
    </row>
    <row r="29" spans="2:5" x14ac:dyDescent="0.25">
      <c r="B29" s="241"/>
      <c r="C29" s="242"/>
      <c r="D29" s="243"/>
      <c r="E29" s="246"/>
    </row>
    <row r="30" spans="2:5" x14ac:dyDescent="0.25">
      <c r="C30" s="247"/>
      <c r="E30" s="247"/>
    </row>
    <row r="31" spans="2:5" x14ac:dyDescent="0.25">
      <c r="C31" s="248"/>
      <c r="E31" s="249"/>
    </row>
    <row r="32" spans="2:5" x14ac:dyDescent="0.25">
      <c r="C32" s="250"/>
      <c r="E32" s="251"/>
    </row>
    <row r="33" spans="3:5" x14ac:dyDescent="0.25">
      <c r="C33" s="247"/>
      <c r="E33" s="247"/>
    </row>
    <row r="34" spans="3:5" x14ac:dyDescent="0.25">
      <c r="C34" s="247"/>
      <c r="E34" s="247"/>
    </row>
    <row r="35" spans="3:5" x14ac:dyDescent="0.25">
      <c r="E35" s="247"/>
    </row>
    <row r="36" spans="3:5" x14ac:dyDescent="0.2">
      <c r="C36" s="252"/>
      <c r="E36" s="247"/>
    </row>
    <row r="37" spans="3:5" x14ac:dyDescent="0.25">
      <c r="C37" s="250"/>
      <c r="E37" s="250"/>
    </row>
    <row r="38" spans="3:5" x14ac:dyDescent="0.25">
      <c r="C38" s="253"/>
      <c r="E38" s="253"/>
    </row>
  </sheetData>
  <sheetProtection algorithmName="SHA-512" hashValue="SXPxmuR42J5TXTimg/uh/thtf1FRC9WzjaObhrqVlYGfVdakg9xsv1IEh1NsVPVn15W6t27ME1b85JHHlxe3VQ==" saltValue="KwwzKOUZ4mP2uRgJMpsKzA==" spinCount="100000" sheet="1" objects="1" scenarios="1"/>
  <mergeCells count="10">
    <mergeCell ref="B12:B13"/>
    <mergeCell ref="C12:C13"/>
    <mergeCell ref="D12:D13"/>
    <mergeCell ref="E12:E13"/>
    <mergeCell ref="B28:E28"/>
    <mergeCell ref="B8:C8"/>
    <mergeCell ref="B3:E3"/>
    <mergeCell ref="B5:C5"/>
    <mergeCell ref="B6:C6"/>
    <mergeCell ref="B7:C7"/>
  </mergeCells>
  <hyperlinks>
    <hyperlink ref="C9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15"/>
  <sheetViews>
    <sheetView zoomScaleNormal="100" workbookViewId="0">
      <selection activeCell="M14" sqref="M14"/>
    </sheetView>
  </sheetViews>
  <sheetFormatPr defaultColWidth="8.85546875" defaultRowHeight="12" x14ac:dyDescent="0.2"/>
  <cols>
    <col min="1" max="1" width="8.85546875" style="2"/>
    <col min="2" max="2" width="55.42578125" style="2" customWidth="1"/>
    <col min="3" max="3" width="10.28515625" style="2" customWidth="1"/>
    <col min="4" max="4" width="11.42578125" style="3" customWidth="1"/>
    <col min="5" max="5" width="9.85546875" style="2" customWidth="1"/>
    <col min="6" max="6" width="13.5703125" style="2" bestFit="1" customWidth="1"/>
    <col min="7" max="7" width="9.7109375" style="2" customWidth="1"/>
    <col min="8" max="8" width="11.5703125" style="2" customWidth="1"/>
    <col min="9" max="9" width="10.140625" style="2" customWidth="1"/>
    <col min="10" max="10" width="12.140625" style="2" bestFit="1" customWidth="1"/>
    <col min="11" max="11" width="13.140625" style="2" customWidth="1"/>
    <col min="12" max="12" width="11.140625" style="2" bestFit="1" customWidth="1"/>
    <col min="13" max="13" width="10" style="2" bestFit="1" customWidth="1"/>
    <col min="14" max="14" width="9.140625" style="2" bestFit="1" customWidth="1"/>
    <col min="15" max="15" width="11.42578125" style="2" bestFit="1" customWidth="1"/>
    <col min="16" max="16384" width="8.85546875" style="2"/>
  </cols>
  <sheetData>
    <row r="1" spans="1:12" s="4" customFormat="1" ht="12" customHeight="1" x14ac:dyDescent="0.25">
      <c r="A1" s="180"/>
      <c r="B1" s="181"/>
      <c r="C1" s="181"/>
      <c r="D1" s="183"/>
      <c r="E1" s="183"/>
      <c r="F1" s="183"/>
      <c r="G1" s="183"/>
      <c r="H1" s="183"/>
      <c r="I1" s="183"/>
      <c r="J1" s="183"/>
      <c r="K1" s="183"/>
      <c r="L1" s="184"/>
    </row>
    <row r="2" spans="1:12" s="4" customFormat="1" ht="24" customHeight="1" x14ac:dyDescent="0.2">
      <c r="A2" s="1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4"/>
    </row>
    <row r="3" spans="1:12" s="4" customFormat="1" ht="12" customHeight="1" x14ac:dyDescent="0.25">
      <c r="A3" s="186"/>
      <c r="B3" s="187"/>
      <c r="C3" s="187"/>
      <c r="D3" s="188"/>
      <c r="E3" s="189"/>
      <c r="F3" s="189"/>
      <c r="G3" s="189"/>
      <c r="H3" s="189"/>
      <c r="I3" s="189"/>
      <c r="J3" s="189"/>
      <c r="K3" s="189"/>
      <c r="L3" s="184"/>
    </row>
    <row r="4" spans="1:12" s="4" customFormat="1" ht="12" customHeight="1" x14ac:dyDescent="0.25">
      <c r="A4" s="186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4"/>
    </row>
    <row r="5" spans="1:12" s="4" customFormat="1" ht="23.25" customHeight="1" thickBot="1" x14ac:dyDescent="0.3">
      <c r="A5" s="186"/>
      <c r="B5" s="191"/>
      <c r="C5" s="191"/>
      <c r="D5" s="192"/>
      <c r="E5" s="192"/>
      <c r="F5" s="192"/>
      <c r="G5" s="192"/>
      <c r="H5" s="192"/>
      <c r="I5" s="193"/>
      <c r="J5" s="193"/>
      <c r="K5" s="194"/>
      <c r="L5" s="184"/>
    </row>
    <row r="6" spans="1:12" s="4" customFormat="1" ht="19.5" customHeight="1" x14ac:dyDescent="0.25">
      <c r="A6" s="207" t="s">
        <v>0</v>
      </c>
      <c r="B6" s="209" t="s">
        <v>1</v>
      </c>
      <c r="C6" s="209" t="s">
        <v>255</v>
      </c>
      <c r="D6" s="206"/>
      <c r="E6" s="211" t="s">
        <v>2</v>
      </c>
      <c r="F6" s="211"/>
      <c r="G6" s="224" t="s">
        <v>3</v>
      </c>
      <c r="H6" s="224"/>
      <c r="I6" s="214" t="s">
        <v>4</v>
      </c>
      <c r="J6" s="214"/>
      <c r="K6" s="215" t="s">
        <v>5</v>
      </c>
    </row>
    <row r="7" spans="1:12" s="4" customFormat="1" ht="48.75" customHeight="1" x14ac:dyDescent="0.25">
      <c r="A7" s="208"/>
      <c r="B7" s="210"/>
      <c r="C7" s="210"/>
      <c r="D7" s="7" t="s">
        <v>37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216"/>
    </row>
    <row r="8" spans="1:12" s="12" customFormat="1" ht="17.25" customHeight="1" thickBot="1" x14ac:dyDescent="0.3">
      <c r="A8" s="13">
        <v>1</v>
      </c>
      <c r="B8" s="9">
        <v>2</v>
      </c>
      <c r="C8" s="205">
        <v>3</v>
      </c>
      <c r="D8" s="205">
        <v>5</v>
      </c>
      <c r="E8" s="9">
        <v>6</v>
      </c>
      <c r="F8" s="205">
        <v>7</v>
      </c>
      <c r="G8" s="9">
        <v>8</v>
      </c>
      <c r="H8" s="205">
        <v>9</v>
      </c>
      <c r="I8" s="9">
        <v>10</v>
      </c>
      <c r="J8" s="205">
        <v>11</v>
      </c>
      <c r="K8" s="139">
        <v>12</v>
      </c>
    </row>
    <row r="9" spans="1:12" ht="22.5" customHeight="1" thickBot="1" x14ac:dyDescent="0.25">
      <c r="A9" s="15"/>
      <c r="B9" s="16" t="s">
        <v>289</v>
      </c>
      <c r="C9" s="17"/>
      <c r="D9" s="19"/>
      <c r="E9" s="19"/>
      <c r="F9" s="19"/>
      <c r="G9" s="19"/>
      <c r="H9" s="19"/>
      <c r="I9" s="19"/>
      <c r="J9" s="19"/>
      <c r="K9" s="20"/>
      <c r="L9" s="21"/>
    </row>
    <row r="10" spans="1:12" ht="24" customHeight="1" x14ac:dyDescent="0.2">
      <c r="A10" s="22">
        <v>1</v>
      </c>
      <c r="B10" s="170" t="s">
        <v>290</v>
      </c>
      <c r="C10" s="48"/>
      <c r="D10" s="49"/>
      <c r="E10" s="49"/>
      <c r="F10" s="49"/>
      <c r="G10" s="49"/>
      <c r="H10" s="49"/>
      <c r="I10" s="49"/>
      <c r="J10" s="49"/>
      <c r="K10" s="50"/>
      <c r="L10" s="21"/>
    </row>
    <row r="11" spans="1:12" ht="15" customHeight="1" x14ac:dyDescent="0.2">
      <c r="A11" s="51"/>
      <c r="B11" s="34" t="s">
        <v>257</v>
      </c>
      <c r="C11" s="26"/>
      <c r="D11" s="27"/>
      <c r="E11" s="28"/>
      <c r="F11" s="29"/>
      <c r="G11" s="29"/>
      <c r="H11" s="29"/>
      <c r="I11" s="29"/>
      <c r="J11" s="29"/>
      <c r="K11" s="30"/>
      <c r="L11" s="21"/>
    </row>
    <row r="12" spans="1:12" ht="15" customHeight="1" x14ac:dyDescent="0.2">
      <c r="A12" s="51"/>
      <c r="B12" s="123" t="s">
        <v>294</v>
      </c>
      <c r="C12" s="26" t="s">
        <v>15</v>
      </c>
      <c r="D12" s="27">
        <v>813</v>
      </c>
      <c r="E12" s="28"/>
      <c r="F12" s="29">
        <f t="shared" ref="F12:F19" si="0">E12*D12</f>
        <v>0</v>
      </c>
      <c r="G12" s="88">
        <v>0</v>
      </c>
      <c r="H12" s="29">
        <f t="shared" ref="H12:H19" si="1">G12*D12</f>
        <v>0</v>
      </c>
      <c r="I12" s="29">
        <v>0</v>
      </c>
      <c r="J12" s="29">
        <f t="shared" ref="J12:J19" si="2">I12*D12</f>
        <v>0</v>
      </c>
      <c r="K12" s="30">
        <f t="shared" ref="K12:K19" si="3">J12+H12+F12</f>
        <v>0</v>
      </c>
      <c r="L12" s="21"/>
    </row>
    <row r="13" spans="1:12" ht="15" customHeight="1" x14ac:dyDescent="0.2">
      <c r="A13" s="51"/>
      <c r="B13" s="123" t="s">
        <v>293</v>
      </c>
      <c r="C13" s="26" t="s">
        <v>17</v>
      </c>
      <c r="D13" s="27">
        <v>66.599999999999994</v>
      </c>
      <c r="E13" s="28"/>
      <c r="F13" s="29">
        <f t="shared" si="0"/>
        <v>0</v>
      </c>
      <c r="G13" s="88">
        <v>0</v>
      </c>
      <c r="H13" s="29">
        <f t="shared" si="1"/>
        <v>0</v>
      </c>
      <c r="I13" s="29">
        <v>0</v>
      </c>
      <c r="J13" s="29">
        <f t="shared" si="2"/>
        <v>0</v>
      </c>
      <c r="K13" s="30">
        <f t="shared" si="3"/>
        <v>0</v>
      </c>
      <c r="L13" s="21"/>
    </row>
    <row r="14" spans="1:12" ht="26.25" customHeight="1" x14ac:dyDescent="0.2">
      <c r="A14" s="51"/>
      <c r="B14" s="123" t="s">
        <v>292</v>
      </c>
      <c r="C14" s="26" t="s">
        <v>17</v>
      </c>
      <c r="D14" s="27">
        <v>66.599999999999994</v>
      </c>
      <c r="E14" s="28"/>
      <c r="F14" s="29">
        <f t="shared" si="0"/>
        <v>0</v>
      </c>
      <c r="G14" s="88">
        <v>0</v>
      </c>
      <c r="H14" s="29">
        <f t="shared" si="1"/>
        <v>0</v>
      </c>
      <c r="I14" s="29">
        <v>0</v>
      </c>
      <c r="J14" s="29">
        <f t="shared" si="2"/>
        <v>0</v>
      </c>
      <c r="K14" s="30">
        <f t="shared" si="3"/>
        <v>0</v>
      </c>
      <c r="L14" s="21"/>
    </row>
    <row r="15" spans="1:12" ht="15" customHeight="1" x14ac:dyDescent="0.2">
      <c r="A15" s="51"/>
      <c r="B15" s="123" t="s">
        <v>291</v>
      </c>
      <c r="C15" s="26" t="s">
        <v>21</v>
      </c>
      <c r="D15" s="27">
        <v>2</v>
      </c>
      <c r="E15" s="28"/>
      <c r="F15" s="29">
        <f t="shared" si="0"/>
        <v>0</v>
      </c>
      <c r="G15" s="88">
        <v>0</v>
      </c>
      <c r="H15" s="29">
        <f t="shared" si="1"/>
        <v>0</v>
      </c>
      <c r="I15" s="29">
        <v>0</v>
      </c>
      <c r="J15" s="29">
        <f t="shared" si="2"/>
        <v>0</v>
      </c>
      <c r="K15" s="30">
        <f t="shared" si="3"/>
        <v>0</v>
      </c>
      <c r="L15" s="21"/>
    </row>
    <row r="16" spans="1:12" ht="15" customHeight="1" x14ac:dyDescent="0.2">
      <c r="A16" s="51"/>
      <c r="B16" s="123" t="s">
        <v>295</v>
      </c>
      <c r="C16" s="26" t="s">
        <v>17</v>
      </c>
      <c r="D16" s="27">
        <f>66.6*2</f>
        <v>133.19999999999999</v>
      </c>
      <c r="E16" s="28"/>
      <c r="F16" s="29">
        <f t="shared" si="0"/>
        <v>0</v>
      </c>
      <c r="G16" s="88">
        <v>0</v>
      </c>
      <c r="H16" s="29">
        <f t="shared" si="1"/>
        <v>0</v>
      </c>
      <c r="I16" s="29">
        <v>0</v>
      </c>
      <c r="J16" s="29">
        <f t="shared" si="2"/>
        <v>0</v>
      </c>
      <c r="K16" s="30">
        <f t="shared" si="3"/>
        <v>0</v>
      </c>
      <c r="L16" s="21"/>
    </row>
    <row r="17" spans="1:13" ht="14.25" customHeight="1" x14ac:dyDescent="0.2">
      <c r="A17" s="51"/>
      <c r="B17" s="123" t="s">
        <v>184</v>
      </c>
      <c r="C17" s="26" t="s">
        <v>21</v>
      </c>
      <c r="D17" s="27">
        <v>1</v>
      </c>
      <c r="E17" s="28"/>
      <c r="F17" s="29">
        <f t="shared" si="0"/>
        <v>0</v>
      </c>
      <c r="G17" s="29">
        <v>0</v>
      </c>
      <c r="H17" s="29">
        <f t="shared" si="1"/>
        <v>0</v>
      </c>
      <c r="I17" s="88">
        <v>0</v>
      </c>
      <c r="J17" s="29">
        <f t="shared" si="2"/>
        <v>0</v>
      </c>
      <c r="K17" s="30">
        <f t="shared" si="3"/>
        <v>0</v>
      </c>
    </row>
    <row r="18" spans="1:13" ht="15.75" customHeight="1" x14ac:dyDescent="0.2">
      <c r="A18" s="51"/>
      <c r="B18" s="123" t="s">
        <v>258</v>
      </c>
      <c r="C18" s="26" t="s">
        <v>21</v>
      </c>
      <c r="D18" s="27">
        <v>1</v>
      </c>
      <c r="E18" s="28"/>
      <c r="F18" s="29">
        <f t="shared" si="0"/>
        <v>0</v>
      </c>
      <c r="G18" s="29">
        <v>0</v>
      </c>
      <c r="H18" s="29">
        <f t="shared" si="1"/>
        <v>0</v>
      </c>
      <c r="I18" s="88">
        <v>0</v>
      </c>
      <c r="J18" s="29">
        <f t="shared" si="2"/>
        <v>0</v>
      </c>
      <c r="K18" s="30">
        <f t="shared" si="3"/>
        <v>0</v>
      </c>
      <c r="M18" s="21"/>
    </row>
    <row r="19" spans="1:13" ht="12.75" customHeight="1" x14ac:dyDescent="0.2">
      <c r="A19" s="51"/>
      <c r="B19" s="123" t="s">
        <v>260</v>
      </c>
      <c r="C19" s="26" t="s">
        <v>10</v>
      </c>
      <c r="D19" s="27">
        <v>1</v>
      </c>
      <c r="E19" s="28">
        <v>0</v>
      </c>
      <c r="F19" s="29">
        <f t="shared" si="0"/>
        <v>0</v>
      </c>
      <c r="G19" s="29">
        <v>0</v>
      </c>
      <c r="H19" s="29">
        <f t="shared" si="1"/>
        <v>0</v>
      </c>
      <c r="I19" s="88">
        <v>0</v>
      </c>
      <c r="J19" s="29">
        <f t="shared" si="2"/>
        <v>0</v>
      </c>
      <c r="K19" s="30">
        <f t="shared" si="3"/>
        <v>0</v>
      </c>
      <c r="M19" s="21"/>
    </row>
    <row r="20" spans="1:13" ht="12.75" customHeight="1" x14ac:dyDescent="0.2">
      <c r="A20" s="22">
        <v>2</v>
      </c>
      <c r="B20" s="170" t="s">
        <v>297</v>
      </c>
      <c r="C20" s="33"/>
      <c r="D20" s="49"/>
      <c r="E20" s="49"/>
      <c r="F20" s="49"/>
      <c r="G20" s="49"/>
      <c r="H20" s="49"/>
      <c r="I20" s="49"/>
      <c r="J20" s="49"/>
      <c r="K20" s="50"/>
      <c r="L20" s="21"/>
    </row>
    <row r="21" spans="1:13" ht="12.75" customHeight="1" x14ac:dyDescent="0.2">
      <c r="A21" s="51"/>
      <c r="B21" s="34" t="s">
        <v>257</v>
      </c>
      <c r="C21" s="26"/>
      <c r="D21" s="27"/>
      <c r="E21" s="28"/>
      <c r="F21" s="29"/>
      <c r="G21" s="29"/>
      <c r="H21" s="29"/>
      <c r="I21" s="29"/>
      <c r="J21" s="29"/>
      <c r="K21" s="30"/>
      <c r="L21" s="21"/>
    </row>
    <row r="22" spans="1:13" ht="16.5" customHeight="1" x14ac:dyDescent="0.2">
      <c r="A22" s="51"/>
      <c r="B22" s="123" t="s">
        <v>296</v>
      </c>
      <c r="C22" s="26" t="s">
        <v>181</v>
      </c>
      <c r="D22" s="27">
        <v>1</v>
      </c>
      <c r="E22" s="28">
        <v>0</v>
      </c>
      <c r="F22" s="29">
        <f t="shared" ref="F22:F35" si="4">E22*D22</f>
        <v>0</v>
      </c>
      <c r="G22" s="88">
        <v>0</v>
      </c>
      <c r="H22" s="29">
        <f t="shared" ref="H22:H35" si="5">G22*D22</f>
        <v>0</v>
      </c>
      <c r="I22" s="29">
        <v>0</v>
      </c>
      <c r="J22" s="29">
        <f t="shared" ref="J22:J35" si="6">I22*D22</f>
        <v>0</v>
      </c>
      <c r="K22" s="30">
        <f t="shared" ref="K22:K35" si="7">J22+H22+F22</f>
        <v>0</v>
      </c>
      <c r="L22" s="21"/>
    </row>
    <row r="23" spans="1:13" ht="27.75" customHeight="1" x14ac:dyDescent="0.2">
      <c r="A23" s="51"/>
      <c r="B23" s="123" t="s">
        <v>301</v>
      </c>
      <c r="C23" s="26" t="s">
        <v>17</v>
      </c>
      <c r="D23" s="27">
        <v>66.599999999999994</v>
      </c>
      <c r="E23" s="28">
        <v>0</v>
      </c>
      <c r="F23" s="29">
        <f t="shared" si="4"/>
        <v>0</v>
      </c>
      <c r="G23" s="88">
        <v>0</v>
      </c>
      <c r="H23" s="29">
        <f t="shared" si="5"/>
        <v>0</v>
      </c>
      <c r="I23" s="29">
        <v>0</v>
      </c>
      <c r="J23" s="29">
        <f t="shared" si="6"/>
        <v>0</v>
      </c>
      <c r="K23" s="30">
        <f t="shared" si="7"/>
        <v>0</v>
      </c>
      <c r="L23" s="21"/>
    </row>
    <row r="24" spans="1:13" ht="15.75" customHeight="1" x14ac:dyDescent="0.2">
      <c r="A24" s="51"/>
      <c r="B24" s="123" t="s">
        <v>184</v>
      </c>
      <c r="C24" s="26" t="s">
        <v>21</v>
      </c>
      <c r="D24" s="27">
        <v>1</v>
      </c>
      <c r="E24" s="28">
        <v>0</v>
      </c>
      <c r="F24" s="29">
        <f t="shared" si="4"/>
        <v>0</v>
      </c>
      <c r="G24" s="29">
        <v>0</v>
      </c>
      <c r="H24" s="29">
        <f t="shared" si="5"/>
        <v>0</v>
      </c>
      <c r="I24" s="88">
        <v>0</v>
      </c>
      <c r="J24" s="29">
        <f t="shared" si="6"/>
        <v>0</v>
      </c>
      <c r="K24" s="30">
        <f t="shared" si="7"/>
        <v>0</v>
      </c>
    </row>
    <row r="25" spans="1:13" ht="15.75" customHeight="1" x14ac:dyDescent="0.2">
      <c r="A25" s="51"/>
      <c r="B25" s="123" t="s">
        <v>258</v>
      </c>
      <c r="C25" s="26" t="s">
        <v>21</v>
      </c>
      <c r="D25" s="27">
        <v>1</v>
      </c>
      <c r="E25" s="28">
        <v>0</v>
      </c>
      <c r="F25" s="29">
        <f t="shared" si="4"/>
        <v>0</v>
      </c>
      <c r="G25" s="29">
        <v>0</v>
      </c>
      <c r="H25" s="29">
        <f t="shared" si="5"/>
        <v>0</v>
      </c>
      <c r="I25" s="88">
        <v>0</v>
      </c>
      <c r="J25" s="29">
        <f t="shared" si="6"/>
        <v>0</v>
      </c>
      <c r="K25" s="30">
        <f t="shared" si="7"/>
        <v>0</v>
      </c>
      <c r="M25" s="21"/>
    </row>
    <row r="26" spans="1:13" ht="12.75" customHeight="1" x14ac:dyDescent="0.2">
      <c r="A26" s="51"/>
      <c r="B26" s="123" t="s">
        <v>175</v>
      </c>
      <c r="C26" s="26" t="s">
        <v>10</v>
      </c>
      <c r="D26" s="27">
        <v>1</v>
      </c>
      <c r="E26" s="28">
        <v>0</v>
      </c>
      <c r="F26" s="29">
        <f t="shared" si="4"/>
        <v>0</v>
      </c>
      <c r="G26" s="29">
        <v>0</v>
      </c>
      <c r="H26" s="29">
        <f t="shared" si="5"/>
        <v>0</v>
      </c>
      <c r="I26" s="88">
        <v>0</v>
      </c>
      <c r="J26" s="29">
        <f t="shared" si="6"/>
        <v>0</v>
      </c>
      <c r="K26" s="30">
        <f t="shared" si="7"/>
        <v>0</v>
      </c>
      <c r="M26" s="21"/>
    </row>
    <row r="27" spans="1:13" ht="12.75" customHeight="1" x14ac:dyDescent="0.2">
      <c r="A27" s="51"/>
      <c r="B27" s="34" t="s">
        <v>169</v>
      </c>
      <c r="C27" s="26"/>
      <c r="D27" s="27"/>
      <c r="E27" s="28"/>
      <c r="F27" s="29"/>
      <c r="G27" s="29"/>
      <c r="H27" s="29"/>
      <c r="I27" s="29"/>
      <c r="J27" s="29"/>
      <c r="K27" s="30"/>
      <c r="M27" s="3"/>
    </row>
    <row r="28" spans="1:13" ht="28.5" customHeight="1" x14ac:dyDescent="0.2">
      <c r="A28" s="51"/>
      <c r="B28" s="123" t="s">
        <v>299</v>
      </c>
      <c r="C28" s="168" t="s">
        <v>15</v>
      </c>
      <c r="D28" s="52">
        <v>208</v>
      </c>
      <c r="E28" s="88">
        <v>0</v>
      </c>
      <c r="F28" s="29">
        <f t="shared" si="4"/>
        <v>0</v>
      </c>
      <c r="G28" s="29">
        <v>0</v>
      </c>
      <c r="H28" s="29">
        <f t="shared" si="5"/>
        <v>0</v>
      </c>
      <c r="I28" s="29">
        <v>0</v>
      </c>
      <c r="J28" s="29">
        <f t="shared" si="6"/>
        <v>0</v>
      </c>
      <c r="K28" s="30">
        <f t="shared" si="7"/>
        <v>0</v>
      </c>
      <c r="M28" s="21"/>
    </row>
    <row r="29" spans="1:13" ht="15" customHeight="1" x14ac:dyDescent="0.2">
      <c r="A29" s="51"/>
      <c r="B29" s="123" t="s">
        <v>302</v>
      </c>
      <c r="C29" s="168" t="s">
        <v>181</v>
      </c>
      <c r="D29" s="52">
        <v>1</v>
      </c>
      <c r="E29" s="88">
        <v>0</v>
      </c>
      <c r="F29" s="29">
        <f t="shared" si="4"/>
        <v>0</v>
      </c>
      <c r="G29" s="29">
        <v>0</v>
      </c>
      <c r="H29" s="29">
        <f t="shared" si="5"/>
        <v>0</v>
      </c>
      <c r="I29" s="29">
        <v>0</v>
      </c>
      <c r="J29" s="29">
        <f t="shared" si="6"/>
        <v>0</v>
      </c>
      <c r="K29" s="30">
        <f t="shared" si="7"/>
        <v>0</v>
      </c>
      <c r="M29" s="21"/>
    </row>
    <row r="30" spans="1:13" ht="16.5" customHeight="1" x14ac:dyDescent="0.2">
      <c r="A30" s="51"/>
      <c r="B30" s="123" t="s">
        <v>300</v>
      </c>
      <c r="C30" s="168" t="s">
        <v>10</v>
      </c>
      <c r="D30" s="52">
        <v>1</v>
      </c>
      <c r="E30" s="88">
        <v>0</v>
      </c>
      <c r="F30" s="29">
        <f t="shared" si="4"/>
        <v>0</v>
      </c>
      <c r="G30" s="29">
        <v>0</v>
      </c>
      <c r="H30" s="29">
        <f t="shared" si="5"/>
        <v>0</v>
      </c>
      <c r="I30" s="29">
        <v>0</v>
      </c>
      <c r="J30" s="29">
        <f t="shared" si="6"/>
        <v>0</v>
      </c>
      <c r="K30" s="30">
        <f t="shared" si="7"/>
        <v>0</v>
      </c>
      <c r="M30" s="21"/>
    </row>
    <row r="31" spans="1:13" ht="15.75" customHeight="1" x14ac:dyDescent="0.2">
      <c r="A31" s="51"/>
      <c r="B31" s="123" t="s">
        <v>264</v>
      </c>
      <c r="C31" s="168" t="s">
        <v>8</v>
      </c>
      <c r="D31" s="52">
        <v>20</v>
      </c>
      <c r="E31" s="88">
        <v>0</v>
      </c>
      <c r="F31" s="29">
        <f t="shared" si="4"/>
        <v>0</v>
      </c>
      <c r="G31" s="29">
        <v>0</v>
      </c>
      <c r="H31" s="29">
        <f t="shared" si="5"/>
        <v>0</v>
      </c>
      <c r="I31" s="29">
        <v>0</v>
      </c>
      <c r="J31" s="29">
        <f t="shared" si="6"/>
        <v>0</v>
      </c>
      <c r="K31" s="30">
        <f t="shared" si="7"/>
        <v>0</v>
      </c>
      <c r="L31" s="21"/>
      <c r="M31" s="21"/>
    </row>
    <row r="32" spans="1:13" ht="15.75" customHeight="1" x14ac:dyDescent="0.2">
      <c r="A32" s="51"/>
      <c r="B32" s="123" t="s">
        <v>275</v>
      </c>
      <c r="C32" s="168" t="s">
        <v>9</v>
      </c>
      <c r="D32" s="52">
        <v>10</v>
      </c>
      <c r="E32" s="88">
        <v>0</v>
      </c>
      <c r="F32" s="29">
        <f t="shared" si="4"/>
        <v>0</v>
      </c>
      <c r="G32" s="29">
        <v>0</v>
      </c>
      <c r="H32" s="29">
        <f t="shared" si="5"/>
        <v>0</v>
      </c>
      <c r="I32" s="29">
        <v>0</v>
      </c>
      <c r="J32" s="29">
        <f t="shared" si="6"/>
        <v>0</v>
      </c>
      <c r="K32" s="30">
        <f t="shared" si="7"/>
        <v>0</v>
      </c>
      <c r="L32" s="21"/>
      <c r="M32" s="21"/>
    </row>
    <row r="33" spans="1:13" ht="12.75" customHeight="1" x14ac:dyDescent="0.2">
      <c r="A33" s="51"/>
      <c r="B33" s="123" t="s">
        <v>298</v>
      </c>
      <c r="C33" s="168" t="s">
        <v>8</v>
      </c>
      <c r="D33" s="27">
        <v>1000</v>
      </c>
      <c r="E33" s="88">
        <v>0</v>
      </c>
      <c r="F33" s="29">
        <f t="shared" si="4"/>
        <v>0</v>
      </c>
      <c r="G33" s="29">
        <v>0</v>
      </c>
      <c r="H33" s="29">
        <f t="shared" si="5"/>
        <v>0</v>
      </c>
      <c r="I33" s="29">
        <v>0</v>
      </c>
      <c r="J33" s="29">
        <f t="shared" si="6"/>
        <v>0</v>
      </c>
      <c r="K33" s="30">
        <f t="shared" si="7"/>
        <v>0</v>
      </c>
      <c r="L33" s="21"/>
      <c r="M33" s="21"/>
    </row>
    <row r="34" spans="1:13" ht="15" customHeight="1" x14ac:dyDescent="0.2">
      <c r="A34" s="51"/>
      <c r="B34" s="123" t="s">
        <v>266</v>
      </c>
      <c r="C34" s="168" t="s">
        <v>267</v>
      </c>
      <c r="D34" s="198">
        <v>1</v>
      </c>
      <c r="E34" s="88">
        <v>0</v>
      </c>
      <c r="F34" s="29">
        <f t="shared" si="4"/>
        <v>0</v>
      </c>
      <c r="G34" s="29">
        <v>0</v>
      </c>
      <c r="H34" s="29">
        <f t="shared" si="5"/>
        <v>0</v>
      </c>
      <c r="I34" s="29">
        <v>0</v>
      </c>
      <c r="J34" s="29">
        <f t="shared" si="6"/>
        <v>0</v>
      </c>
      <c r="K34" s="30">
        <f t="shared" si="7"/>
        <v>0</v>
      </c>
      <c r="L34" s="21"/>
      <c r="M34" s="21"/>
    </row>
    <row r="35" spans="1:13" ht="16.5" customHeight="1" x14ac:dyDescent="0.2">
      <c r="A35" s="51"/>
      <c r="B35" s="123" t="s">
        <v>163</v>
      </c>
      <c r="C35" s="168" t="s">
        <v>10</v>
      </c>
      <c r="D35" s="52">
        <v>1</v>
      </c>
      <c r="E35" s="88">
        <v>0</v>
      </c>
      <c r="F35" s="29">
        <f t="shared" si="4"/>
        <v>0</v>
      </c>
      <c r="G35" s="29">
        <v>0</v>
      </c>
      <c r="H35" s="29">
        <f t="shared" si="5"/>
        <v>0</v>
      </c>
      <c r="I35" s="29">
        <v>0</v>
      </c>
      <c r="J35" s="29">
        <f t="shared" si="6"/>
        <v>0</v>
      </c>
      <c r="K35" s="30">
        <f t="shared" si="7"/>
        <v>0</v>
      </c>
    </row>
    <row r="36" spans="1:13" ht="24" customHeight="1" x14ac:dyDescent="0.2">
      <c r="A36" s="22">
        <v>3</v>
      </c>
      <c r="B36" s="170" t="s">
        <v>316</v>
      </c>
      <c r="C36" s="33"/>
      <c r="D36" s="49"/>
      <c r="E36" s="49"/>
      <c r="F36" s="49"/>
      <c r="G36" s="49"/>
      <c r="H36" s="49"/>
      <c r="I36" s="49"/>
      <c r="J36" s="49"/>
      <c r="K36" s="50"/>
      <c r="L36" s="21"/>
    </row>
    <row r="37" spans="1:13" ht="12.75" customHeight="1" x14ac:dyDescent="0.2">
      <c r="A37" s="51"/>
      <c r="B37" s="34" t="s">
        <v>257</v>
      </c>
      <c r="C37" s="26"/>
      <c r="D37" s="27"/>
      <c r="E37" s="28"/>
      <c r="F37" s="29"/>
      <c r="G37" s="29"/>
      <c r="H37" s="29"/>
      <c r="I37" s="29"/>
      <c r="J37" s="29"/>
      <c r="K37" s="30"/>
      <c r="L37" s="21"/>
    </row>
    <row r="38" spans="1:13" ht="19.5" customHeight="1" x14ac:dyDescent="0.2">
      <c r="A38" s="51"/>
      <c r="B38" s="123" t="s">
        <v>315</v>
      </c>
      <c r="C38" s="26" t="s">
        <v>15</v>
      </c>
      <c r="D38" s="27">
        <v>813</v>
      </c>
      <c r="E38" s="28">
        <v>0</v>
      </c>
      <c r="F38" s="29">
        <f t="shared" ref="F38:F54" si="8">E38*D38</f>
        <v>0</v>
      </c>
      <c r="G38" s="88">
        <v>0</v>
      </c>
      <c r="H38" s="29">
        <f t="shared" ref="H38:H54" si="9">G38*D38</f>
        <v>0</v>
      </c>
      <c r="I38" s="29">
        <v>0</v>
      </c>
      <c r="J38" s="29">
        <f t="shared" ref="J38:J54" si="10">I38*D38</f>
        <v>0</v>
      </c>
      <c r="K38" s="30">
        <f t="shared" ref="K38:K54" si="11">J38+H38+F38</f>
        <v>0</v>
      </c>
      <c r="L38" s="21"/>
    </row>
    <row r="39" spans="1:13" ht="15.75" customHeight="1" x14ac:dyDescent="0.2">
      <c r="A39" s="51"/>
      <c r="B39" s="123" t="s">
        <v>314</v>
      </c>
      <c r="C39" s="26" t="s">
        <v>17</v>
      </c>
      <c r="D39" s="27">
        <v>66.599999999999994</v>
      </c>
      <c r="E39" s="28">
        <v>0</v>
      </c>
      <c r="F39" s="29">
        <f t="shared" si="8"/>
        <v>0</v>
      </c>
      <c r="G39" s="88">
        <v>0</v>
      </c>
      <c r="H39" s="29">
        <f t="shared" si="9"/>
        <v>0</v>
      </c>
      <c r="I39" s="29">
        <v>0</v>
      </c>
      <c r="J39" s="29">
        <f t="shared" si="10"/>
        <v>0</v>
      </c>
      <c r="K39" s="30">
        <f t="shared" si="11"/>
        <v>0</v>
      </c>
    </row>
    <row r="40" spans="1:13" ht="20.25" customHeight="1" x14ac:dyDescent="0.2">
      <c r="A40" s="51"/>
      <c r="B40" s="123" t="s">
        <v>312</v>
      </c>
      <c r="C40" s="26" t="s">
        <v>15</v>
      </c>
      <c r="D40" s="27">
        <f>66.6*1*1.2</f>
        <v>79.919999999999987</v>
      </c>
      <c r="E40" s="28">
        <v>0</v>
      </c>
      <c r="F40" s="29">
        <f t="shared" si="8"/>
        <v>0</v>
      </c>
      <c r="G40" s="88">
        <v>0</v>
      </c>
      <c r="H40" s="29">
        <f t="shared" si="9"/>
        <v>0</v>
      </c>
      <c r="I40" s="29">
        <v>0</v>
      </c>
      <c r="J40" s="29">
        <f t="shared" si="10"/>
        <v>0</v>
      </c>
      <c r="K40" s="30">
        <f t="shared" si="11"/>
        <v>0</v>
      </c>
    </row>
    <row r="41" spans="1:13" ht="30.75" customHeight="1" x14ac:dyDescent="0.2">
      <c r="A41" s="51"/>
      <c r="B41" s="123" t="s">
        <v>319</v>
      </c>
      <c r="C41" s="121" t="s">
        <v>8</v>
      </c>
      <c r="D41" s="122">
        <v>2</v>
      </c>
      <c r="E41" s="28">
        <v>0</v>
      </c>
      <c r="F41" s="29">
        <f t="shared" si="8"/>
        <v>0</v>
      </c>
      <c r="G41" s="88">
        <v>0</v>
      </c>
      <c r="H41" s="29">
        <f t="shared" si="9"/>
        <v>0</v>
      </c>
      <c r="I41" s="29">
        <v>0</v>
      </c>
      <c r="J41" s="29">
        <f t="shared" si="10"/>
        <v>0</v>
      </c>
      <c r="K41" s="30">
        <f t="shared" si="11"/>
        <v>0</v>
      </c>
      <c r="M41" s="21"/>
    </row>
    <row r="42" spans="1:13" ht="15.75" customHeight="1" x14ac:dyDescent="0.2">
      <c r="A42" s="51"/>
      <c r="B42" s="123" t="s">
        <v>184</v>
      </c>
      <c r="C42" s="168" t="s">
        <v>15</v>
      </c>
      <c r="D42" s="52">
        <v>208</v>
      </c>
      <c r="E42" s="28">
        <v>0</v>
      </c>
      <c r="F42" s="29">
        <f t="shared" si="8"/>
        <v>0</v>
      </c>
      <c r="G42" s="29">
        <v>0</v>
      </c>
      <c r="H42" s="29">
        <f t="shared" si="9"/>
        <v>0</v>
      </c>
      <c r="I42" s="88">
        <v>0</v>
      </c>
      <c r="J42" s="29">
        <f t="shared" si="10"/>
        <v>0</v>
      </c>
      <c r="K42" s="30">
        <f t="shared" si="11"/>
        <v>0</v>
      </c>
      <c r="M42" s="21"/>
    </row>
    <row r="43" spans="1:13" ht="15" customHeight="1" x14ac:dyDescent="0.2">
      <c r="A43" s="51"/>
      <c r="B43" s="123" t="s">
        <v>258</v>
      </c>
      <c r="C43" s="168" t="s">
        <v>181</v>
      </c>
      <c r="D43" s="52">
        <v>1</v>
      </c>
      <c r="E43" s="28">
        <v>0</v>
      </c>
      <c r="F43" s="29">
        <f t="shared" si="8"/>
        <v>0</v>
      </c>
      <c r="G43" s="29">
        <v>0</v>
      </c>
      <c r="H43" s="29">
        <f t="shared" si="9"/>
        <v>0</v>
      </c>
      <c r="I43" s="88">
        <v>0</v>
      </c>
      <c r="J43" s="29">
        <f t="shared" si="10"/>
        <v>0</v>
      </c>
      <c r="K43" s="30">
        <f t="shared" si="11"/>
        <v>0</v>
      </c>
      <c r="M43" s="21"/>
    </row>
    <row r="44" spans="1:13" ht="16.5" customHeight="1" x14ac:dyDescent="0.2">
      <c r="A44" s="51"/>
      <c r="B44" s="123" t="s">
        <v>260</v>
      </c>
      <c r="C44" s="168" t="s">
        <v>10</v>
      </c>
      <c r="D44" s="52">
        <v>1</v>
      </c>
      <c r="E44" s="28">
        <v>0</v>
      </c>
      <c r="F44" s="29">
        <f t="shared" si="8"/>
        <v>0</v>
      </c>
      <c r="G44" s="29">
        <v>0</v>
      </c>
      <c r="H44" s="29">
        <f t="shared" si="9"/>
        <v>0</v>
      </c>
      <c r="I44" s="88">
        <v>0</v>
      </c>
      <c r="J44" s="29">
        <f t="shared" si="10"/>
        <v>0</v>
      </c>
      <c r="K44" s="30">
        <f t="shared" si="11"/>
        <v>0</v>
      </c>
      <c r="M44" s="21"/>
    </row>
    <row r="45" spans="1:13" ht="12.75" customHeight="1" x14ac:dyDescent="0.2">
      <c r="A45" s="51"/>
      <c r="B45" s="34" t="s">
        <v>169</v>
      </c>
      <c r="C45" s="26"/>
      <c r="D45" s="27"/>
      <c r="E45" s="28"/>
      <c r="F45" s="29"/>
      <c r="G45" s="29"/>
      <c r="H45" s="29"/>
      <c r="I45" s="29"/>
      <c r="J45" s="29"/>
      <c r="K45" s="30"/>
      <c r="M45" s="3"/>
    </row>
    <row r="46" spans="1:13" ht="30" customHeight="1" x14ac:dyDescent="0.2">
      <c r="A46" s="51"/>
      <c r="B46" s="123" t="s">
        <v>311</v>
      </c>
      <c r="C46" s="168" t="s">
        <v>8</v>
      </c>
      <c r="D46" s="52">
        <v>2</v>
      </c>
      <c r="E46" s="88">
        <v>0</v>
      </c>
      <c r="F46" s="29">
        <f t="shared" si="8"/>
        <v>0</v>
      </c>
      <c r="G46" s="29">
        <v>0</v>
      </c>
      <c r="H46" s="29">
        <f t="shared" si="9"/>
        <v>0</v>
      </c>
      <c r="I46" s="29">
        <v>0</v>
      </c>
      <c r="J46" s="29">
        <f t="shared" si="10"/>
        <v>0</v>
      </c>
      <c r="K46" s="30">
        <f t="shared" si="11"/>
        <v>0</v>
      </c>
      <c r="L46" s="21"/>
      <c r="M46" s="21"/>
    </row>
    <row r="47" spans="1:13" ht="12.75" customHeight="1" x14ac:dyDescent="0.2">
      <c r="A47" s="51"/>
      <c r="B47" s="123" t="s">
        <v>310</v>
      </c>
      <c r="C47" s="168" t="s">
        <v>15</v>
      </c>
      <c r="D47" s="27">
        <f>(66.6*1*1.2)*2</f>
        <v>159.83999999999997</v>
      </c>
      <c r="E47" s="88">
        <v>0</v>
      </c>
      <c r="F47" s="29">
        <f t="shared" si="8"/>
        <v>0</v>
      </c>
      <c r="G47" s="29">
        <v>0</v>
      </c>
      <c r="H47" s="29">
        <f t="shared" si="9"/>
        <v>0</v>
      </c>
      <c r="I47" s="29">
        <v>0</v>
      </c>
      <c r="J47" s="29">
        <f t="shared" si="10"/>
        <v>0</v>
      </c>
      <c r="K47" s="30">
        <f t="shared" si="11"/>
        <v>0</v>
      </c>
      <c r="L47" s="21"/>
      <c r="M47" s="21"/>
    </row>
    <row r="48" spans="1:13" ht="12.75" customHeight="1" x14ac:dyDescent="0.2">
      <c r="A48" s="51"/>
      <c r="B48" s="123" t="s">
        <v>140</v>
      </c>
      <c r="C48" s="168" t="s">
        <v>309</v>
      </c>
      <c r="D48" s="198">
        <v>22</v>
      </c>
      <c r="E48" s="88">
        <v>0</v>
      </c>
      <c r="F48" s="29">
        <f t="shared" si="8"/>
        <v>0</v>
      </c>
      <c r="G48" s="29">
        <v>0</v>
      </c>
      <c r="H48" s="29">
        <f t="shared" si="9"/>
        <v>0</v>
      </c>
      <c r="I48" s="29">
        <v>0</v>
      </c>
      <c r="J48" s="29">
        <f t="shared" si="10"/>
        <v>0</v>
      </c>
      <c r="K48" s="30">
        <f t="shared" si="11"/>
        <v>0</v>
      </c>
      <c r="L48" s="21"/>
      <c r="M48" s="21"/>
    </row>
    <row r="49" spans="1:13" ht="19.5" customHeight="1" x14ac:dyDescent="0.2">
      <c r="A49" s="51"/>
      <c r="B49" s="123" t="s">
        <v>313</v>
      </c>
      <c r="C49" s="168" t="s">
        <v>15</v>
      </c>
      <c r="D49" s="52">
        <v>133</v>
      </c>
      <c r="E49" s="88">
        <v>0</v>
      </c>
      <c r="F49" s="29">
        <f t="shared" si="8"/>
        <v>0</v>
      </c>
      <c r="G49" s="29">
        <v>0</v>
      </c>
      <c r="H49" s="29">
        <f t="shared" si="9"/>
        <v>0</v>
      </c>
      <c r="I49" s="29">
        <v>0</v>
      </c>
      <c r="J49" s="29">
        <f t="shared" si="10"/>
        <v>0</v>
      </c>
      <c r="K49" s="30">
        <f t="shared" si="11"/>
        <v>0</v>
      </c>
    </row>
    <row r="50" spans="1:13" s="57" customFormat="1" ht="15" customHeight="1" x14ac:dyDescent="0.2">
      <c r="A50" s="91"/>
      <c r="B50" s="123" t="s">
        <v>317</v>
      </c>
      <c r="C50" s="128" t="s">
        <v>15</v>
      </c>
      <c r="D50" s="204">
        <v>20</v>
      </c>
      <c r="E50" s="88">
        <v>0</v>
      </c>
      <c r="F50" s="29">
        <f t="shared" si="8"/>
        <v>0</v>
      </c>
      <c r="G50" s="29">
        <v>0</v>
      </c>
      <c r="H50" s="29">
        <f t="shared" si="9"/>
        <v>0</v>
      </c>
      <c r="I50" s="29">
        <v>0</v>
      </c>
      <c r="J50" s="29">
        <f t="shared" si="10"/>
        <v>0</v>
      </c>
      <c r="K50" s="30">
        <f t="shared" si="11"/>
        <v>0</v>
      </c>
      <c r="L50" s="94"/>
    </row>
    <row r="51" spans="1:13" s="57" customFormat="1" ht="15" customHeight="1" x14ac:dyDescent="0.2">
      <c r="A51" s="91"/>
      <c r="B51" s="123" t="s">
        <v>298</v>
      </c>
      <c r="C51" s="128" t="s">
        <v>8</v>
      </c>
      <c r="D51" s="204">
        <v>500</v>
      </c>
      <c r="E51" s="88">
        <v>0</v>
      </c>
      <c r="F51" s="29">
        <f t="shared" si="8"/>
        <v>0</v>
      </c>
      <c r="G51" s="29">
        <v>0</v>
      </c>
      <c r="H51" s="29">
        <f t="shared" si="9"/>
        <v>0</v>
      </c>
      <c r="I51" s="29">
        <v>0</v>
      </c>
      <c r="J51" s="29">
        <f t="shared" si="10"/>
        <v>0</v>
      </c>
      <c r="K51" s="30">
        <f t="shared" si="11"/>
        <v>0</v>
      </c>
      <c r="L51" s="94"/>
    </row>
    <row r="52" spans="1:13" ht="15.75" customHeight="1" x14ac:dyDescent="0.2">
      <c r="A52" s="51"/>
      <c r="B52" s="123" t="s">
        <v>264</v>
      </c>
      <c r="C52" s="168" t="s">
        <v>8</v>
      </c>
      <c r="D52" s="52">
        <v>5</v>
      </c>
      <c r="E52" s="88">
        <v>0</v>
      </c>
      <c r="F52" s="29">
        <f t="shared" si="8"/>
        <v>0</v>
      </c>
      <c r="G52" s="29">
        <v>0</v>
      </c>
      <c r="H52" s="29">
        <f t="shared" si="9"/>
        <v>0</v>
      </c>
      <c r="I52" s="29">
        <v>0</v>
      </c>
      <c r="J52" s="29">
        <f t="shared" si="10"/>
        <v>0</v>
      </c>
      <c r="K52" s="30">
        <f t="shared" si="11"/>
        <v>0</v>
      </c>
      <c r="L52" s="21"/>
      <c r="M52" s="21"/>
    </row>
    <row r="53" spans="1:13" ht="15.75" customHeight="1" x14ac:dyDescent="0.2">
      <c r="A53" s="51"/>
      <c r="B53" s="123" t="s">
        <v>300</v>
      </c>
      <c r="C53" s="168" t="s">
        <v>10</v>
      </c>
      <c r="D53" s="52">
        <v>1</v>
      </c>
      <c r="E53" s="88">
        <v>0</v>
      </c>
      <c r="F53" s="29">
        <f t="shared" si="8"/>
        <v>0</v>
      </c>
      <c r="G53" s="29">
        <v>0</v>
      </c>
      <c r="H53" s="29">
        <f t="shared" si="9"/>
        <v>0</v>
      </c>
      <c r="I53" s="29">
        <v>0</v>
      </c>
      <c r="J53" s="29">
        <f t="shared" si="10"/>
        <v>0</v>
      </c>
      <c r="K53" s="30">
        <f t="shared" si="11"/>
        <v>0</v>
      </c>
      <c r="L53" s="21"/>
      <c r="M53" s="21"/>
    </row>
    <row r="54" spans="1:13" s="57" customFormat="1" ht="15" customHeight="1" x14ac:dyDescent="0.2">
      <c r="A54" s="91"/>
      <c r="B54" s="123" t="s">
        <v>163</v>
      </c>
      <c r="C54" s="128" t="s">
        <v>10</v>
      </c>
      <c r="D54" s="19">
        <v>1</v>
      </c>
      <c r="E54" s="88">
        <v>0</v>
      </c>
      <c r="F54" s="29">
        <f t="shared" si="8"/>
        <v>0</v>
      </c>
      <c r="G54" s="29">
        <v>0</v>
      </c>
      <c r="H54" s="29">
        <f t="shared" si="9"/>
        <v>0</v>
      </c>
      <c r="I54" s="29">
        <v>0</v>
      </c>
      <c r="J54" s="29">
        <f t="shared" si="10"/>
        <v>0</v>
      </c>
      <c r="K54" s="30">
        <f t="shared" si="11"/>
        <v>0</v>
      </c>
      <c r="L54" s="94"/>
    </row>
    <row r="55" spans="1:13" ht="24" customHeight="1" x14ac:dyDescent="0.2">
      <c r="A55" s="22">
        <v>4</v>
      </c>
      <c r="B55" s="170" t="s">
        <v>318</v>
      </c>
      <c r="C55" s="33"/>
      <c r="D55" s="49"/>
      <c r="E55" s="49"/>
      <c r="F55" s="49"/>
      <c r="G55" s="49"/>
      <c r="H55" s="49"/>
      <c r="I55" s="49"/>
      <c r="J55" s="49"/>
      <c r="K55" s="50"/>
      <c r="L55" s="21"/>
    </row>
    <row r="56" spans="1:13" ht="12.75" customHeight="1" x14ac:dyDescent="0.2">
      <c r="A56" s="51"/>
      <c r="B56" s="34" t="s">
        <v>257</v>
      </c>
      <c r="C56" s="26"/>
      <c r="D56" s="27"/>
      <c r="E56" s="28"/>
      <c r="F56" s="29"/>
      <c r="G56" s="29"/>
      <c r="H56" s="29"/>
      <c r="I56" s="29"/>
      <c r="J56" s="29"/>
      <c r="K56" s="30"/>
      <c r="L56" s="21"/>
    </row>
    <row r="57" spans="1:13" s="57" customFormat="1" ht="30.75" customHeight="1" x14ac:dyDescent="0.2">
      <c r="A57" s="91"/>
      <c r="B57" s="171" t="s">
        <v>320</v>
      </c>
      <c r="C57" s="128" t="s">
        <v>17</v>
      </c>
      <c r="D57" s="204">
        <v>27</v>
      </c>
      <c r="E57" s="28">
        <v>0</v>
      </c>
      <c r="F57" s="29">
        <f t="shared" ref="F57:F64" si="12">E57*D57</f>
        <v>0</v>
      </c>
      <c r="G57" s="88">
        <v>0</v>
      </c>
      <c r="H57" s="29">
        <f t="shared" ref="H57:H64" si="13">G57*D57</f>
        <v>0</v>
      </c>
      <c r="I57" s="29">
        <v>0</v>
      </c>
      <c r="J57" s="29">
        <f t="shared" ref="J57:J64" si="14">I57*D57</f>
        <v>0</v>
      </c>
      <c r="K57" s="30">
        <f t="shared" ref="K57:K64" si="15">J57+H57+F57</f>
        <v>0</v>
      </c>
      <c r="L57" s="94"/>
    </row>
    <row r="58" spans="1:13" s="57" customFormat="1" ht="19.5" customHeight="1" x14ac:dyDescent="0.2">
      <c r="A58" s="91"/>
      <c r="B58" s="171" t="s">
        <v>322</v>
      </c>
      <c r="C58" s="128" t="s">
        <v>17</v>
      </c>
      <c r="D58" s="204">
        <v>27</v>
      </c>
      <c r="E58" s="28">
        <v>0</v>
      </c>
      <c r="F58" s="29">
        <f t="shared" si="12"/>
        <v>0</v>
      </c>
      <c r="G58" s="88">
        <v>0</v>
      </c>
      <c r="H58" s="29">
        <f t="shared" si="13"/>
        <v>0</v>
      </c>
      <c r="I58" s="29">
        <v>0</v>
      </c>
      <c r="J58" s="29">
        <f t="shared" si="14"/>
        <v>0</v>
      </c>
      <c r="K58" s="30">
        <f t="shared" si="15"/>
        <v>0</v>
      </c>
      <c r="L58" s="94"/>
    </row>
    <row r="59" spans="1:13" s="57" customFormat="1" ht="22.5" customHeight="1" x14ac:dyDescent="0.2">
      <c r="A59" s="91"/>
      <c r="B59" s="171" t="s">
        <v>321</v>
      </c>
      <c r="C59" s="128" t="s">
        <v>17</v>
      </c>
      <c r="D59" s="204">
        <v>60</v>
      </c>
      <c r="E59" s="28">
        <v>0</v>
      </c>
      <c r="F59" s="29">
        <f t="shared" si="12"/>
        <v>0</v>
      </c>
      <c r="G59" s="88">
        <v>0</v>
      </c>
      <c r="H59" s="29">
        <f t="shared" si="13"/>
        <v>0</v>
      </c>
      <c r="I59" s="29">
        <v>0</v>
      </c>
      <c r="J59" s="29">
        <f t="shared" si="14"/>
        <v>0</v>
      </c>
      <c r="K59" s="30">
        <f t="shared" si="15"/>
        <v>0</v>
      </c>
      <c r="L59" s="94"/>
    </row>
    <row r="60" spans="1:13" ht="16.5" customHeight="1" x14ac:dyDescent="0.2">
      <c r="A60" s="51"/>
      <c r="B60" s="123" t="s">
        <v>260</v>
      </c>
      <c r="C60" s="168" t="s">
        <v>10</v>
      </c>
      <c r="D60" s="52">
        <v>1</v>
      </c>
      <c r="E60" s="28">
        <v>0</v>
      </c>
      <c r="F60" s="29">
        <f t="shared" si="12"/>
        <v>0</v>
      </c>
      <c r="G60" s="29">
        <v>0</v>
      </c>
      <c r="H60" s="29">
        <f t="shared" si="13"/>
        <v>0</v>
      </c>
      <c r="I60" s="88">
        <v>0</v>
      </c>
      <c r="J60" s="29">
        <f t="shared" si="14"/>
        <v>0</v>
      </c>
      <c r="K60" s="30">
        <f t="shared" si="15"/>
        <v>0</v>
      </c>
      <c r="M60" s="21"/>
    </row>
    <row r="61" spans="1:13" ht="12.75" customHeight="1" x14ac:dyDescent="0.2">
      <c r="A61" s="51"/>
      <c r="B61" s="34" t="s">
        <v>169</v>
      </c>
      <c r="C61" s="26"/>
      <c r="D61" s="27"/>
      <c r="E61" s="28">
        <v>0</v>
      </c>
      <c r="F61" s="29">
        <f t="shared" si="12"/>
        <v>0</v>
      </c>
      <c r="G61" s="29">
        <v>0</v>
      </c>
      <c r="H61" s="29">
        <f t="shared" si="13"/>
        <v>0</v>
      </c>
      <c r="I61" s="29">
        <v>0</v>
      </c>
      <c r="J61" s="29">
        <f t="shared" si="14"/>
        <v>0</v>
      </c>
      <c r="K61" s="30">
        <f t="shared" si="15"/>
        <v>0</v>
      </c>
      <c r="M61" s="3"/>
    </row>
    <row r="62" spans="1:13" s="57" customFormat="1" ht="15" customHeight="1" x14ac:dyDescent="0.2">
      <c r="A62" s="91"/>
      <c r="B62" s="171" t="s">
        <v>323</v>
      </c>
      <c r="C62" s="128" t="s">
        <v>17</v>
      </c>
      <c r="D62" s="204">
        <v>27</v>
      </c>
      <c r="E62" s="88">
        <v>0</v>
      </c>
      <c r="F62" s="29">
        <f t="shared" si="12"/>
        <v>0</v>
      </c>
      <c r="G62" s="29">
        <v>0</v>
      </c>
      <c r="H62" s="29">
        <f t="shared" si="13"/>
        <v>0</v>
      </c>
      <c r="I62" s="29">
        <v>0</v>
      </c>
      <c r="J62" s="29">
        <f t="shared" si="14"/>
        <v>0</v>
      </c>
      <c r="K62" s="30">
        <f t="shared" si="15"/>
        <v>0</v>
      </c>
      <c r="L62" s="94"/>
    </row>
    <row r="63" spans="1:13" s="57" customFormat="1" ht="15" customHeight="1" x14ac:dyDescent="0.2">
      <c r="A63" s="91"/>
      <c r="B63" s="171" t="s">
        <v>310</v>
      </c>
      <c r="C63" s="128" t="s">
        <v>15</v>
      </c>
      <c r="D63" s="204">
        <v>144</v>
      </c>
      <c r="E63" s="88">
        <v>0</v>
      </c>
      <c r="F63" s="29">
        <f t="shared" si="12"/>
        <v>0</v>
      </c>
      <c r="G63" s="29">
        <v>0</v>
      </c>
      <c r="H63" s="29">
        <f t="shared" si="13"/>
        <v>0</v>
      </c>
      <c r="I63" s="29">
        <v>0</v>
      </c>
      <c r="J63" s="29">
        <f t="shared" si="14"/>
        <v>0</v>
      </c>
      <c r="K63" s="30">
        <f t="shared" si="15"/>
        <v>0</v>
      </c>
      <c r="L63" s="94"/>
    </row>
    <row r="64" spans="1:13" s="57" customFormat="1" ht="15" customHeight="1" x14ac:dyDescent="0.2">
      <c r="A64" s="91"/>
      <c r="B64" s="123" t="s">
        <v>239</v>
      </c>
      <c r="C64" s="128" t="s">
        <v>10</v>
      </c>
      <c r="D64" s="204">
        <v>1</v>
      </c>
      <c r="E64" s="88">
        <v>0</v>
      </c>
      <c r="F64" s="29">
        <f t="shared" si="12"/>
        <v>0</v>
      </c>
      <c r="G64" s="29">
        <v>0</v>
      </c>
      <c r="H64" s="29">
        <f t="shared" si="13"/>
        <v>0</v>
      </c>
      <c r="I64" s="29">
        <v>0</v>
      </c>
      <c r="J64" s="29">
        <f t="shared" si="14"/>
        <v>0</v>
      </c>
      <c r="K64" s="30">
        <f t="shared" si="15"/>
        <v>0</v>
      </c>
      <c r="L64" s="94"/>
    </row>
    <row r="65" spans="1:12" ht="24" customHeight="1" x14ac:dyDescent="0.2">
      <c r="A65" s="22">
        <v>5</v>
      </c>
      <c r="B65" s="170" t="s">
        <v>324</v>
      </c>
      <c r="C65" s="33"/>
      <c r="D65" s="49"/>
      <c r="E65" s="49"/>
      <c r="F65" s="49"/>
      <c r="G65" s="49"/>
      <c r="H65" s="49"/>
      <c r="I65" s="49"/>
      <c r="J65" s="49"/>
      <c r="K65" s="50"/>
      <c r="L65" s="21"/>
    </row>
    <row r="66" spans="1:12" s="57" customFormat="1" ht="16.5" customHeight="1" x14ac:dyDescent="0.2">
      <c r="A66" s="91"/>
      <c r="B66" s="34" t="s">
        <v>257</v>
      </c>
      <c r="C66" s="168" t="s">
        <v>20</v>
      </c>
      <c r="D66" s="27">
        <v>1</v>
      </c>
      <c r="E66" s="28">
        <v>0</v>
      </c>
      <c r="F66" s="29">
        <f t="shared" ref="F66:F67" si="16">E66*D66</f>
        <v>0</v>
      </c>
      <c r="G66" s="88">
        <v>0</v>
      </c>
      <c r="H66" s="29">
        <f t="shared" ref="H66:H67" si="17">G66*D66</f>
        <v>0</v>
      </c>
      <c r="I66" s="29">
        <v>0</v>
      </c>
      <c r="J66" s="29">
        <f t="shared" ref="J66:J67" si="18">I66*D66</f>
        <v>0</v>
      </c>
      <c r="K66" s="30">
        <f t="shared" ref="K66:K67" si="19">J66+H66+F66</f>
        <v>0</v>
      </c>
      <c r="L66" s="94"/>
    </row>
    <row r="67" spans="1:12" s="57" customFormat="1" ht="42.75" customHeight="1" x14ac:dyDescent="0.2">
      <c r="A67" s="91"/>
      <c r="B67" s="171" t="s">
        <v>272</v>
      </c>
      <c r="C67" s="26" t="s">
        <v>20</v>
      </c>
      <c r="D67" s="27">
        <v>1</v>
      </c>
      <c r="E67" s="28">
        <v>0</v>
      </c>
      <c r="F67" s="29">
        <f t="shared" si="16"/>
        <v>0</v>
      </c>
      <c r="G67" s="29">
        <v>0</v>
      </c>
      <c r="H67" s="29">
        <f t="shared" si="17"/>
        <v>0</v>
      </c>
      <c r="I67" s="88">
        <v>0</v>
      </c>
      <c r="J67" s="29">
        <f t="shared" si="18"/>
        <v>0</v>
      </c>
      <c r="K67" s="30">
        <f t="shared" si="19"/>
        <v>0</v>
      </c>
      <c r="L67" s="94"/>
    </row>
    <row r="68" spans="1:12" s="72" customFormat="1" ht="16.5" customHeight="1" x14ac:dyDescent="0.25">
      <c r="A68" s="22"/>
      <c r="B68" s="48" t="s">
        <v>7</v>
      </c>
      <c r="C68" s="69"/>
      <c r="D68" s="49"/>
      <c r="E68" s="49"/>
      <c r="F68" s="70">
        <f>SUM(F11:F67)</f>
        <v>0</v>
      </c>
      <c r="G68" s="49"/>
      <c r="H68" s="70">
        <f>SUM(H11:H67)</f>
        <v>0</v>
      </c>
      <c r="I68" s="49"/>
      <c r="J68" s="70">
        <f>SUM(J11:J67)</f>
        <v>0</v>
      </c>
      <c r="K68" s="71">
        <f>SUM(K11:K67)</f>
        <v>0</v>
      </c>
    </row>
    <row r="69" spans="1:12" s="12" customFormat="1" ht="18.75" customHeight="1" x14ac:dyDescent="0.25">
      <c r="A69" s="91"/>
      <c r="B69" s="201" t="s">
        <v>18</v>
      </c>
      <c r="C69" s="90">
        <v>0</v>
      </c>
      <c r="D69" s="19"/>
      <c r="E69" s="19"/>
      <c r="F69" s="19"/>
      <c r="G69" s="19"/>
      <c r="H69" s="19"/>
      <c r="I69" s="19"/>
      <c r="J69" s="19"/>
      <c r="K69" s="202">
        <f>C69*F68</f>
        <v>0</v>
      </c>
    </row>
    <row r="70" spans="1:12" s="12" customFormat="1" ht="12.75" customHeight="1" x14ac:dyDescent="0.25">
      <c r="A70" s="22"/>
      <c r="B70" s="48" t="s">
        <v>7</v>
      </c>
      <c r="C70" s="78"/>
      <c r="D70" s="49"/>
      <c r="E70" s="49"/>
      <c r="F70" s="49"/>
      <c r="G70" s="49"/>
      <c r="H70" s="49"/>
      <c r="I70" s="49"/>
      <c r="J70" s="49"/>
      <c r="K70" s="71">
        <f>K69+K68</f>
        <v>0</v>
      </c>
    </row>
    <row r="71" spans="1:12" s="12" customFormat="1" ht="12.75" customHeight="1" x14ac:dyDescent="0.25">
      <c r="A71" s="91"/>
      <c r="B71" s="18" t="s">
        <v>11</v>
      </c>
      <c r="C71" s="90">
        <v>0</v>
      </c>
      <c r="D71" s="19"/>
      <c r="E71" s="19"/>
      <c r="F71" s="19"/>
      <c r="G71" s="19"/>
      <c r="H71" s="19"/>
      <c r="I71" s="19"/>
      <c r="J71" s="19"/>
      <c r="K71" s="202">
        <f>K70*C71</f>
        <v>0</v>
      </c>
    </row>
    <row r="72" spans="1:12" s="12" customFormat="1" ht="12.75" customHeight="1" x14ac:dyDescent="0.25">
      <c r="A72" s="22"/>
      <c r="B72" s="48" t="s">
        <v>7</v>
      </c>
      <c r="C72" s="78"/>
      <c r="D72" s="49"/>
      <c r="E72" s="49"/>
      <c r="F72" s="49"/>
      <c r="G72" s="49"/>
      <c r="H72" s="49"/>
      <c r="I72" s="49"/>
      <c r="J72" s="49"/>
      <c r="K72" s="71">
        <f>K71+K70</f>
        <v>0</v>
      </c>
    </row>
    <row r="73" spans="1:12" s="12" customFormat="1" ht="12.75" customHeight="1" x14ac:dyDescent="0.25">
      <c r="A73" s="91"/>
      <c r="B73" s="18" t="s">
        <v>12</v>
      </c>
      <c r="C73" s="90">
        <v>0</v>
      </c>
      <c r="D73" s="19"/>
      <c r="E73" s="19"/>
      <c r="F73" s="19"/>
      <c r="G73" s="19"/>
      <c r="H73" s="19"/>
      <c r="I73" s="19"/>
      <c r="J73" s="19"/>
      <c r="K73" s="202">
        <f>K72*C73</f>
        <v>0</v>
      </c>
    </row>
    <row r="74" spans="1:12" s="12" customFormat="1" ht="12.75" customHeight="1" x14ac:dyDescent="0.25">
      <c r="A74" s="22"/>
      <c r="B74" s="48" t="s">
        <v>7</v>
      </c>
      <c r="C74" s="78"/>
      <c r="D74" s="49"/>
      <c r="E74" s="49"/>
      <c r="F74" s="49"/>
      <c r="G74" s="49"/>
      <c r="H74" s="49"/>
      <c r="I74" s="49"/>
      <c r="J74" s="49"/>
      <c r="K74" s="71">
        <f>K72+K73</f>
        <v>0</v>
      </c>
    </row>
    <row r="75" spans="1:12" s="12" customFormat="1" ht="12.75" customHeight="1" x14ac:dyDescent="0.25">
      <c r="A75" s="91"/>
      <c r="B75" s="18" t="s">
        <v>13</v>
      </c>
      <c r="C75" s="90">
        <v>0</v>
      </c>
      <c r="D75" s="19"/>
      <c r="E75" s="19"/>
      <c r="F75" s="19"/>
      <c r="G75" s="19"/>
      <c r="H75" s="19"/>
      <c r="I75" s="19"/>
      <c r="J75" s="19"/>
      <c r="K75" s="202">
        <f>K74*C75</f>
        <v>0</v>
      </c>
    </row>
    <row r="76" spans="1:12" s="12" customFormat="1" ht="12.75" customHeight="1" x14ac:dyDescent="0.25">
      <c r="A76" s="22"/>
      <c r="B76" s="48" t="s">
        <v>7</v>
      </c>
      <c r="C76" s="78"/>
      <c r="D76" s="49"/>
      <c r="E76" s="49"/>
      <c r="F76" s="49"/>
      <c r="G76" s="49"/>
      <c r="H76" s="49"/>
      <c r="I76" s="49"/>
      <c r="J76" s="49"/>
      <c r="K76" s="71">
        <f>K74+K75</f>
        <v>0</v>
      </c>
    </row>
    <row r="77" spans="1:12" s="12" customFormat="1" ht="12.75" customHeight="1" x14ac:dyDescent="0.25">
      <c r="A77" s="91"/>
      <c r="B77" s="18" t="s">
        <v>14</v>
      </c>
      <c r="C77" s="90">
        <v>0</v>
      </c>
      <c r="D77" s="19"/>
      <c r="E77" s="19"/>
      <c r="F77" s="19"/>
      <c r="G77" s="19"/>
      <c r="H77" s="19"/>
      <c r="I77" s="19"/>
      <c r="J77" s="19"/>
      <c r="K77" s="202">
        <f>K76*C77</f>
        <v>0</v>
      </c>
    </row>
    <row r="78" spans="1:12" s="12" customFormat="1" ht="18.75" customHeight="1" x14ac:dyDescent="0.25">
      <c r="A78" s="22"/>
      <c r="B78" s="48" t="s">
        <v>7</v>
      </c>
      <c r="C78" s="80"/>
      <c r="D78" s="49"/>
      <c r="E78" s="49"/>
      <c r="F78" s="49"/>
      <c r="G78" s="49"/>
      <c r="H78" s="49"/>
      <c r="I78" s="49"/>
      <c r="J78" s="49"/>
      <c r="K78" s="71">
        <f>K76+K77</f>
        <v>0</v>
      </c>
    </row>
    <row r="79" spans="1:12" s="12" customFormat="1" ht="12.75" customHeight="1" x14ac:dyDescent="0.25">
      <c r="A79" s="91"/>
      <c r="B79" s="18" t="s">
        <v>19</v>
      </c>
      <c r="C79" s="90">
        <v>0</v>
      </c>
      <c r="D79" s="19"/>
      <c r="E79" s="19"/>
      <c r="F79" s="19"/>
      <c r="G79" s="19"/>
      <c r="H79" s="19"/>
      <c r="I79" s="19"/>
      <c r="J79" s="19"/>
      <c r="K79" s="202">
        <f>K78*C79</f>
        <v>0</v>
      </c>
    </row>
    <row r="80" spans="1:12" s="12" customFormat="1" ht="12.75" customHeight="1" thickBot="1" x14ac:dyDescent="0.3">
      <c r="A80" s="81"/>
      <c r="B80" s="82" t="s">
        <v>7</v>
      </c>
      <c r="C80" s="83"/>
      <c r="D80" s="84"/>
      <c r="E80" s="84"/>
      <c r="F80" s="84"/>
      <c r="G80" s="84"/>
      <c r="H80" s="84"/>
      <c r="I80" s="84"/>
      <c r="J80" s="84"/>
      <c r="K80" s="85">
        <f>K78+K79</f>
        <v>0</v>
      </c>
    </row>
    <row r="81" spans="2:12" ht="12.75" customHeight="1" x14ac:dyDescent="0.2">
      <c r="K81" s="21"/>
      <c r="L81" s="21"/>
    </row>
    <row r="82" spans="2:12" ht="12.75" customHeight="1" x14ac:dyDescent="0.2">
      <c r="K82" s="21"/>
      <c r="L82" s="21"/>
    </row>
    <row r="83" spans="2:12" ht="12.75" customHeight="1" x14ac:dyDescent="0.2">
      <c r="J83" s="86"/>
      <c r="K83" s="87"/>
      <c r="L83" s="21"/>
    </row>
    <row r="84" spans="2:12" ht="12.75" customHeight="1" x14ac:dyDescent="0.2"/>
    <row r="85" spans="2:12" ht="12.75" customHeight="1" x14ac:dyDescent="0.2">
      <c r="B85" s="203"/>
      <c r="C85" s="203"/>
      <c r="D85" s="203"/>
      <c r="E85" s="203"/>
      <c r="F85" s="203"/>
      <c r="G85" s="203"/>
      <c r="H85" s="203"/>
      <c r="I85" s="203"/>
      <c r="J85" s="203"/>
      <c r="K85" s="203"/>
    </row>
    <row r="86" spans="2:12" ht="12.75" customHeight="1" x14ac:dyDescent="0.2">
      <c r="B86" s="203"/>
      <c r="C86" s="203"/>
      <c r="D86" s="203"/>
      <c r="E86" s="203"/>
      <c r="F86" s="203"/>
      <c r="G86" s="203"/>
      <c r="H86" s="203"/>
      <c r="I86" s="203"/>
      <c r="J86" s="203"/>
      <c r="K86" s="203"/>
    </row>
    <row r="87" spans="2:12" ht="12.75" customHeight="1" x14ac:dyDescent="0.2">
      <c r="B87" s="203"/>
      <c r="C87" s="203"/>
      <c r="D87" s="203"/>
      <c r="E87" s="203"/>
      <c r="F87" s="203"/>
      <c r="G87" s="203"/>
      <c r="H87" s="203"/>
      <c r="I87" s="203"/>
      <c r="J87" s="203"/>
      <c r="K87" s="203"/>
    </row>
    <row r="88" spans="2:12" ht="12.75" customHeight="1" x14ac:dyDescent="0.2">
      <c r="B88" s="203"/>
      <c r="C88" s="203"/>
      <c r="D88" s="203"/>
      <c r="E88" s="203"/>
      <c r="F88" s="203"/>
      <c r="G88" s="203"/>
      <c r="H88" s="203"/>
      <c r="I88" s="203"/>
      <c r="J88" s="203"/>
      <c r="K88" s="203"/>
    </row>
    <row r="89" spans="2:12" ht="13.5" customHeight="1" x14ac:dyDescent="0.2">
      <c r="B89" s="203"/>
      <c r="C89" s="203"/>
      <c r="D89" s="203"/>
      <c r="E89" s="203"/>
      <c r="F89" s="203"/>
      <c r="G89" s="203"/>
      <c r="H89" s="203"/>
      <c r="I89" s="203"/>
      <c r="J89" s="203"/>
      <c r="K89" s="203"/>
    </row>
    <row r="90" spans="2:12" ht="12" customHeight="1" x14ac:dyDescent="0.2">
      <c r="B90" s="203"/>
      <c r="C90" s="203"/>
      <c r="D90" s="203"/>
      <c r="E90" s="203"/>
      <c r="F90" s="203"/>
      <c r="G90" s="203"/>
      <c r="H90" s="203"/>
      <c r="I90" s="203"/>
      <c r="J90" s="203"/>
      <c r="K90" s="203"/>
    </row>
    <row r="91" spans="2:12" ht="12" customHeight="1" x14ac:dyDescent="0.2">
      <c r="B91" s="203"/>
      <c r="C91" s="203"/>
      <c r="D91" s="203"/>
      <c r="E91" s="203"/>
      <c r="F91" s="203"/>
      <c r="G91" s="203"/>
      <c r="H91" s="203"/>
      <c r="I91" s="203"/>
      <c r="J91" s="203"/>
      <c r="K91" s="203"/>
    </row>
    <row r="92" spans="2:12" ht="12" customHeight="1" x14ac:dyDescent="0.2">
      <c r="B92" s="203"/>
      <c r="C92" s="203"/>
      <c r="D92" s="203"/>
      <c r="E92" s="203"/>
      <c r="F92" s="203"/>
      <c r="G92" s="203"/>
      <c r="H92" s="203"/>
      <c r="I92" s="203"/>
      <c r="J92" s="203"/>
      <c r="K92" s="203"/>
    </row>
    <row r="93" spans="2:12" ht="12" customHeight="1" x14ac:dyDescent="0.2">
      <c r="B93" s="203"/>
      <c r="C93" s="203"/>
      <c r="D93" s="203"/>
      <c r="E93" s="203"/>
      <c r="F93" s="203"/>
      <c r="G93" s="203"/>
      <c r="H93" s="203"/>
      <c r="I93" s="203"/>
      <c r="J93" s="203"/>
      <c r="K93" s="203"/>
    </row>
    <row r="94" spans="2:12" ht="12" customHeight="1" x14ac:dyDescent="0.2"/>
    <row r="95" spans="2:12" ht="12" customHeight="1" x14ac:dyDescent="0.2"/>
    <row r="96" spans="2:12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algorithmName="SHA-512" hashValue="CB2nY/afcTjSOtpZB6Gri+CnojwmlJ/TOOSTPqSYJLO+LUY186gw0qpfKO6AwzS+6tNbB0QmZk9DpMbyQyRgjw==" saltValue="Pgs3XfNW60Yq8EsKKO7RJg==" spinCount="100000" sheet="1" objects="1" scenarios="1"/>
  <mergeCells count="7">
    <mergeCell ref="I6:J6"/>
    <mergeCell ref="K6:K7"/>
    <mergeCell ref="A6:A7"/>
    <mergeCell ref="B6:B7"/>
    <mergeCell ref="C6:C7"/>
    <mergeCell ref="E6:F6"/>
    <mergeCell ref="G6:H6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194"/>
  <sheetViews>
    <sheetView zoomScaleNormal="100" workbookViewId="0">
      <selection activeCell="N14" sqref="N14"/>
    </sheetView>
  </sheetViews>
  <sheetFormatPr defaultColWidth="8.85546875" defaultRowHeight="12" x14ac:dyDescent="0.2"/>
  <cols>
    <col min="1" max="1" width="8.85546875" style="2"/>
    <col min="2" max="2" width="55.42578125" style="2" customWidth="1"/>
    <col min="3" max="3" width="14.2851562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4" ht="30" customHeight="1" x14ac:dyDescent="0.2"/>
    <row r="3" spans="1:14" ht="15.75" customHeight="1" x14ac:dyDescent="0.2"/>
    <row r="4" spans="1:14" ht="13.5" customHeight="1" x14ac:dyDescent="0.2"/>
    <row r="5" spans="1:14" ht="17.25" customHeight="1" thickBot="1" x14ac:dyDescent="0.25"/>
    <row r="6" spans="1:14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4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4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1">
        <v>12</v>
      </c>
    </row>
    <row r="9" spans="1:14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4" ht="23.25" customHeight="1" thickBot="1" x14ac:dyDescent="0.25">
      <c r="A10" s="15"/>
      <c r="B10" s="16" t="s">
        <v>88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4" x14ac:dyDescent="0.2">
      <c r="A11" s="22"/>
      <c r="B11" s="23" t="s">
        <v>38</v>
      </c>
      <c r="C11" s="220"/>
      <c r="D11" s="221"/>
      <c r="E11" s="221"/>
      <c r="F11" s="221"/>
      <c r="G11" s="221"/>
      <c r="H11" s="221"/>
      <c r="I11" s="221"/>
      <c r="J11" s="221"/>
      <c r="K11" s="221"/>
      <c r="L11" s="222"/>
      <c r="M11" s="21"/>
    </row>
    <row r="12" spans="1:14" ht="24" x14ac:dyDescent="0.2">
      <c r="A12" s="24">
        <v>1</v>
      </c>
      <c r="B12" s="25" t="s">
        <v>39</v>
      </c>
      <c r="C12" s="26" t="s">
        <v>16</v>
      </c>
      <c r="D12" s="26">
        <v>1.28</v>
      </c>
      <c r="E12" s="27">
        <f>45*D12</f>
        <v>57.6</v>
      </c>
      <c r="F12" s="28"/>
      <c r="G12" s="29">
        <f t="shared" ref="G12:G15" si="0">F12*E12</f>
        <v>0</v>
      </c>
      <c r="H12" s="88">
        <v>0</v>
      </c>
      <c r="I12" s="29">
        <f t="shared" ref="I12" si="1">H12*E12</f>
        <v>0</v>
      </c>
      <c r="J12" s="88">
        <v>0</v>
      </c>
      <c r="K12" s="29">
        <f>J12*E12</f>
        <v>0</v>
      </c>
      <c r="L12" s="30">
        <f t="shared" ref="L12:L16" si="2">K12+I12+G12</f>
        <v>0</v>
      </c>
      <c r="M12" s="21"/>
    </row>
    <row r="13" spans="1:14" ht="15" customHeight="1" x14ac:dyDescent="0.2">
      <c r="A13" s="24">
        <v>2</v>
      </c>
      <c r="B13" s="25" t="s">
        <v>41</v>
      </c>
      <c r="C13" s="26" t="s">
        <v>16</v>
      </c>
      <c r="D13" s="26"/>
      <c r="E13" s="27">
        <v>3</v>
      </c>
      <c r="F13" s="28"/>
      <c r="G13" s="29">
        <f t="shared" si="0"/>
        <v>0</v>
      </c>
      <c r="H13" s="88">
        <v>0</v>
      </c>
      <c r="I13" s="28">
        <f>H13*E13</f>
        <v>0</v>
      </c>
      <c r="J13" s="29"/>
      <c r="K13" s="29">
        <f t="shared" ref="K13:K16" si="3">J13*E13</f>
        <v>0</v>
      </c>
      <c r="L13" s="30">
        <f t="shared" si="2"/>
        <v>0</v>
      </c>
      <c r="M13" s="21"/>
    </row>
    <row r="14" spans="1:14" ht="17.25" customHeight="1" x14ac:dyDescent="0.2">
      <c r="A14" s="24">
        <v>3</v>
      </c>
      <c r="B14" s="25" t="s">
        <v>42</v>
      </c>
      <c r="C14" s="31" t="s">
        <v>35</v>
      </c>
      <c r="D14" s="26">
        <v>1.95</v>
      </c>
      <c r="E14" s="27">
        <f>(E13+E12)*D14</f>
        <v>118.17</v>
      </c>
      <c r="F14" s="28"/>
      <c r="G14" s="29">
        <f t="shared" si="0"/>
        <v>0</v>
      </c>
      <c r="H14" s="28"/>
      <c r="I14" s="28">
        <f t="shared" ref="I14:I16" si="4">H14*E14</f>
        <v>0</v>
      </c>
      <c r="J14" s="88">
        <v>0</v>
      </c>
      <c r="K14" s="29">
        <f t="shared" si="3"/>
        <v>0</v>
      </c>
      <c r="L14" s="30">
        <f t="shared" si="2"/>
        <v>0</v>
      </c>
      <c r="M14" s="21"/>
    </row>
    <row r="15" spans="1:14" ht="12.75" x14ac:dyDescent="0.2">
      <c r="A15" s="24">
        <v>4</v>
      </c>
      <c r="B15" s="25" t="s">
        <v>43</v>
      </c>
      <c r="C15" s="31" t="s">
        <v>15</v>
      </c>
      <c r="D15" s="26"/>
      <c r="E15" s="27">
        <v>42.5</v>
      </c>
      <c r="F15" s="28"/>
      <c r="G15" s="29">
        <f t="shared" si="0"/>
        <v>0</v>
      </c>
      <c r="H15" s="88">
        <v>0</v>
      </c>
      <c r="I15" s="28">
        <f t="shared" si="4"/>
        <v>0</v>
      </c>
      <c r="J15" s="88">
        <v>0</v>
      </c>
      <c r="K15" s="29">
        <f t="shared" si="3"/>
        <v>0</v>
      </c>
      <c r="L15" s="30">
        <f t="shared" si="2"/>
        <v>0</v>
      </c>
      <c r="N15" s="21"/>
    </row>
    <row r="16" spans="1:14" ht="12.75" x14ac:dyDescent="0.2">
      <c r="A16" s="24">
        <v>5</v>
      </c>
      <c r="B16" s="25" t="s">
        <v>44</v>
      </c>
      <c r="C16" s="31" t="s">
        <v>16</v>
      </c>
      <c r="D16" s="26"/>
      <c r="E16" s="27">
        <v>12.5</v>
      </c>
      <c r="F16" s="88">
        <v>0</v>
      </c>
      <c r="G16" s="29">
        <f>F16*E16</f>
        <v>0</v>
      </c>
      <c r="H16" s="88">
        <v>0</v>
      </c>
      <c r="I16" s="28">
        <f t="shared" si="4"/>
        <v>0</v>
      </c>
      <c r="J16" s="88">
        <v>0</v>
      </c>
      <c r="K16" s="29">
        <f t="shared" si="3"/>
        <v>0</v>
      </c>
      <c r="L16" s="30">
        <f t="shared" si="2"/>
        <v>0</v>
      </c>
      <c r="M16" s="57"/>
      <c r="N16" s="21"/>
    </row>
    <row r="17" spans="1:14" ht="28.5" customHeight="1" x14ac:dyDescent="0.2">
      <c r="A17" s="32"/>
      <c r="B17" s="33" t="s">
        <v>55</v>
      </c>
      <c r="C17" s="217"/>
      <c r="D17" s="218"/>
      <c r="E17" s="218"/>
      <c r="F17" s="218"/>
      <c r="G17" s="218"/>
      <c r="H17" s="218"/>
      <c r="I17" s="218"/>
      <c r="J17" s="218"/>
      <c r="K17" s="218"/>
      <c r="L17" s="219"/>
      <c r="N17" s="21"/>
    </row>
    <row r="18" spans="1:14" ht="25.5" customHeight="1" x14ac:dyDescent="0.2">
      <c r="A18" s="24">
        <v>6</v>
      </c>
      <c r="B18" s="34" t="s">
        <v>54</v>
      </c>
      <c r="C18" s="35" t="s">
        <v>16</v>
      </c>
      <c r="D18" s="26"/>
      <c r="E18" s="27">
        <f>42.5*0.2*1.25</f>
        <v>10.625</v>
      </c>
      <c r="F18" s="88">
        <v>0</v>
      </c>
      <c r="G18" s="29">
        <f>F18*E18</f>
        <v>0</v>
      </c>
      <c r="H18" s="28"/>
      <c r="I18" s="28">
        <f t="shared" ref="I18:I23" si="5">H18*E18</f>
        <v>0</v>
      </c>
      <c r="J18" s="88">
        <v>0</v>
      </c>
      <c r="K18" s="28">
        <f>J18*E18</f>
        <v>0</v>
      </c>
      <c r="L18" s="30">
        <f t="shared" ref="L18:L24" si="6">K18+I18+G18</f>
        <v>0</v>
      </c>
      <c r="N18" s="21"/>
    </row>
    <row r="19" spans="1:14" ht="24" x14ac:dyDescent="0.2">
      <c r="A19" s="24">
        <v>7</v>
      </c>
      <c r="B19" s="34" t="s">
        <v>56</v>
      </c>
      <c r="C19" s="35" t="s">
        <v>16</v>
      </c>
      <c r="D19" s="36"/>
      <c r="E19" s="27">
        <f>E20*0.1</f>
        <v>3.6750000000000003</v>
      </c>
      <c r="F19" s="36"/>
      <c r="G19" s="29">
        <f t="shared" ref="G19:G24" si="7">F19*E19</f>
        <v>0</v>
      </c>
      <c r="H19" s="36"/>
      <c r="I19" s="28">
        <f t="shared" si="5"/>
        <v>0</v>
      </c>
      <c r="J19" s="36"/>
      <c r="K19" s="28">
        <f t="shared" ref="K19:K24" si="8">J19*E19</f>
        <v>0</v>
      </c>
      <c r="L19" s="30">
        <f t="shared" si="6"/>
        <v>0</v>
      </c>
      <c r="N19" s="21"/>
    </row>
    <row r="20" spans="1:14" s="43" customFormat="1" ht="12.75" x14ac:dyDescent="0.25">
      <c r="A20" s="37">
        <v>7.1</v>
      </c>
      <c r="B20" s="38" t="s">
        <v>46</v>
      </c>
      <c r="C20" s="39" t="s">
        <v>15</v>
      </c>
      <c r="D20" s="39"/>
      <c r="E20" s="40">
        <v>36.75</v>
      </c>
      <c r="F20" s="41"/>
      <c r="G20" s="29">
        <f t="shared" si="7"/>
        <v>0</v>
      </c>
      <c r="H20" s="88">
        <v>0</v>
      </c>
      <c r="I20" s="28">
        <f t="shared" si="5"/>
        <v>0</v>
      </c>
      <c r="J20" s="42"/>
      <c r="K20" s="28">
        <f t="shared" si="8"/>
        <v>0</v>
      </c>
      <c r="L20" s="30">
        <f t="shared" si="6"/>
        <v>0</v>
      </c>
      <c r="N20" s="44"/>
    </row>
    <row r="21" spans="1:14" s="43" customFormat="1" ht="12.75" x14ac:dyDescent="0.25">
      <c r="A21" s="37">
        <v>7.2</v>
      </c>
      <c r="B21" s="38" t="s">
        <v>47</v>
      </c>
      <c r="C21" s="39" t="s">
        <v>16</v>
      </c>
      <c r="D21" s="39"/>
      <c r="E21" s="40">
        <f>E19</f>
        <v>3.6750000000000003</v>
      </c>
      <c r="F21" s="41"/>
      <c r="G21" s="29">
        <f t="shared" si="7"/>
        <v>0</v>
      </c>
      <c r="H21" s="41"/>
      <c r="I21" s="28">
        <f t="shared" si="5"/>
        <v>0</v>
      </c>
      <c r="J21" s="88">
        <v>0</v>
      </c>
      <c r="K21" s="28">
        <f t="shared" si="8"/>
        <v>0</v>
      </c>
      <c r="L21" s="30">
        <f t="shared" si="6"/>
        <v>0</v>
      </c>
      <c r="N21" s="44"/>
    </row>
    <row r="22" spans="1:14" s="43" customFormat="1" ht="12.75" x14ac:dyDescent="0.25">
      <c r="A22" s="37">
        <v>7.3</v>
      </c>
      <c r="B22" s="38" t="s">
        <v>325</v>
      </c>
      <c r="C22" s="39" t="s">
        <v>16</v>
      </c>
      <c r="D22" s="39">
        <v>1.02</v>
      </c>
      <c r="E22" s="40">
        <f>E19*D22</f>
        <v>3.7485000000000004</v>
      </c>
      <c r="F22" s="88">
        <v>0</v>
      </c>
      <c r="G22" s="29">
        <f t="shared" si="7"/>
        <v>0</v>
      </c>
      <c r="H22" s="41"/>
      <c r="I22" s="28">
        <f t="shared" si="5"/>
        <v>0</v>
      </c>
      <c r="J22" s="42"/>
      <c r="K22" s="28">
        <f t="shared" si="8"/>
        <v>0</v>
      </c>
      <c r="L22" s="30">
        <f t="shared" si="6"/>
        <v>0</v>
      </c>
      <c r="N22" s="44"/>
    </row>
    <row r="23" spans="1:14" ht="26.25" customHeight="1" x14ac:dyDescent="0.2">
      <c r="A23" s="24">
        <v>8</v>
      </c>
      <c r="B23" s="34" t="s">
        <v>45</v>
      </c>
      <c r="C23" s="35" t="s">
        <v>15</v>
      </c>
      <c r="D23" s="26"/>
      <c r="E23" s="27">
        <f>31*1.2*1.1</f>
        <v>40.92</v>
      </c>
      <c r="F23" s="88">
        <v>0</v>
      </c>
      <c r="G23" s="29">
        <f t="shared" si="7"/>
        <v>0</v>
      </c>
      <c r="H23" s="88">
        <v>0</v>
      </c>
      <c r="I23" s="28">
        <f t="shared" si="5"/>
        <v>0</v>
      </c>
      <c r="J23" s="88">
        <v>0</v>
      </c>
      <c r="K23" s="28">
        <f t="shared" si="8"/>
        <v>0</v>
      </c>
      <c r="L23" s="30">
        <f t="shared" si="6"/>
        <v>0</v>
      </c>
      <c r="N23" s="21"/>
    </row>
    <row r="24" spans="1:14" ht="39.75" customHeight="1" x14ac:dyDescent="0.2">
      <c r="A24" s="45">
        <v>9</v>
      </c>
      <c r="B24" s="46" t="s">
        <v>57</v>
      </c>
      <c r="C24" s="35" t="s">
        <v>15</v>
      </c>
      <c r="D24" s="26"/>
      <c r="E24" s="27">
        <v>25</v>
      </c>
      <c r="F24" s="88">
        <v>0</v>
      </c>
      <c r="G24" s="29">
        <f t="shared" si="7"/>
        <v>0</v>
      </c>
      <c r="H24" s="88">
        <v>0</v>
      </c>
      <c r="I24" s="28">
        <f>H24*E24</f>
        <v>0</v>
      </c>
      <c r="J24" s="88">
        <v>0</v>
      </c>
      <c r="K24" s="28">
        <f t="shared" si="8"/>
        <v>0</v>
      </c>
      <c r="L24" s="30">
        <f t="shared" si="6"/>
        <v>0</v>
      </c>
      <c r="N24" s="21"/>
    </row>
    <row r="25" spans="1:14" x14ac:dyDescent="0.2">
      <c r="A25" s="22">
        <v>10</v>
      </c>
      <c r="B25" s="47" t="s">
        <v>53</v>
      </c>
      <c r="C25" s="48" t="s">
        <v>16</v>
      </c>
      <c r="D25" s="48"/>
      <c r="E25" s="49">
        <v>15.5</v>
      </c>
      <c r="F25" s="49"/>
      <c r="G25" s="49"/>
      <c r="H25" s="49"/>
      <c r="I25" s="49"/>
      <c r="J25" s="49"/>
      <c r="K25" s="49"/>
      <c r="L25" s="50"/>
      <c r="M25" s="21"/>
    </row>
    <row r="26" spans="1:14" ht="12.75" x14ac:dyDescent="0.2">
      <c r="A26" s="51">
        <v>10.1</v>
      </c>
      <c r="B26" s="38" t="s">
        <v>46</v>
      </c>
      <c r="C26" s="39" t="s">
        <v>16</v>
      </c>
      <c r="D26" s="39"/>
      <c r="E26" s="27">
        <f>E25</f>
        <v>15.5</v>
      </c>
      <c r="F26" s="28"/>
      <c r="G26" s="29">
        <f t="shared" ref="G26:G31" si="9">F26*E26</f>
        <v>0</v>
      </c>
      <c r="H26" s="88">
        <v>0</v>
      </c>
      <c r="I26" s="28">
        <f>H26*E26</f>
        <v>0</v>
      </c>
      <c r="J26" s="28"/>
      <c r="K26" s="28">
        <f>J26*E26</f>
        <v>0</v>
      </c>
      <c r="L26" s="30">
        <f>K26+I26+G26</f>
        <v>0</v>
      </c>
      <c r="M26" s="21"/>
    </row>
    <row r="27" spans="1:14" ht="12.75" x14ac:dyDescent="0.2">
      <c r="A27" s="51">
        <v>10.199999999999999</v>
      </c>
      <c r="B27" s="38" t="s">
        <v>47</v>
      </c>
      <c r="C27" s="39" t="s">
        <v>16</v>
      </c>
      <c r="D27" s="39"/>
      <c r="E27" s="27">
        <f>E25</f>
        <v>15.5</v>
      </c>
      <c r="F27" s="28"/>
      <c r="G27" s="29">
        <f t="shared" si="9"/>
        <v>0</v>
      </c>
      <c r="H27" s="29"/>
      <c r="I27" s="28">
        <f t="shared" ref="I27:I32" si="10">H27*E27</f>
        <v>0</v>
      </c>
      <c r="J27" s="88">
        <v>0</v>
      </c>
      <c r="K27" s="28">
        <f>J27*E27</f>
        <v>0</v>
      </c>
      <c r="L27" s="30">
        <f t="shared" ref="L27:L32" si="11">K27+I27+G27</f>
        <v>0</v>
      </c>
      <c r="N27" s="21"/>
    </row>
    <row r="28" spans="1:14" ht="12.75" x14ac:dyDescent="0.2">
      <c r="A28" s="51">
        <v>10.3</v>
      </c>
      <c r="B28" s="38" t="s">
        <v>48</v>
      </c>
      <c r="C28" s="39" t="s">
        <v>16</v>
      </c>
      <c r="D28" s="39">
        <v>1.02</v>
      </c>
      <c r="E28" s="27">
        <f>E25*D28</f>
        <v>15.81</v>
      </c>
      <c r="F28" s="88">
        <v>0</v>
      </c>
      <c r="G28" s="29">
        <f t="shared" si="9"/>
        <v>0</v>
      </c>
      <c r="H28" s="28"/>
      <c r="I28" s="28">
        <f t="shared" si="10"/>
        <v>0</v>
      </c>
      <c r="J28" s="29"/>
      <c r="K28" s="28">
        <f t="shared" ref="K28:K32" si="12">J28*E28</f>
        <v>0</v>
      </c>
      <c r="L28" s="30">
        <f t="shared" si="11"/>
        <v>0</v>
      </c>
      <c r="N28" s="21"/>
    </row>
    <row r="29" spans="1:14" ht="12.75" x14ac:dyDescent="0.2">
      <c r="A29" s="51">
        <v>10.4</v>
      </c>
      <c r="B29" s="38" t="s">
        <v>65</v>
      </c>
      <c r="C29" s="39" t="s">
        <v>49</v>
      </c>
      <c r="D29" s="39"/>
      <c r="E29" s="27">
        <v>1.1299999999999999</v>
      </c>
      <c r="F29" s="88">
        <v>0</v>
      </c>
      <c r="G29" s="29">
        <f t="shared" si="9"/>
        <v>0</v>
      </c>
      <c r="H29" s="28"/>
      <c r="I29" s="28">
        <f t="shared" si="10"/>
        <v>0</v>
      </c>
      <c r="J29" s="28"/>
      <c r="K29" s="28">
        <f t="shared" si="12"/>
        <v>0</v>
      </c>
      <c r="L29" s="30">
        <f t="shared" si="11"/>
        <v>0</v>
      </c>
      <c r="N29" s="3"/>
    </row>
    <row r="30" spans="1:14" ht="15" customHeight="1" x14ac:dyDescent="0.2">
      <c r="A30" s="51">
        <v>10.5</v>
      </c>
      <c r="B30" s="38" t="s">
        <v>50</v>
      </c>
      <c r="C30" s="39" t="s">
        <v>15</v>
      </c>
      <c r="D30" s="39"/>
      <c r="E30" s="27">
        <v>15</v>
      </c>
      <c r="F30" s="88">
        <v>0</v>
      </c>
      <c r="G30" s="29">
        <f t="shared" si="9"/>
        <v>0</v>
      </c>
      <c r="H30" s="28"/>
      <c r="I30" s="28">
        <f t="shared" si="10"/>
        <v>0</v>
      </c>
      <c r="J30" s="28"/>
      <c r="K30" s="28">
        <f t="shared" si="12"/>
        <v>0</v>
      </c>
      <c r="L30" s="30">
        <f t="shared" si="11"/>
        <v>0</v>
      </c>
      <c r="N30" s="21"/>
    </row>
    <row r="31" spans="1:14" ht="12" customHeight="1" x14ac:dyDescent="0.2">
      <c r="A31" s="51">
        <v>10.6</v>
      </c>
      <c r="B31" s="38" t="s">
        <v>51</v>
      </c>
      <c r="C31" s="39" t="s">
        <v>16</v>
      </c>
      <c r="D31" s="39">
        <v>7.3999999999999996E-2</v>
      </c>
      <c r="E31" s="27">
        <f>E25*D31</f>
        <v>1.147</v>
      </c>
      <c r="F31" s="88">
        <v>0</v>
      </c>
      <c r="G31" s="29">
        <f t="shared" si="9"/>
        <v>0</v>
      </c>
      <c r="H31" s="28"/>
      <c r="I31" s="28">
        <f t="shared" si="10"/>
        <v>0</v>
      </c>
      <c r="J31" s="28"/>
      <c r="K31" s="28">
        <f t="shared" si="12"/>
        <v>0</v>
      </c>
      <c r="L31" s="30">
        <f t="shared" si="11"/>
        <v>0</v>
      </c>
      <c r="N31" s="21"/>
    </row>
    <row r="32" spans="1:14" ht="13.5" customHeight="1" x14ac:dyDescent="0.2">
      <c r="A32" s="51">
        <v>10.7</v>
      </c>
      <c r="B32" s="38" t="s">
        <v>52</v>
      </c>
      <c r="C32" s="39" t="s">
        <v>10</v>
      </c>
      <c r="D32" s="39">
        <v>0.4</v>
      </c>
      <c r="E32" s="27">
        <f>E26*D32</f>
        <v>6.2</v>
      </c>
      <c r="F32" s="88">
        <v>0</v>
      </c>
      <c r="G32" s="29">
        <f>F32*E32</f>
        <v>0</v>
      </c>
      <c r="H32" s="28"/>
      <c r="I32" s="28">
        <f t="shared" si="10"/>
        <v>0</v>
      </c>
      <c r="J32" s="28"/>
      <c r="K32" s="28">
        <f t="shared" si="12"/>
        <v>0</v>
      </c>
      <c r="L32" s="30">
        <f t="shared" si="11"/>
        <v>0</v>
      </c>
      <c r="N32" s="21"/>
    </row>
    <row r="33" spans="1:14" x14ac:dyDescent="0.2">
      <c r="A33" s="22">
        <v>11</v>
      </c>
      <c r="B33" s="47" t="s">
        <v>58</v>
      </c>
      <c r="C33" s="33"/>
      <c r="D33" s="33"/>
      <c r="E33" s="49">
        <f>31*0.2</f>
        <v>6.2</v>
      </c>
      <c r="F33" s="49"/>
      <c r="G33" s="49"/>
      <c r="H33" s="49"/>
      <c r="I33" s="49"/>
      <c r="J33" s="49"/>
      <c r="K33" s="49"/>
      <c r="L33" s="50"/>
      <c r="M33" s="21"/>
    </row>
    <row r="34" spans="1:14" ht="12.75" x14ac:dyDescent="0.2">
      <c r="A34" s="51">
        <v>11.1</v>
      </c>
      <c r="B34" s="38" t="s">
        <v>46</v>
      </c>
      <c r="C34" s="39" t="s">
        <v>16</v>
      </c>
      <c r="D34" s="26"/>
      <c r="E34" s="27">
        <f>E33</f>
        <v>6.2</v>
      </c>
      <c r="F34" s="28"/>
      <c r="G34" s="29">
        <f t="shared" ref="G34:G35" si="13">F34*E34</f>
        <v>0</v>
      </c>
      <c r="H34" s="88">
        <v>0</v>
      </c>
      <c r="I34" s="28">
        <f>H34*E34</f>
        <v>0</v>
      </c>
      <c r="J34" s="29"/>
      <c r="K34" s="28">
        <f>J34*E34</f>
        <v>0</v>
      </c>
      <c r="L34" s="30">
        <f>K34+I34+G34</f>
        <v>0</v>
      </c>
      <c r="M34" s="21"/>
    </row>
    <row r="35" spans="1:14" ht="12.75" x14ac:dyDescent="0.2">
      <c r="A35" s="51">
        <v>11.2</v>
      </c>
      <c r="B35" s="38" t="s">
        <v>47</v>
      </c>
      <c r="C35" s="39" t="s">
        <v>16</v>
      </c>
      <c r="D35" s="26"/>
      <c r="E35" s="27">
        <f>E34</f>
        <v>6.2</v>
      </c>
      <c r="F35" s="28"/>
      <c r="G35" s="29">
        <f t="shared" si="13"/>
        <v>0</v>
      </c>
      <c r="H35" s="29"/>
      <c r="I35" s="28">
        <f t="shared" ref="I35:I41" si="14">H35*E35</f>
        <v>0</v>
      </c>
      <c r="J35" s="88">
        <v>0</v>
      </c>
      <c r="K35" s="28">
        <f>J35*E35</f>
        <v>0</v>
      </c>
      <c r="L35" s="30">
        <f t="shared" ref="L35:L70" si="15">K35+I35+G35</f>
        <v>0</v>
      </c>
      <c r="N35" s="21"/>
    </row>
    <row r="36" spans="1:14" ht="12.75" x14ac:dyDescent="0.2">
      <c r="A36" s="51">
        <v>11.3</v>
      </c>
      <c r="B36" s="38" t="s">
        <v>48</v>
      </c>
      <c r="C36" s="39" t="s">
        <v>16</v>
      </c>
      <c r="D36" s="26">
        <v>1.02</v>
      </c>
      <c r="E36" s="27">
        <f>E33*D36</f>
        <v>6.3240000000000007</v>
      </c>
      <c r="F36" s="88">
        <v>0</v>
      </c>
      <c r="G36" s="29">
        <f t="shared" ref="G36:G41" si="16">F36*E36</f>
        <v>0</v>
      </c>
      <c r="H36" s="29"/>
      <c r="I36" s="28">
        <f t="shared" si="14"/>
        <v>0</v>
      </c>
      <c r="J36" s="29"/>
      <c r="K36" s="28">
        <f t="shared" ref="K36:K41" si="17">J36*E36</f>
        <v>0</v>
      </c>
      <c r="L36" s="30">
        <f t="shared" si="15"/>
        <v>0</v>
      </c>
      <c r="N36" s="3"/>
    </row>
    <row r="37" spans="1:14" ht="12.75" x14ac:dyDescent="0.2">
      <c r="A37" s="51">
        <v>11.4</v>
      </c>
      <c r="B37" s="38" t="s">
        <v>327</v>
      </c>
      <c r="C37" s="39" t="s">
        <v>49</v>
      </c>
      <c r="D37" s="26"/>
      <c r="E37" s="52">
        <v>2.75</v>
      </c>
      <c r="F37" s="88">
        <v>0</v>
      </c>
      <c r="G37" s="29">
        <f t="shared" si="16"/>
        <v>0</v>
      </c>
      <c r="H37" s="28"/>
      <c r="I37" s="28">
        <f t="shared" si="14"/>
        <v>0</v>
      </c>
      <c r="J37" s="28"/>
      <c r="K37" s="28">
        <f t="shared" si="17"/>
        <v>0</v>
      </c>
      <c r="L37" s="30">
        <f t="shared" si="15"/>
        <v>0</v>
      </c>
      <c r="N37" s="21"/>
    </row>
    <row r="38" spans="1:14" ht="12.75" x14ac:dyDescent="0.2">
      <c r="A38" s="51">
        <v>11.5</v>
      </c>
      <c r="B38" s="38" t="s">
        <v>328</v>
      </c>
      <c r="C38" s="39" t="s">
        <v>49</v>
      </c>
      <c r="D38" s="26"/>
      <c r="E38" s="52">
        <v>1.3</v>
      </c>
      <c r="F38" s="88">
        <v>0</v>
      </c>
      <c r="G38" s="29">
        <f t="shared" si="16"/>
        <v>0</v>
      </c>
      <c r="H38" s="28"/>
      <c r="I38" s="28">
        <f t="shared" si="14"/>
        <v>0</v>
      </c>
      <c r="J38" s="28"/>
      <c r="K38" s="28">
        <f t="shared" si="17"/>
        <v>0</v>
      </c>
      <c r="L38" s="30">
        <f t="shared" si="15"/>
        <v>0</v>
      </c>
      <c r="N38" s="21"/>
    </row>
    <row r="39" spans="1:14" ht="12.75" x14ac:dyDescent="0.2">
      <c r="A39" s="51">
        <v>11.6</v>
      </c>
      <c r="B39" s="38" t="s">
        <v>50</v>
      </c>
      <c r="C39" s="39" t="s">
        <v>15</v>
      </c>
      <c r="D39" s="26"/>
      <c r="E39" s="27">
        <v>62.5</v>
      </c>
      <c r="F39" s="88">
        <v>0</v>
      </c>
      <c r="G39" s="29">
        <f t="shared" si="16"/>
        <v>0</v>
      </c>
      <c r="H39" s="28"/>
      <c r="I39" s="28">
        <f t="shared" si="14"/>
        <v>0</v>
      </c>
      <c r="J39" s="28"/>
      <c r="K39" s="28">
        <f t="shared" si="17"/>
        <v>0</v>
      </c>
      <c r="L39" s="30">
        <f t="shared" si="15"/>
        <v>0</v>
      </c>
      <c r="M39" s="21"/>
      <c r="N39" s="21"/>
    </row>
    <row r="40" spans="1:14" ht="12.75" x14ac:dyDescent="0.2">
      <c r="A40" s="51">
        <v>11.7</v>
      </c>
      <c r="B40" s="38" t="s">
        <v>51</v>
      </c>
      <c r="C40" s="39" t="s">
        <v>16</v>
      </c>
      <c r="D40" s="39">
        <v>7.3999999999999996E-2</v>
      </c>
      <c r="E40" s="27">
        <v>1.27</v>
      </c>
      <c r="F40" s="88">
        <v>0</v>
      </c>
      <c r="G40" s="29">
        <f t="shared" si="16"/>
        <v>0</v>
      </c>
      <c r="H40" s="28"/>
      <c r="I40" s="28">
        <f t="shared" si="14"/>
        <v>0</v>
      </c>
      <c r="J40" s="28"/>
      <c r="K40" s="28">
        <f t="shared" si="17"/>
        <v>0</v>
      </c>
      <c r="L40" s="30">
        <f t="shared" si="15"/>
        <v>0</v>
      </c>
      <c r="M40" s="21"/>
      <c r="N40" s="21"/>
    </row>
    <row r="41" spans="1:14" ht="12.75" x14ac:dyDescent="0.2">
      <c r="A41" s="51">
        <v>11.8</v>
      </c>
      <c r="B41" s="38" t="s">
        <v>52</v>
      </c>
      <c r="C41" s="39" t="s">
        <v>10</v>
      </c>
      <c r="D41" s="26">
        <v>7.0000000000000001E-3</v>
      </c>
      <c r="E41" s="53">
        <f>E37*D41</f>
        <v>1.925E-2</v>
      </c>
      <c r="F41" s="88">
        <v>0</v>
      </c>
      <c r="G41" s="29">
        <f t="shared" si="16"/>
        <v>0</v>
      </c>
      <c r="H41" s="28"/>
      <c r="I41" s="28">
        <f t="shared" si="14"/>
        <v>0</v>
      </c>
      <c r="J41" s="28"/>
      <c r="K41" s="28">
        <f t="shared" si="17"/>
        <v>0</v>
      </c>
      <c r="L41" s="30">
        <f t="shared" si="15"/>
        <v>0</v>
      </c>
      <c r="M41" s="21"/>
      <c r="N41" s="21"/>
    </row>
    <row r="42" spans="1:14" ht="24" x14ac:dyDescent="0.2">
      <c r="A42" s="22">
        <v>12</v>
      </c>
      <c r="B42" s="47" t="s">
        <v>60</v>
      </c>
      <c r="C42" s="33" t="s">
        <v>16</v>
      </c>
      <c r="D42" s="33"/>
      <c r="E42" s="49">
        <v>2.5</v>
      </c>
      <c r="F42" s="49"/>
      <c r="G42" s="49"/>
      <c r="H42" s="49"/>
      <c r="I42" s="49"/>
      <c r="J42" s="49"/>
      <c r="K42" s="49"/>
      <c r="L42" s="50"/>
      <c r="M42" s="21"/>
    </row>
    <row r="43" spans="1:14" s="43" customFormat="1" ht="12.75" x14ac:dyDescent="0.25">
      <c r="A43" s="37">
        <v>12.1</v>
      </c>
      <c r="B43" s="38" t="s">
        <v>46</v>
      </c>
      <c r="C43" s="39" t="s">
        <v>16</v>
      </c>
      <c r="D43" s="39"/>
      <c r="E43" s="40">
        <v>2.5</v>
      </c>
      <c r="F43" s="41"/>
      <c r="G43" s="29">
        <f t="shared" ref="G43:G51" si="18">F43*E43</f>
        <v>0</v>
      </c>
      <c r="H43" s="88">
        <v>0</v>
      </c>
      <c r="I43" s="28">
        <f>H43*E43</f>
        <v>0</v>
      </c>
      <c r="J43" s="42"/>
      <c r="K43" s="28">
        <f>J43*E43</f>
        <v>0</v>
      </c>
      <c r="L43" s="30">
        <f t="shared" si="15"/>
        <v>0</v>
      </c>
      <c r="N43" s="44"/>
    </row>
    <row r="44" spans="1:14" s="43" customFormat="1" ht="12.75" customHeight="1" x14ac:dyDescent="0.25">
      <c r="A44" s="37">
        <v>12.2</v>
      </c>
      <c r="B44" s="38" t="s">
        <v>47</v>
      </c>
      <c r="C44" s="39" t="s">
        <v>16</v>
      </c>
      <c r="D44" s="39"/>
      <c r="E44" s="40">
        <v>2</v>
      </c>
      <c r="F44" s="42"/>
      <c r="G44" s="29">
        <f t="shared" si="18"/>
        <v>0</v>
      </c>
      <c r="H44" s="41"/>
      <c r="I44" s="28">
        <f t="shared" ref="I44:I51" si="19">H44*E44</f>
        <v>0</v>
      </c>
      <c r="J44" s="88">
        <v>0</v>
      </c>
      <c r="K44" s="28">
        <f>J44*E44</f>
        <v>0</v>
      </c>
      <c r="L44" s="30">
        <f t="shared" si="15"/>
        <v>0</v>
      </c>
      <c r="N44" s="44"/>
    </row>
    <row r="45" spans="1:14" s="43" customFormat="1" ht="12.75" customHeight="1" x14ac:dyDescent="0.25">
      <c r="A45" s="37">
        <v>12.3</v>
      </c>
      <c r="B45" s="38" t="s">
        <v>48</v>
      </c>
      <c r="C45" s="39" t="s">
        <v>16</v>
      </c>
      <c r="D45" s="39">
        <v>1.02</v>
      </c>
      <c r="E45" s="40">
        <f>E42*D45</f>
        <v>2.5499999999999998</v>
      </c>
      <c r="F45" s="88">
        <v>0</v>
      </c>
      <c r="G45" s="29">
        <f t="shared" si="18"/>
        <v>0</v>
      </c>
      <c r="H45" s="41"/>
      <c r="I45" s="28">
        <f t="shared" si="19"/>
        <v>0</v>
      </c>
      <c r="J45" s="41"/>
      <c r="K45" s="28">
        <f t="shared" ref="K45:K51" si="20">J45*E45</f>
        <v>0</v>
      </c>
      <c r="L45" s="30">
        <f t="shared" si="15"/>
        <v>0</v>
      </c>
      <c r="N45" s="44"/>
    </row>
    <row r="46" spans="1:14" s="43" customFormat="1" ht="12.75" customHeight="1" x14ac:dyDescent="0.25">
      <c r="A46" s="37">
        <v>12.4</v>
      </c>
      <c r="B46" s="38" t="s">
        <v>64</v>
      </c>
      <c r="C46" s="39" t="s">
        <v>49</v>
      </c>
      <c r="D46" s="39"/>
      <c r="E46" s="40">
        <v>9.0999999999999998E-2</v>
      </c>
      <c r="F46" s="88">
        <v>0</v>
      </c>
      <c r="G46" s="29">
        <f t="shared" si="18"/>
        <v>0</v>
      </c>
      <c r="H46" s="41"/>
      <c r="I46" s="28">
        <f t="shared" si="19"/>
        <v>0</v>
      </c>
      <c r="J46" s="41"/>
      <c r="K46" s="28">
        <f t="shared" si="20"/>
        <v>0</v>
      </c>
      <c r="L46" s="30">
        <f t="shared" si="15"/>
        <v>0</v>
      </c>
      <c r="N46" s="44"/>
    </row>
    <row r="47" spans="1:14" s="43" customFormat="1" ht="12.75" customHeight="1" x14ac:dyDescent="0.25">
      <c r="A47" s="37">
        <v>12.5</v>
      </c>
      <c r="B47" s="38" t="s">
        <v>66</v>
      </c>
      <c r="C47" s="39" t="s">
        <v>49</v>
      </c>
      <c r="D47" s="39"/>
      <c r="E47" s="40">
        <v>0.54</v>
      </c>
      <c r="F47" s="88">
        <v>0</v>
      </c>
      <c r="G47" s="29">
        <f t="shared" si="18"/>
        <v>0</v>
      </c>
      <c r="H47" s="41"/>
      <c r="I47" s="28">
        <f t="shared" si="19"/>
        <v>0</v>
      </c>
      <c r="J47" s="41"/>
      <c r="K47" s="28">
        <f t="shared" si="20"/>
        <v>0</v>
      </c>
      <c r="L47" s="30">
        <f t="shared" si="15"/>
        <v>0</v>
      </c>
      <c r="N47" s="44"/>
    </row>
    <row r="48" spans="1:14" s="43" customFormat="1" ht="12.75" customHeight="1" x14ac:dyDescent="0.25">
      <c r="A48" s="37">
        <v>12.6</v>
      </c>
      <c r="B48" s="38" t="s">
        <v>50</v>
      </c>
      <c r="C48" s="39" t="s">
        <v>15</v>
      </c>
      <c r="D48" s="39"/>
      <c r="E48" s="40">
        <v>23.4</v>
      </c>
      <c r="F48" s="88">
        <v>0</v>
      </c>
      <c r="G48" s="29">
        <f t="shared" si="18"/>
        <v>0</v>
      </c>
      <c r="H48" s="41"/>
      <c r="I48" s="28">
        <f t="shared" si="19"/>
        <v>0</v>
      </c>
      <c r="J48" s="41"/>
      <c r="K48" s="28">
        <f t="shared" si="20"/>
        <v>0</v>
      </c>
      <c r="L48" s="30">
        <f t="shared" si="15"/>
        <v>0</v>
      </c>
      <c r="N48" s="44"/>
    </row>
    <row r="49" spans="1:14" s="43" customFormat="1" ht="12.75" customHeight="1" x14ac:dyDescent="0.25">
      <c r="A49" s="37">
        <v>12.7</v>
      </c>
      <c r="B49" s="38" t="s">
        <v>51</v>
      </c>
      <c r="C49" s="39" t="s">
        <v>16</v>
      </c>
      <c r="D49" s="39">
        <v>7.3999999999999996E-2</v>
      </c>
      <c r="E49" s="40">
        <f>E42*D49</f>
        <v>0.185</v>
      </c>
      <c r="F49" s="88">
        <v>0</v>
      </c>
      <c r="G49" s="29">
        <f t="shared" si="18"/>
        <v>0</v>
      </c>
      <c r="H49" s="41"/>
      <c r="I49" s="28">
        <f t="shared" si="19"/>
        <v>0</v>
      </c>
      <c r="J49" s="41"/>
      <c r="K49" s="28">
        <f t="shared" si="20"/>
        <v>0</v>
      </c>
      <c r="L49" s="30">
        <f t="shared" si="15"/>
        <v>0</v>
      </c>
      <c r="N49" s="44"/>
    </row>
    <row r="50" spans="1:14" s="43" customFormat="1" ht="12.75" customHeight="1" x14ac:dyDescent="0.25">
      <c r="A50" s="37">
        <v>12.8</v>
      </c>
      <c r="B50" s="38" t="s">
        <v>59</v>
      </c>
      <c r="C50" s="39" t="s">
        <v>9</v>
      </c>
      <c r="D50" s="39">
        <v>1.5</v>
      </c>
      <c r="E50" s="40">
        <f>E42*D50</f>
        <v>3.75</v>
      </c>
      <c r="F50" s="88">
        <v>0</v>
      </c>
      <c r="G50" s="29">
        <f t="shared" si="18"/>
        <v>0</v>
      </c>
      <c r="H50" s="41"/>
      <c r="I50" s="28">
        <f t="shared" si="19"/>
        <v>0</v>
      </c>
      <c r="J50" s="41"/>
      <c r="K50" s="28">
        <f t="shared" si="20"/>
        <v>0</v>
      </c>
      <c r="L50" s="30">
        <f t="shared" si="15"/>
        <v>0</v>
      </c>
      <c r="N50" s="44"/>
    </row>
    <row r="51" spans="1:14" s="43" customFormat="1" ht="12.75" customHeight="1" x14ac:dyDescent="0.25">
      <c r="A51" s="37">
        <v>12.9</v>
      </c>
      <c r="B51" s="38" t="s">
        <v>52</v>
      </c>
      <c r="C51" s="39" t="s">
        <v>10</v>
      </c>
      <c r="D51" s="39">
        <v>0.6</v>
      </c>
      <c r="E51" s="40">
        <f>E42*D51</f>
        <v>1.5</v>
      </c>
      <c r="F51" s="88">
        <v>0</v>
      </c>
      <c r="G51" s="29">
        <f t="shared" si="18"/>
        <v>0</v>
      </c>
      <c r="H51" s="41"/>
      <c r="I51" s="28">
        <f t="shared" si="19"/>
        <v>0</v>
      </c>
      <c r="J51" s="41"/>
      <c r="K51" s="28">
        <f t="shared" si="20"/>
        <v>0</v>
      </c>
      <c r="L51" s="30">
        <f t="shared" si="15"/>
        <v>0</v>
      </c>
      <c r="N51" s="44"/>
    </row>
    <row r="52" spans="1:14" x14ac:dyDescent="0.2">
      <c r="A52" s="22">
        <v>13</v>
      </c>
      <c r="B52" s="47" t="s">
        <v>61</v>
      </c>
      <c r="C52" s="33" t="s">
        <v>16</v>
      </c>
      <c r="D52" s="33"/>
      <c r="E52" s="49">
        <f>31*0.2</f>
        <v>6.2</v>
      </c>
      <c r="F52" s="49"/>
      <c r="G52" s="49"/>
      <c r="H52" s="49"/>
      <c r="I52" s="49"/>
      <c r="J52" s="49"/>
      <c r="K52" s="49"/>
      <c r="L52" s="50"/>
      <c r="M52" s="21"/>
    </row>
    <row r="53" spans="1:14" s="43" customFormat="1" ht="12.75" customHeight="1" x14ac:dyDescent="0.25">
      <c r="A53" s="37">
        <v>13.1</v>
      </c>
      <c r="B53" s="38" t="s">
        <v>46</v>
      </c>
      <c r="C53" s="39" t="s">
        <v>16</v>
      </c>
      <c r="D53" s="39"/>
      <c r="E53" s="40">
        <f>E52</f>
        <v>6.2</v>
      </c>
      <c r="F53" s="42"/>
      <c r="G53" s="29">
        <f t="shared" ref="G53:G61" si="21">F53*E53</f>
        <v>0</v>
      </c>
      <c r="H53" s="88">
        <v>0</v>
      </c>
      <c r="I53" s="28">
        <f>H53*E53</f>
        <v>0</v>
      </c>
      <c r="J53" s="41"/>
      <c r="K53" s="28">
        <f>J53*E53</f>
        <v>0</v>
      </c>
      <c r="L53" s="30">
        <f t="shared" si="15"/>
        <v>0</v>
      </c>
      <c r="N53" s="44"/>
    </row>
    <row r="54" spans="1:14" s="43" customFormat="1" ht="12.75" customHeight="1" x14ac:dyDescent="0.25">
      <c r="A54" s="37">
        <v>13.2</v>
      </c>
      <c r="B54" s="38" t="s">
        <v>47</v>
      </c>
      <c r="C54" s="39" t="s">
        <v>16</v>
      </c>
      <c r="D54" s="39"/>
      <c r="E54" s="40">
        <f>E53</f>
        <v>6.2</v>
      </c>
      <c r="F54" s="42"/>
      <c r="G54" s="29">
        <f t="shared" si="21"/>
        <v>0</v>
      </c>
      <c r="H54" s="41"/>
      <c r="I54" s="28">
        <f t="shared" ref="I54:I61" si="22">H54*E54</f>
        <v>0</v>
      </c>
      <c r="J54" s="88">
        <v>0</v>
      </c>
      <c r="K54" s="28">
        <f>J54*E54</f>
        <v>0</v>
      </c>
      <c r="L54" s="30">
        <f t="shared" si="15"/>
        <v>0</v>
      </c>
      <c r="N54" s="44"/>
    </row>
    <row r="55" spans="1:14" s="43" customFormat="1" ht="12.75" customHeight="1" x14ac:dyDescent="0.25">
      <c r="A55" s="37">
        <v>13.3</v>
      </c>
      <c r="B55" s="38" t="s">
        <v>48</v>
      </c>
      <c r="C55" s="39" t="s">
        <v>16</v>
      </c>
      <c r="D55" s="39">
        <v>1.0149999999999999</v>
      </c>
      <c r="E55" s="40">
        <f>E52*D55</f>
        <v>6.2929999999999993</v>
      </c>
      <c r="F55" s="88">
        <v>0</v>
      </c>
      <c r="G55" s="29">
        <f t="shared" si="21"/>
        <v>0</v>
      </c>
      <c r="H55" s="41"/>
      <c r="I55" s="28">
        <f t="shared" si="22"/>
        <v>0</v>
      </c>
      <c r="J55" s="41"/>
      <c r="K55" s="28">
        <f t="shared" ref="K55:K61" si="23">J55*E55</f>
        <v>0</v>
      </c>
      <c r="L55" s="30">
        <f t="shared" si="15"/>
        <v>0</v>
      </c>
      <c r="N55" s="44"/>
    </row>
    <row r="56" spans="1:14" s="43" customFormat="1" ht="12.75" customHeight="1" x14ac:dyDescent="0.25">
      <c r="A56" s="37">
        <v>13.4</v>
      </c>
      <c r="B56" s="38" t="s">
        <v>64</v>
      </c>
      <c r="C56" s="39" t="s">
        <v>49</v>
      </c>
      <c r="D56" s="39"/>
      <c r="E56" s="40">
        <v>0.36</v>
      </c>
      <c r="F56" s="88">
        <v>0</v>
      </c>
      <c r="G56" s="29">
        <f t="shared" si="21"/>
        <v>0</v>
      </c>
      <c r="H56" s="41"/>
      <c r="I56" s="28">
        <f t="shared" si="22"/>
        <v>0</v>
      </c>
      <c r="J56" s="41"/>
      <c r="K56" s="28">
        <f t="shared" si="23"/>
        <v>0</v>
      </c>
      <c r="L56" s="30">
        <f t="shared" si="15"/>
        <v>0</v>
      </c>
      <c r="N56" s="44"/>
    </row>
    <row r="57" spans="1:14" s="43" customFormat="1" ht="12.75" customHeight="1" x14ac:dyDescent="0.25">
      <c r="A57" s="37">
        <v>13.5</v>
      </c>
      <c r="B57" s="38" t="s">
        <v>67</v>
      </c>
      <c r="C57" s="39" t="s">
        <v>49</v>
      </c>
      <c r="D57" s="39"/>
      <c r="E57" s="40">
        <v>1.27</v>
      </c>
      <c r="F57" s="88">
        <v>0</v>
      </c>
      <c r="G57" s="29">
        <f t="shared" si="21"/>
        <v>0</v>
      </c>
      <c r="H57" s="41"/>
      <c r="I57" s="28">
        <f t="shared" si="22"/>
        <v>0</v>
      </c>
      <c r="J57" s="41"/>
      <c r="K57" s="28">
        <f t="shared" si="23"/>
        <v>0</v>
      </c>
      <c r="L57" s="30">
        <f t="shared" si="15"/>
        <v>0</v>
      </c>
      <c r="N57" s="44"/>
    </row>
    <row r="58" spans="1:14" s="43" customFormat="1" ht="12.75" customHeight="1" x14ac:dyDescent="0.25">
      <c r="A58" s="37">
        <v>13.6</v>
      </c>
      <c r="B58" s="38" t="s">
        <v>68</v>
      </c>
      <c r="C58" s="39" t="s">
        <v>49</v>
      </c>
      <c r="D58" s="39"/>
      <c r="E58" s="40">
        <v>0.47</v>
      </c>
      <c r="F58" s="88">
        <v>0</v>
      </c>
      <c r="G58" s="29">
        <f t="shared" si="21"/>
        <v>0</v>
      </c>
      <c r="H58" s="41"/>
      <c r="I58" s="28">
        <f t="shared" si="22"/>
        <v>0</v>
      </c>
      <c r="J58" s="41"/>
      <c r="K58" s="28">
        <f t="shared" si="23"/>
        <v>0</v>
      </c>
      <c r="L58" s="30">
        <f t="shared" si="15"/>
        <v>0</v>
      </c>
      <c r="N58" s="44"/>
    </row>
    <row r="59" spans="1:14" s="43" customFormat="1" ht="12.75" customHeight="1" x14ac:dyDescent="0.25">
      <c r="A59" s="37">
        <v>13.7</v>
      </c>
      <c r="B59" s="38" t="s">
        <v>50</v>
      </c>
      <c r="C59" s="39" t="s">
        <v>15</v>
      </c>
      <c r="D59" s="39"/>
      <c r="E59" s="40">
        <v>38.5</v>
      </c>
      <c r="F59" s="88">
        <v>0</v>
      </c>
      <c r="G59" s="29">
        <f t="shared" si="21"/>
        <v>0</v>
      </c>
      <c r="H59" s="41"/>
      <c r="I59" s="28">
        <f t="shared" si="22"/>
        <v>0</v>
      </c>
      <c r="J59" s="41"/>
      <c r="K59" s="28">
        <f t="shared" si="23"/>
        <v>0</v>
      </c>
      <c r="L59" s="30">
        <f t="shared" si="15"/>
        <v>0</v>
      </c>
      <c r="N59" s="44"/>
    </row>
    <row r="60" spans="1:14" s="43" customFormat="1" ht="12.75" customHeight="1" x14ac:dyDescent="0.25">
      <c r="A60" s="37">
        <v>13.8</v>
      </c>
      <c r="B60" s="38" t="s">
        <v>51</v>
      </c>
      <c r="C60" s="39" t="s">
        <v>16</v>
      </c>
      <c r="D60" s="39">
        <v>8.0000000000000002E-3</v>
      </c>
      <c r="E60" s="40">
        <f>E52*D60</f>
        <v>4.9600000000000005E-2</v>
      </c>
      <c r="F60" s="88">
        <v>0</v>
      </c>
      <c r="G60" s="29">
        <f t="shared" si="21"/>
        <v>0</v>
      </c>
      <c r="H60" s="41"/>
      <c r="I60" s="28">
        <f t="shared" si="22"/>
        <v>0</v>
      </c>
      <c r="J60" s="41"/>
      <c r="K60" s="28">
        <f t="shared" si="23"/>
        <v>0</v>
      </c>
      <c r="L60" s="30">
        <f t="shared" si="15"/>
        <v>0</v>
      </c>
      <c r="N60" s="44"/>
    </row>
    <row r="61" spans="1:14" s="43" customFormat="1" ht="12.75" customHeight="1" x14ac:dyDescent="0.25">
      <c r="A61" s="37">
        <v>13.9</v>
      </c>
      <c r="B61" s="38" t="s">
        <v>52</v>
      </c>
      <c r="C61" s="39" t="s">
        <v>10</v>
      </c>
      <c r="D61" s="39">
        <v>0.39</v>
      </c>
      <c r="E61" s="40">
        <f>E52*D61</f>
        <v>2.4180000000000001</v>
      </c>
      <c r="F61" s="88">
        <v>0</v>
      </c>
      <c r="G61" s="29">
        <f t="shared" si="21"/>
        <v>0</v>
      </c>
      <c r="H61" s="41"/>
      <c r="I61" s="28">
        <f t="shared" si="22"/>
        <v>0</v>
      </c>
      <c r="J61" s="41"/>
      <c r="K61" s="28">
        <f t="shared" si="23"/>
        <v>0</v>
      </c>
      <c r="L61" s="30">
        <f t="shared" si="15"/>
        <v>0</v>
      </c>
      <c r="N61" s="44"/>
    </row>
    <row r="62" spans="1:14" ht="24" x14ac:dyDescent="0.2">
      <c r="A62" s="22">
        <v>14</v>
      </c>
      <c r="B62" s="47" t="s">
        <v>101</v>
      </c>
      <c r="C62" s="33" t="s">
        <v>16</v>
      </c>
      <c r="D62" s="33"/>
      <c r="E62" s="49">
        <v>1.5</v>
      </c>
      <c r="F62" s="49"/>
      <c r="G62" s="49"/>
      <c r="H62" s="49"/>
      <c r="I62" s="49"/>
      <c r="J62" s="49"/>
      <c r="K62" s="49"/>
      <c r="L62" s="50"/>
      <c r="M62" s="21"/>
    </row>
    <row r="63" spans="1:14" s="43" customFormat="1" ht="12.75" customHeight="1" x14ac:dyDescent="0.25">
      <c r="A63" s="37">
        <v>14.1</v>
      </c>
      <c r="B63" s="38" t="s">
        <v>46</v>
      </c>
      <c r="C63" s="39" t="s">
        <v>62</v>
      </c>
      <c r="D63" s="39"/>
      <c r="E63" s="40">
        <f>E62</f>
        <v>1.5</v>
      </c>
      <c r="F63" s="42"/>
      <c r="G63" s="29">
        <f t="shared" ref="G63:G70" si="24">F63*E63</f>
        <v>0</v>
      </c>
      <c r="H63" s="88">
        <v>0</v>
      </c>
      <c r="I63" s="28">
        <f>H63*E63</f>
        <v>0</v>
      </c>
      <c r="J63" s="41"/>
      <c r="K63" s="28">
        <f>J63*E63</f>
        <v>0</v>
      </c>
      <c r="L63" s="30">
        <f t="shared" si="15"/>
        <v>0</v>
      </c>
      <c r="N63" s="44"/>
    </row>
    <row r="64" spans="1:14" s="43" customFormat="1" ht="12.75" customHeight="1" x14ac:dyDescent="0.25">
      <c r="A64" s="37">
        <v>14.2</v>
      </c>
      <c r="B64" s="38" t="s">
        <v>47</v>
      </c>
      <c r="C64" s="39" t="s">
        <v>16</v>
      </c>
      <c r="D64" s="39"/>
      <c r="E64" s="40">
        <f>E62</f>
        <v>1.5</v>
      </c>
      <c r="F64" s="42"/>
      <c r="G64" s="29">
        <f t="shared" si="24"/>
        <v>0</v>
      </c>
      <c r="H64" s="41"/>
      <c r="I64" s="28">
        <f t="shared" ref="I64:I70" si="25">H64*E64</f>
        <v>0</v>
      </c>
      <c r="J64" s="88">
        <v>0</v>
      </c>
      <c r="K64" s="28">
        <f>J64*E64</f>
        <v>0</v>
      </c>
      <c r="L64" s="30">
        <f t="shared" si="15"/>
        <v>0</v>
      </c>
      <c r="N64" s="44"/>
    </row>
    <row r="65" spans="1:14" s="43" customFormat="1" ht="12.75" customHeight="1" x14ac:dyDescent="0.25">
      <c r="A65" s="37">
        <v>14.3</v>
      </c>
      <c r="B65" s="38" t="s">
        <v>48</v>
      </c>
      <c r="C65" s="39" t="s">
        <v>16</v>
      </c>
      <c r="D65" s="39">
        <v>1.02</v>
      </c>
      <c r="E65" s="40">
        <f>E62*D65</f>
        <v>1.53</v>
      </c>
      <c r="F65" s="88">
        <v>0</v>
      </c>
      <c r="G65" s="29">
        <f t="shared" si="24"/>
        <v>0</v>
      </c>
      <c r="H65" s="41"/>
      <c r="I65" s="28">
        <f t="shared" si="25"/>
        <v>0</v>
      </c>
      <c r="J65" s="41"/>
      <c r="K65" s="28">
        <f t="shared" ref="K65:K70" si="26">J65*E65</f>
        <v>0</v>
      </c>
      <c r="L65" s="30">
        <f t="shared" si="15"/>
        <v>0</v>
      </c>
      <c r="N65" s="44"/>
    </row>
    <row r="66" spans="1:14" s="43" customFormat="1" ht="12.75" customHeight="1" x14ac:dyDescent="0.25">
      <c r="A66" s="37">
        <v>14.4</v>
      </c>
      <c r="B66" s="38" t="s">
        <v>64</v>
      </c>
      <c r="C66" s="39" t="s">
        <v>49</v>
      </c>
      <c r="D66" s="39"/>
      <c r="E66" s="40">
        <v>0.22</v>
      </c>
      <c r="F66" s="88">
        <v>0</v>
      </c>
      <c r="G66" s="29">
        <f t="shared" si="24"/>
        <v>0</v>
      </c>
      <c r="H66" s="41"/>
      <c r="I66" s="28">
        <f t="shared" si="25"/>
        <v>0</v>
      </c>
      <c r="J66" s="41"/>
      <c r="K66" s="28">
        <f t="shared" si="26"/>
        <v>0</v>
      </c>
      <c r="L66" s="30">
        <f t="shared" si="15"/>
        <v>0</v>
      </c>
      <c r="N66" s="44"/>
    </row>
    <row r="67" spans="1:14" s="43" customFormat="1" ht="12.75" customHeight="1" x14ac:dyDescent="0.25">
      <c r="A67" s="37">
        <v>14.5</v>
      </c>
      <c r="B67" s="38" t="s">
        <v>63</v>
      </c>
      <c r="C67" s="39" t="s">
        <v>49</v>
      </c>
      <c r="D67" s="39"/>
      <c r="E67" s="40">
        <v>0.37</v>
      </c>
      <c r="F67" s="88">
        <v>0</v>
      </c>
      <c r="G67" s="29">
        <f t="shared" si="24"/>
        <v>0</v>
      </c>
      <c r="H67" s="41"/>
      <c r="I67" s="28">
        <f t="shared" si="25"/>
        <v>0</v>
      </c>
      <c r="J67" s="41"/>
      <c r="K67" s="28">
        <f t="shared" si="26"/>
        <v>0</v>
      </c>
      <c r="L67" s="30">
        <f t="shared" si="15"/>
        <v>0</v>
      </c>
      <c r="N67" s="44"/>
    </row>
    <row r="68" spans="1:14" s="43" customFormat="1" ht="12.75" customHeight="1" x14ac:dyDescent="0.25">
      <c r="A68" s="37">
        <v>14.6</v>
      </c>
      <c r="B68" s="38" t="s">
        <v>50</v>
      </c>
      <c r="C68" s="39" t="s">
        <v>15</v>
      </c>
      <c r="D68" s="39"/>
      <c r="E68" s="40">
        <v>15.6</v>
      </c>
      <c r="F68" s="88">
        <v>0</v>
      </c>
      <c r="G68" s="29">
        <f t="shared" si="24"/>
        <v>0</v>
      </c>
      <c r="H68" s="41"/>
      <c r="I68" s="28">
        <f t="shared" si="25"/>
        <v>0</v>
      </c>
      <c r="J68" s="41"/>
      <c r="K68" s="28">
        <f t="shared" si="26"/>
        <v>0</v>
      </c>
      <c r="L68" s="30">
        <f t="shared" si="15"/>
        <v>0</v>
      </c>
      <c r="N68" s="44"/>
    </row>
    <row r="69" spans="1:14" s="43" customFormat="1" ht="12.75" customHeight="1" x14ac:dyDescent="0.25">
      <c r="A69" s="37">
        <v>14.7</v>
      </c>
      <c r="B69" s="38" t="s">
        <v>51</v>
      </c>
      <c r="C69" s="39" t="s">
        <v>16</v>
      </c>
      <c r="D69" s="39">
        <v>5.7000000000000002E-2</v>
      </c>
      <c r="E69" s="40">
        <f>E62*D69</f>
        <v>8.5500000000000007E-2</v>
      </c>
      <c r="F69" s="88">
        <v>0</v>
      </c>
      <c r="G69" s="29">
        <f t="shared" si="24"/>
        <v>0</v>
      </c>
      <c r="H69" s="41"/>
      <c r="I69" s="28">
        <f t="shared" si="25"/>
        <v>0</v>
      </c>
      <c r="J69" s="41"/>
      <c r="K69" s="28">
        <f t="shared" si="26"/>
        <v>0</v>
      </c>
      <c r="L69" s="30">
        <f t="shared" si="15"/>
        <v>0</v>
      </c>
      <c r="N69" s="44"/>
    </row>
    <row r="70" spans="1:14" s="43" customFormat="1" ht="12.75" customHeight="1" x14ac:dyDescent="0.25">
      <c r="A70" s="37">
        <v>14.8</v>
      </c>
      <c r="B70" s="38" t="s">
        <v>52</v>
      </c>
      <c r="C70" s="39" t="s">
        <v>10</v>
      </c>
      <c r="D70" s="39">
        <v>0.9</v>
      </c>
      <c r="E70" s="40">
        <f>E62*D70</f>
        <v>1.35</v>
      </c>
      <c r="F70" s="88">
        <v>0</v>
      </c>
      <c r="G70" s="29">
        <f t="shared" si="24"/>
        <v>0</v>
      </c>
      <c r="H70" s="41"/>
      <c r="I70" s="28">
        <f t="shared" si="25"/>
        <v>0</v>
      </c>
      <c r="J70" s="41"/>
      <c r="K70" s="28">
        <f t="shared" si="26"/>
        <v>0</v>
      </c>
      <c r="L70" s="30">
        <f t="shared" si="15"/>
        <v>0</v>
      </c>
      <c r="N70" s="44"/>
    </row>
    <row r="71" spans="1:14" ht="22.5" customHeight="1" x14ac:dyDescent="0.2">
      <c r="A71" s="22">
        <v>15</v>
      </c>
      <c r="B71" s="47" t="s">
        <v>69</v>
      </c>
      <c r="C71" s="33"/>
      <c r="D71" s="49"/>
      <c r="E71" s="49"/>
      <c r="F71" s="49"/>
      <c r="G71" s="49"/>
      <c r="H71" s="49"/>
      <c r="I71" s="49"/>
      <c r="J71" s="49"/>
      <c r="K71" s="49"/>
      <c r="L71" s="54"/>
    </row>
    <row r="72" spans="1:14" s="57" customFormat="1" ht="24.75" customHeight="1" x14ac:dyDescent="0.2">
      <c r="A72" s="37">
        <v>15.1</v>
      </c>
      <c r="B72" s="46" t="s">
        <v>286</v>
      </c>
      <c r="C72" s="35" t="s">
        <v>16</v>
      </c>
      <c r="D72" s="39"/>
      <c r="E72" s="55">
        <f>75*0.2</f>
        <v>15</v>
      </c>
      <c r="F72" s="19"/>
      <c r="G72" s="29"/>
      <c r="H72" s="19"/>
      <c r="I72" s="19"/>
      <c r="J72" s="19"/>
      <c r="K72" s="19"/>
      <c r="L72" s="56"/>
    </row>
    <row r="73" spans="1:14" s="43" customFormat="1" ht="12.75" customHeight="1" x14ac:dyDescent="0.25">
      <c r="A73" s="37">
        <v>15.2</v>
      </c>
      <c r="B73" s="38" t="s">
        <v>46</v>
      </c>
      <c r="C73" s="39" t="s">
        <v>16</v>
      </c>
      <c r="D73" s="39"/>
      <c r="E73" s="40">
        <v>15</v>
      </c>
      <c r="F73" s="42"/>
      <c r="G73" s="29">
        <f t="shared" ref="G73:G81" si="27">F73*E73</f>
        <v>0</v>
      </c>
      <c r="H73" s="88">
        <v>0</v>
      </c>
      <c r="I73" s="28">
        <f>H73*E73</f>
        <v>0</v>
      </c>
      <c r="J73" s="41"/>
      <c r="K73" s="28">
        <f t="shared" ref="K73" si="28">J73*E73</f>
        <v>0</v>
      </c>
      <c r="L73" s="30">
        <f t="shared" ref="L73:L94" si="29">K73+I73+G73</f>
        <v>0</v>
      </c>
      <c r="N73" s="44"/>
    </row>
    <row r="74" spans="1:14" s="43" customFormat="1" ht="12.75" customHeight="1" x14ac:dyDescent="0.25">
      <c r="A74" s="37">
        <v>15.3</v>
      </c>
      <c r="B74" s="38" t="s">
        <v>70</v>
      </c>
      <c r="C74" s="39" t="s">
        <v>8</v>
      </c>
      <c r="D74" s="39">
        <v>62.5</v>
      </c>
      <c r="E74" s="40">
        <f>E72*D74</f>
        <v>937.5</v>
      </c>
      <c r="F74" s="88">
        <v>0</v>
      </c>
      <c r="G74" s="29">
        <f t="shared" si="27"/>
        <v>0</v>
      </c>
      <c r="H74" s="41"/>
      <c r="I74" s="28">
        <f t="shared" ref="I74:I81" si="30">H74*E74</f>
        <v>0</v>
      </c>
      <c r="J74" s="41"/>
      <c r="K74" s="28">
        <f t="shared" ref="K74:K81" si="31">J74*E74</f>
        <v>0</v>
      </c>
      <c r="L74" s="30">
        <f t="shared" si="29"/>
        <v>0</v>
      </c>
      <c r="N74" s="44"/>
    </row>
    <row r="75" spans="1:14" s="43" customFormat="1" ht="12.75" customHeight="1" x14ac:dyDescent="0.25">
      <c r="A75" s="37">
        <v>15.4</v>
      </c>
      <c r="B75" s="38" t="s">
        <v>71</v>
      </c>
      <c r="C75" s="39" t="s">
        <v>16</v>
      </c>
      <c r="D75" s="39">
        <v>0.11</v>
      </c>
      <c r="E75" s="40">
        <f>E72*D75</f>
        <v>1.65</v>
      </c>
      <c r="F75" s="88">
        <v>0</v>
      </c>
      <c r="G75" s="29">
        <f t="shared" si="27"/>
        <v>0</v>
      </c>
      <c r="H75" s="41"/>
      <c r="I75" s="28">
        <f t="shared" si="30"/>
        <v>0</v>
      </c>
      <c r="J75" s="41"/>
      <c r="K75" s="28">
        <f t="shared" si="31"/>
        <v>0</v>
      </c>
      <c r="L75" s="30">
        <f t="shared" si="29"/>
        <v>0</v>
      </c>
      <c r="N75" s="44"/>
    </row>
    <row r="76" spans="1:14" s="43" customFormat="1" ht="12.75" customHeight="1" x14ac:dyDescent="0.25">
      <c r="A76" s="37">
        <v>15.5</v>
      </c>
      <c r="B76" s="38" t="s">
        <v>52</v>
      </c>
      <c r="C76" s="39" t="s">
        <v>10</v>
      </c>
      <c r="D76" s="39">
        <v>0.16</v>
      </c>
      <c r="E76" s="40">
        <f>E72*D76</f>
        <v>2.4</v>
      </c>
      <c r="F76" s="88">
        <v>0</v>
      </c>
      <c r="G76" s="29">
        <f t="shared" si="27"/>
        <v>0</v>
      </c>
      <c r="H76" s="41"/>
      <c r="I76" s="28">
        <f t="shared" si="30"/>
        <v>0</v>
      </c>
      <c r="J76" s="41"/>
      <c r="K76" s="28">
        <f t="shared" si="31"/>
        <v>0</v>
      </c>
      <c r="L76" s="30">
        <f t="shared" si="29"/>
        <v>0</v>
      </c>
      <c r="N76" s="44"/>
    </row>
    <row r="77" spans="1:14" s="57" customFormat="1" ht="21.75" customHeight="1" x14ac:dyDescent="0.25">
      <c r="A77" s="37">
        <v>15.6</v>
      </c>
      <c r="B77" s="46" t="s">
        <v>285</v>
      </c>
      <c r="C77" s="35" t="s">
        <v>16</v>
      </c>
      <c r="D77" s="35"/>
      <c r="E77" s="55">
        <f>25*0.2</f>
        <v>5</v>
      </c>
      <c r="F77" s="19"/>
      <c r="G77" s="29"/>
      <c r="H77" s="19"/>
      <c r="I77" s="28"/>
      <c r="J77" s="41"/>
      <c r="K77" s="28"/>
      <c r="L77" s="30"/>
    </row>
    <row r="78" spans="1:14" s="43" customFormat="1" ht="12.75" customHeight="1" x14ac:dyDescent="0.25">
      <c r="A78" s="37">
        <v>15.7</v>
      </c>
      <c r="B78" s="38" t="s">
        <v>46</v>
      </c>
      <c r="C78" s="39" t="s">
        <v>16</v>
      </c>
      <c r="D78" s="39"/>
      <c r="E78" s="40">
        <v>5</v>
      </c>
      <c r="F78" s="42"/>
      <c r="G78" s="29">
        <f t="shared" si="27"/>
        <v>0</v>
      </c>
      <c r="H78" s="88">
        <v>0</v>
      </c>
      <c r="I78" s="28">
        <f t="shared" si="30"/>
        <v>0</v>
      </c>
      <c r="J78" s="41"/>
      <c r="K78" s="28">
        <f t="shared" si="31"/>
        <v>0</v>
      </c>
      <c r="L78" s="30">
        <f t="shared" si="29"/>
        <v>0</v>
      </c>
      <c r="N78" s="44"/>
    </row>
    <row r="79" spans="1:14" s="43" customFormat="1" ht="12.75" customHeight="1" x14ac:dyDescent="0.25">
      <c r="A79" s="37">
        <v>15.8</v>
      </c>
      <c r="B79" s="38" t="s">
        <v>70</v>
      </c>
      <c r="C79" s="39" t="s">
        <v>8</v>
      </c>
      <c r="D79" s="39">
        <v>62.5</v>
      </c>
      <c r="E79" s="40">
        <f>E77*D79</f>
        <v>312.5</v>
      </c>
      <c r="F79" s="88">
        <v>0</v>
      </c>
      <c r="G79" s="29">
        <f t="shared" si="27"/>
        <v>0</v>
      </c>
      <c r="H79" s="41"/>
      <c r="I79" s="28">
        <f t="shared" si="30"/>
        <v>0</v>
      </c>
      <c r="J79" s="41"/>
      <c r="K79" s="28">
        <f t="shared" si="31"/>
        <v>0</v>
      </c>
      <c r="L79" s="30">
        <f t="shared" si="29"/>
        <v>0</v>
      </c>
      <c r="N79" s="44"/>
    </row>
    <row r="80" spans="1:14" s="43" customFormat="1" ht="12.75" customHeight="1" x14ac:dyDescent="0.25">
      <c r="A80" s="37">
        <v>15.9</v>
      </c>
      <c r="B80" s="38" t="s">
        <v>71</v>
      </c>
      <c r="C80" s="39" t="s">
        <v>16</v>
      </c>
      <c r="D80" s="39">
        <v>0.11</v>
      </c>
      <c r="E80" s="40">
        <f>E77*D80</f>
        <v>0.55000000000000004</v>
      </c>
      <c r="F80" s="88">
        <v>0</v>
      </c>
      <c r="G80" s="29">
        <f t="shared" si="27"/>
        <v>0</v>
      </c>
      <c r="H80" s="41"/>
      <c r="I80" s="28">
        <f t="shared" si="30"/>
        <v>0</v>
      </c>
      <c r="J80" s="41"/>
      <c r="K80" s="28">
        <f t="shared" si="31"/>
        <v>0</v>
      </c>
      <c r="L80" s="30">
        <f t="shared" si="29"/>
        <v>0</v>
      </c>
      <c r="N80" s="44"/>
    </row>
    <row r="81" spans="1:14" s="43" customFormat="1" ht="12.75" customHeight="1" x14ac:dyDescent="0.25">
      <c r="A81" s="37">
        <v>16</v>
      </c>
      <c r="B81" s="38" t="s">
        <v>52</v>
      </c>
      <c r="C81" s="39" t="s">
        <v>10</v>
      </c>
      <c r="D81" s="39">
        <v>0.16</v>
      </c>
      <c r="E81" s="40">
        <f>E77*D81</f>
        <v>0.8</v>
      </c>
      <c r="F81" s="88">
        <v>0</v>
      </c>
      <c r="G81" s="29">
        <f t="shared" si="27"/>
        <v>0</v>
      </c>
      <c r="H81" s="41"/>
      <c r="I81" s="28">
        <f t="shared" si="30"/>
        <v>0</v>
      </c>
      <c r="J81" s="41"/>
      <c r="K81" s="28">
        <f t="shared" si="31"/>
        <v>0</v>
      </c>
      <c r="L81" s="30">
        <f t="shared" si="29"/>
        <v>0</v>
      </c>
      <c r="N81" s="44"/>
    </row>
    <row r="82" spans="1:14" ht="22.5" customHeight="1" x14ac:dyDescent="0.2">
      <c r="A82" s="22">
        <v>16</v>
      </c>
      <c r="B82" s="47" t="s">
        <v>95</v>
      </c>
      <c r="C82" s="33" t="s">
        <v>16</v>
      </c>
      <c r="D82" s="49"/>
      <c r="E82" s="49">
        <v>9.36</v>
      </c>
      <c r="F82" s="49"/>
      <c r="G82" s="49"/>
      <c r="H82" s="49"/>
      <c r="I82" s="49"/>
      <c r="J82" s="49"/>
      <c r="K82" s="49"/>
      <c r="L82" s="54"/>
    </row>
    <row r="83" spans="1:14" s="43" customFormat="1" ht="12.75" customHeight="1" x14ac:dyDescent="0.25">
      <c r="A83" s="37">
        <v>16.100000000000001</v>
      </c>
      <c r="B83" s="38" t="s">
        <v>46</v>
      </c>
      <c r="C83" s="39" t="s">
        <v>15</v>
      </c>
      <c r="D83" s="39"/>
      <c r="E83" s="40">
        <v>31.2</v>
      </c>
      <c r="F83" s="42"/>
      <c r="G83" s="29">
        <f t="shared" ref="G83:G94" si="32">F83*E83</f>
        <v>0</v>
      </c>
      <c r="H83" s="88">
        <v>0</v>
      </c>
      <c r="I83" s="28">
        <f>H83*E83</f>
        <v>0</v>
      </c>
      <c r="J83" s="41"/>
      <c r="K83" s="28">
        <f>J83*E83</f>
        <v>0</v>
      </c>
      <c r="L83" s="30">
        <f t="shared" si="29"/>
        <v>0</v>
      </c>
      <c r="N83" s="44"/>
    </row>
    <row r="84" spans="1:14" s="43" customFormat="1" ht="12.75" customHeight="1" x14ac:dyDescent="0.25">
      <c r="A84" s="37">
        <v>16.2</v>
      </c>
      <c r="B84" s="38" t="s">
        <v>97</v>
      </c>
      <c r="C84" s="39" t="s">
        <v>15</v>
      </c>
      <c r="D84" s="39"/>
      <c r="E84" s="40">
        <v>31.2</v>
      </c>
      <c r="F84" s="42"/>
      <c r="G84" s="29">
        <f t="shared" si="32"/>
        <v>0</v>
      </c>
      <c r="H84" s="41"/>
      <c r="I84" s="28">
        <f t="shared" ref="I84:I94" si="33">H84*E84</f>
        <v>0</v>
      </c>
      <c r="J84" s="88">
        <v>0</v>
      </c>
      <c r="K84" s="28">
        <f>J84*E84</f>
        <v>0</v>
      </c>
      <c r="L84" s="30">
        <f t="shared" si="29"/>
        <v>0</v>
      </c>
      <c r="N84" s="44"/>
    </row>
    <row r="85" spans="1:14" s="43" customFormat="1" ht="12.75" customHeight="1" x14ac:dyDescent="0.25">
      <c r="A85" s="37">
        <v>16.3</v>
      </c>
      <c r="B85" s="58" t="s">
        <v>93</v>
      </c>
      <c r="C85" s="39" t="s">
        <v>15</v>
      </c>
      <c r="D85" s="39"/>
      <c r="E85" s="40">
        <f>31.2*1.2</f>
        <v>37.44</v>
      </c>
      <c r="F85" s="88">
        <v>0</v>
      </c>
      <c r="G85" s="29">
        <f t="shared" si="32"/>
        <v>0</v>
      </c>
      <c r="H85" s="41"/>
      <c r="I85" s="28">
        <f t="shared" si="33"/>
        <v>0</v>
      </c>
      <c r="J85" s="41"/>
      <c r="K85" s="28">
        <f t="shared" ref="K85:K94" si="34">J85*E85</f>
        <v>0</v>
      </c>
      <c r="L85" s="30">
        <f t="shared" si="29"/>
        <v>0</v>
      </c>
      <c r="N85" s="44"/>
    </row>
    <row r="86" spans="1:14" s="43" customFormat="1" ht="12.75" customHeight="1" x14ac:dyDescent="0.25">
      <c r="A86" s="37">
        <v>16.399999999999999</v>
      </c>
      <c r="B86" s="58" t="s">
        <v>130</v>
      </c>
      <c r="C86" s="39" t="s">
        <v>16</v>
      </c>
      <c r="D86" s="39"/>
      <c r="E86" s="40">
        <f>31.2*0.1*1.1</f>
        <v>3.4320000000000004</v>
      </c>
      <c r="F86" s="88">
        <v>0</v>
      </c>
      <c r="G86" s="29">
        <f t="shared" si="32"/>
        <v>0</v>
      </c>
      <c r="H86" s="41"/>
      <c r="I86" s="28">
        <f t="shared" si="33"/>
        <v>0</v>
      </c>
      <c r="J86" s="41"/>
      <c r="K86" s="28">
        <f t="shared" si="34"/>
        <v>0</v>
      </c>
      <c r="L86" s="30">
        <f t="shared" si="29"/>
        <v>0</v>
      </c>
      <c r="N86" s="44"/>
    </row>
    <row r="87" spans="1:14" s="43" customFormat="1" ht="12.75" customHeight="1" x14ac:dyDescent="0.25">
      <c r="A87" s="37">
        <v>16.5</v>
      </c>
      <c r="B87" s="58" t="s">
        <v>94</v>
      </c>
      <c r="C87" s="39" t="s">
        <v>15</v>
      </c>
      <c r="D87" s="39"/>
      <c r="E87" s="40">
        <f>31.2*1.2</f>
        <v>37.44</v>
      </c>
      <c r="F87" s="88">
        <v>0</v>
      </c>
      <c r="G87" s="29">
        <f t="shared" si="32"/>
        <v>0</v>
      </c>
      <c r="H87" s="41"/>
      <c r="I87" s="28">
        <f t="shared" si="33"/>
        <v>0</v>
      </c>
      <c r="J87" s="41"/>
      <c r="K87" s="28">
        <f t="shared" si="34"/>
        <v>0</v>
      </c>
      <c r="L87" s="30">
        <f t="shared" si="29"/>
        <v>0</v>
      </c>
      <c r="N87" s="44"/>
    </row>
    <row r="88" spans="1:14" s="43" customFormat="1" ht="12.75" customHeight="1" x14ac:dyDescent="0.25">
      <c r="A88" s="37">
        <v>16.600000000000001</v>
      </c>
      <c r="B88" s="38" t="s">
        <v>47</v>
      </c>
      <c r="C88" s="39" t="s">
        <v>16</v>
      </c>
      <c r="D88" s="39"/>
      <c r="E88" s="40">
        <f>31.2*0.3</f>
        <v>9.36</v>
      </c>
      <c r="F88" s="42"/>
      <c r="G88" s="29">
        <f t="shared" si="32"/>
        <v>0</v>
      </c>
      <c r="H88" s="41"/>
      <c r="I88" s="28">
        <f t="shared" si="33"/>
        <v>0</v>
      </c>
      <c r="J88" s="88">
        <v>0</v>
      </c>
      <c r="K88" s="28">
        <f t="shared" si="34"/>
        <v>0</v>
      </c>
      <c r="L88" s="30">
        <f t="shared" si="29"/>
        <v>0</v>
      </c>
      <c r="N88" s="44"/>
    </row>
    <row r="89" spans="1:14" s="43" customFormat="1" ht="12.75" customHeight="1" x14ac:dyDescent="0.25">
      <c r="A89" s="37">
        <v>16.7</v>
      </c>
      <c r="B89" s="38" t="s">
        <v>48</v>
      </c>
      <c r="C89" s="39" t="s">
        <v>16</v>
      </c>
      <c r="D89" s="39">
        <v>1.02</v>
      </c>
      <c r="E89" s="40">
        <f>E88*D89</f>
        <v>9.5472000000000001</v>
      </c>
      <c r="F89" s="88">
        <v>0</v>
      </c>
      <c r="G89" s="29">
        <f t="shared" si="32"/>
        <v>0</v>
      </c>
      <c r="H89" s="41"/>
      <c r="I89" s="28">
        <f t="shared" si="33"/>
        <v>0</v>
      </c>
      <c r="J89" s="41"/>
      <c r="K89" s="28">
        <f t="shared" si="34"/>
        <v>0</v>
      </c>
      <c r="L89" s="30">
        <f t="shared" si="29"/>
        <v>0</v>
      </c>
      <c r="N89" s="44"/>
    </row>
    <row r="90" spans="1:14" s="43" customFormat="1" ht="12.75" customHeight="1" x14ac:dyDescent="0.25">
      <c r="A90" s="37">
        <v>16.8</v>
      </c>
      <c r="B90" s="38" t="s">
        <v>126</v>
      </c>
      <c r="C90" s="39" t="s">
        <v>49</v>
      </c>
      <c r="D90" s="39"/>
      <c r="E90" s="40">
        <v>0.04</v>
      </c>
      <c r="F90" s="88">
        <v>0</v>
      </c>
      <c r="G90" s="29">
        <f t="shared" si="32"/>
        <v>0</v>
      </c>
      <c r="H90" s="41"/>
      <c r="I90" s="28">
        <f t="shared" si="33"/>
        <v>0</v>
      </c>
      <c r="J90" s="41"/>
      <c r="K90" s="28">
        <f t="shared" si="34"/>
        <v>0</v>
      </c>
      <c r="L90" s="30">
        <f t="shared" si="29"/>
        <v>0</v>
      </c>
      <c r="N90" s="44"/>
    </row>
    <row r="91" spans="1:14" s="43" customFormat="1" ht="12.75" customHeight="1" x14ac:dyDescent="0.25">
      <c r="A91" s="37">
        <v>16.899999999999999</v>
      </c>
      <c r="B91" s="38" t="s">
        <v>131</v>
      </c>
      <c r="C91" s="39" t="s">
        <v>49</v>
      </c>
      <c r="D91" s="39"/>
      <c r="E91" s="40">
        <v>7.0000000000000007E-2</v>
      </c>
      <c r="F91" s="88">
        <v>0</v>
      </c>
      <c r="G91" s="29">
        <f t="shared" si="32"/>
        <v>0</v>
      </c>
      <c r="H91" s="41"/>
      <c r="I91" s="28">
        <f t="shared" si="33"/>
        <v>0</v>
      </c>
      <c r="J91" s="41"/>
      <c r="K91" s="28">
        <f t="shared" si="34"/>
        <v>0</v>
      </c>
      <c r="L91" s="30">
        <f t="shared" si="29"/>
        <v>0</v>
      </c>
      <c r="N91" s="44"/>
    </row>
    <row r="92" spans="1:14" s="43" customFormat="1" ht="12.75" customHeight="1" x14ac:dyDescent="0.25">
      <c r="A92" s="59">
        <v>16.100000000000001</v>
      </c>
      <c r="B92" s="38" t="s">
        <v>50</v>
      </c>
      <c r="C92" s="39" t="s">
        <v>15</v>
      </c>
      <c r="D92" s="39"/>
      <c r="E92" s="40">
        <v>11</v>
      </c>
      <c r="F92" s="88">
        <v>0</v>
      </c>
      <c r="G92" s="29">
        <f t="shared" si="32"/>
        <v>0</v>
      </c>
      <c r="H92" s="41"/>
      <c r="I92" s="28">
        <f t="shared" si="33"/>
        <v>0</v>
      </c>
      <c r="J92" s="41"/>
      <c r="K92" s="28">
        <f t="shared" si="34"/>
        <v>0</v>
      </c>
      <c r="L92" s="30">
        <f t="shared" si="29"/>
        <v>0</v>
      </c>
      <c r="N92" s="44"/>
    </row>
    <row r="93" spans="1:14" s="43" customFormat="1" ht="12.75" customHeight="1" x14ac:dyDescent="0.25">
      <c r="A93" s="59">
        <v>16.11</v>
      </c>
      <c r="B93" s="38" t="s">
        <v>51</v>
      </c>
      <c r="C93" s="39" t="s">
        <v>16</v>
      </c>
      <c r="D93" s="39">
        <v>7.3999999999999996E-2</v>
      </c>
      <c r="E93" s="40">
        <f>E88*D93</f>
        <v>0.69263999999999992</v>
      </c>
      <c r="F93" s="88">
        <v>0</v>
      </c>
      <c r="G93" s="29">
        <f t="shared" si="32"/>
        <v>0</v>
      </c>
      <c r="H93" s="41"/>
      <c r="I93" s="28">
        <f t="shared" si="33"/>
        <v>0</v>
      </c>
      <c r="J93" s="41"/>
      <c r="K93" s="28">
        <f t="shared" si="34"/>
        <v>0</v>
      </c>
      <c r="L93" s="30">
        <f t="shared" si="29"/>
        <v>0</v>
      </c>
      <c r="N93" s="44"/>
    </row>
    <row r="94" spans="1:14" s="43" customFormat="1" ht="12.75" customHeight="1" x14ac:dyDescent="0.25">
      <c r="A94" s="59">
        <v>16.12</v>
      </c>
      <c r="B94" s="38" t="s">
        <v>52</v>
      </c>
      <c r="C94" s="39" t="s">
        <v>10</v>
      </c>
      <c r="D94" s="39">
        <v>1</v>
      </c>
      <c r="E94" s="40">
        <v>1</v>
      </c>
      <c r="F94" s="88">
        <v>0</v>
      </c>
      <c r="G94" s="29">
        <f t="shared" si="32"/>
        <v>0</v>
      </c>
      <c r="H94" s="41"/>
      <c r="I94" s="28">
        <f t="shared" si="33"/>
        <v>0</v>
      </c>
      <c r="J94" s="41"/>
      <c r="K94" s="28">
        <f t="shared" si="34"/>
        <v>0</v>
      </c>
      <c r="L94" s="30">
        <f t="shared" si="29"/>
        <v>0</v>
      </c>
      <c r="N94" s="44"/>
    </row>
    <row r="95" spans="1:14" s="57" customFormat="1" ht="24" customHeight="1" x14ac:dyDescent="0.2">
      <c r="A95" s="22">
        <v>17</v>
      </c>
      <c r="B95" s="47" t="s">
        <v>72</v>
      </c>
      <c r="C95" s="33"/>
      <c r="D95" s="49"/>
      <c r="E95" s="49"/>
      <c r="F95" s="49"/>
      <c r="G95" s="49"/>
      <c r="H95" s="49"/>
      <c r="I95" s="49"/>
      <c r="J95" s="49"/>
      <c r="K95" s="49"/>
      <c r="L95" s="54"/>
    </row>
    <row r="96" spans="1:14" s="43" customFormat="1" ht="27" customHeight="1" x14ac:dyDescent="0.25">
      <c r="A96" s="37">
        <v>17.100000000000001</v>
      </c>
      <c r="B96" s="58" t="s">
        <v>73</v>
      </c>
      <c r="C96" s="39" t="s">
        <v>15</v>
      </c>
      <c r="D96" s="39"/>
      <c r="E96" s="60">
        <v>130</v>
      </c>
      <c r="F96" s="89">
        <v>0</v>
      </c>
      <c r="G96" s="29">
        <f t="shared" ref="G96" si="35">F96*E96</f>
        <v>0</v>
      </c>
      <c r="H96" s="88">
        <v>0</v>
      </c>
      <c r="I96" s="29">
        <f>H96*E96</f>
        <v>0</v>
      </c>
      <c r="J96" s="89">
        <v>0</v>
      </c>
      <c r="K96" s="29">
        <f>J96*E96</f>
        <v>0</v>
      </c>
      <c r="L96" s="30">
        <f t="shared" ref="L96" si="36">K96+I96+G96</f>
        <v>0</v>
      </c>
      <c r="N96" s="44"/>
    </row>
    <row r="97" spans="1:14" s="43" customFormat="1" ht="12.75" customHeight="1" x14ac:dyDescent="0.25">
      <c r="A97" s="37">
        <v>17.2</v>
      </c>
      <c r="B97" s="58" t="s">
        <v>74</v>
      </c>
      <c r="C97" s="39" t="s">
        <v>15</v>
      </c>
      <c r="D97" s="39"/>
      <c r="E97" s="60">
        <v>130</v>
      </c>
      <c r="F97" s="89">
        <v>0</v>
      </c>
      <c r="G97" s="29">
        <f t="shared" ref="G97:G100" si="37">F97*E97</f>
        <v>0</v>
      </c>
      <c r="H97" s="88">
        <v>0</v>
      </c>
      <c r="I97" s="29">
        <f t="shared" ref="I97:I100" si="38">H97*E97</f>
        <v>0</v>
      </c>
      <c r="J97" s="89">
        <v>0</v>
      </c>
      <c r="K97" s="29">
        <f t="shared" ref="K97:K100" si="39">J97*E97</f>
        <v>0</v>
      </c>
      <c r="L97" s="30">
        <f t="shared" ref="L97:L100" si="40">K97+I97+G97</f>
        <v>0</v>
      </c>
      <c r="N97" s="44"/>
    </row>
    <row r="98" spans="1:14" s="43" customFormat="1" ht="28.5" customHeight="1" x14ac:dyDescent="0.25">
      <c r="A98" s="37">
        <v>17.3</v>
      </c>
      <c r="B98" s="58" t="s">
        <v>75</v>
      </c>
      <c r="C98" s="39" t="s">
        <v>15</v>
      </c>
      <c r="D98" s="39"/>
      <c r="E98" s="60">
        <v>130</v>
      </c>
      <c r="F98" s="89">
        <v>0</v>
      </c>
      <c r="G98" s="29">
        <f t="shared" si="37"/>
        <v>0</v>
      </c>
      <c r="H98" s="88">
        <v>0</v>
      </c>
      <c r="I98" s="29">
        <f t="shared" si="38"/>
        <v>0</v>
      </c>
      <c r="J98" s="89">
        <v>0</v>
      </c>
      <c r="K98" s="29">
        <f t="shared" si="39"/>
        <v>0</v>
      </c>
      <c r="L98" s="30">
        <f t="shared" si="40"/>
        <v>0</v>
      </c>
      <c r="N98" s="44"/>
    </row>
    <row r="99" spans="1:14" s="43" customFormat="1" ht="12.75" customHeight="1" x14ac:dyDescent="0.25">
      <c r="A99" s="59">
        <v>17.399999999999999</v>
      </c>
      <c r="B99" s="58" t="s">
        <v>152</v>
      </c>
      <c r="C99" s="61" t="s">
        <v>8</v>
      </c>
      <c r="D99" s="39"/>
      <c r="E99" s="60">
        <v>4</v>
      </c>
      <c r="F99" s="89">
        <v>0</v>
      </c>
      <c r="G99" s="29">
        <f t="shared" si="37"/>
        <v>0</v>
      </c>
      <c r="H99" s="88">
        <v>0</v>
      </c>
      <c r="I99" s="29">
        <f t="shared" si="38"/>
        <v>0</v>
      </c>
      <c r="J99" s="89">
        <v>0</v>
      </c>
      <c r="K99" s="29">
        <f t="shared" si="39"/>
        <v>0</v>
      </c>
      <c r="L99" s="30">
        <f t="shared" si="40"/>
        <v>0</v>
      </c>
      <c r="N99" s="44"/>
    </row>
    <row r="100" spans="1:14" s="43" customFormat="1" ht="26.25" customHeight="1" x14ac:dyDescent="0.25">
      <c r="A100" s="37">
        <v>17.5</v>
      </c>
      <c r="B100" s="58" t="s">
        <v>78</v>
      </c>
      <c r="C100" s="61" t="s">
        <v>8</v>
      </c>
      <c r="D100" s="39"/>
      <c r="E100" s="60">
        <v>4</v>
      </c>
      <c r="F100" s="89">
        <v>0</v>
      </c>
      <c r="G100" s="29">
        <f t="shared" si="37"/>
        <v>0</v>
      </c>
      <c r="H100" s="88">
        <v>0</v>
      </c>
      <c r="I100" s="29">
        <f t="shared" si="38"/>
        <v>0</v>
      </c>
      <c r="J100" s="89">
        <v>0</v>
      </c>
      <c r="K100" s="29">
        <f t="shared" si="39"/>
        <v>0</v>
      </c>
      <c r="L100" s="30">
        <f t="shared" si="40"/>
        <v>0</v>
      </c>
      <c r="N100" s="44"/>
    </row>
    <row r="101" spans="1:14" s="57" customFormat="1" ht="24" customHeight="1" x14ac:dyDescent="0.2">
      <c r="A101" s="22">
        <v>18</v>
      </c>
      <c r="B101" s="47" t="s">
        <v>98</v>
      </c>
      <c r="C101" s="33"/>
      <c r="D101" s="49"/>
      <c r="E101" s="49"/>
      <c r="F101" s="49"/>
      <c r="G101" s="49"/>
      <c r="H101" s="49"/>
      <c r="I101" s="49"/>
      <c r="J101" s="49"/>
      <c r="K101" s="49"/>
      <c r="L101" s="62"/>
    </row>
    <row r="102" spans="1:14" s="43" customFormat="1" ht="12.75" customHeight="1" x14ac:dyDescent="0.25">
      <c r="A102" s="37">
        <v>18.100000000000001</v>
      </c>
      <c r="B102" s="58" t="s">
        <v>79</v>
      </c>
      <c r="C102" s="63" t="s">
        <v>8</v>
      </c>
      <c r="D102" s="39"/>
      <c r="E102" s="40">
        <v>1</v>
      </c>
      <c r="F102" s="89">
        <v>0</v>
      </c>
      <c r="G102" s="29">
        <f t="shared" ref="G102:G107" si="41">F102*E102</f>
        <v>0</v>
      </c>
      <c r="H102" s="88">
        <v>0</v>
      </c>
      <c r="I102" s="29">
        <f t="shared" ref="I102:I107" si="42">H102*E102</f>
        <v>0</v>
      </c>
      <c r="J102" s="89">
        <v>0</v>
      </c>
      <c r="K102" s="29">
        <f t="shared" ref="K102:K107" si="43">J102*E102</f>
        <v>0</v>
      </c>
      <c r="L102" s="30">
        <f t="shared" ref="L102:L107" si="44">K102+I102+G102</f>
        <v>0</v>
      </c>
      <c r="N102" s="44"/>
    </row>
    <row r="103" spans="1:14" s="43" customFormat="1" ht="27" customHeight="1" x14ac:dyDescent="0.25">
      <c r="A103" s="37">
        <v>18.2</v>
      </c>
      <c r="B103" s="58" t="s">
        <v>76</v>
      </c>
      <c r="C103" s="31" t="s">
        <v>8</v>
      </c>
      <c r="D103" s="39"/>
      <c r="E103" s="40">
        <v>1</v>
      </c>
      <c r="F103" s="89">
        <v>0</v>
      </c>
      <c r="G103" s="29">
        <f t="shared" si="41"/>
        <v>0</v>
      </c>
      <c r="H103" s="88">
        <v>0</v>
      </c>
      <c r="I103" s="29">
        <f t="shared" si="42"/>
        <v>0</v>
      </c>
      <c r="J103" s="89">
        <v>0</v>
      </c>
      <c r="K103" s="29">
        <f t="shared" si="43"/>
        <v>0</v>
      </c>
      <c r="L103" s="30">
        <f t="shared" si="44"/>
        <v>0</v>
      </c>
      <c r="N103" s="44"/>
    </row>
    <row r="104" spans="1:14" s="43" customFormat="1" ht="13.5" customHeight="1" x14ac:dyDescent="0.25">
      <c r="A104" s="37">
        <v>18.3</v>
      </c>
      <c r="B104" s="58" t="s">
        <v>99</v>
      </c>
      <c r="C104" s="31" t="s">
        <v>8</v>
      </c>
      <c r="D104" s="39"/>
      <c r="E104" s="40">
        <v>1</v>
      </c>
      <c r="F104" s="89">
        <v>0</v>
      </c>
      <c r="G104" s="29">
        <f t="shared" si="41"/>
        <v>0</v>
      </c>
      <c r="H104" s="88">
        <v>0</v>
      </c>
      <c r="I104" s="29">
        <f t="shared" si="42"/>
        <v>0</v>
      </c>
      <c r="J104" s="89">
        <v>0</v>
      </c>
      <c r="K104" s="29">
        <f t="shared" si="43"/>
        <v>0</v>
      </c>
      <c r="L104" s="30">
        <f t="shared" si="44"/>
        <v>0</v>
      </c>
      <c r="N104" s="44"/>
    </row>
    <row r="105" spans="1:14" s="43" customFormat="1" ht="25.5" customHeight="1" x14ac:dyDescent="0.25">
      <c r="A105" s="37">
        <v>18.399999999999999</v>
      </c>
      <c r="B105" s="58" t="s">
        <v>100</v>
      </c>
      <c r="C105" s="31" t="s">
        <v>8</v>
      </c>
      <c r="D105" s="39"/>
      <c r="E105" s="40">
        <v>1</v>
      </c>
      <c r="F105" s="89">
        <v>0</v>
      </c>
      <c r="G105" s="29">
        <f t="shared" si="41"/>
        <v>0</v>
      </c>
      <c r="H105" s="88">
        <v>0</v>
      </c>
      <c r="I105" s="29">
        <f t="shared" si="42"/>
        <v>0</v>
      </c>
      <c r="J105" s="89">
        <v>0</v>
      </c>
      <c r="K105" s="29">
        <f t="shared" si="43"/>
        <v>0</v>
      </c>
      <c r="L105" s="30">
        <f t="shared" si="44"/>
        <v>0</v>
      </c>
      <c r="N105" s="44"/>
    </row>
    <row r="106" spans="1:14" s="43" customFormat="1" ht="29.25" customHeight="1" x14ac:dyDescent="0.25">
      <c r="A106" s="37">
        <v>18.5</v>
      </c>
      <c r="B106" s="58" t="s">
        <v>80</v>
      </c>
      <c r="C106" s="31" t="s">
        <v>8</v>
      </c>
      <c r="D106" s="39"/>
      <c r="E106" s="40">
        <v>4</v>
      </c>
      <c r="F106" s="89">
        <v>0</v>
      </c>
      <c r="G106" s="29">
        <f t="shared" si="41"/>
        <v>0</v>
      </c>
      <c r="H106" s="88">
        <v>0</v>
      </c>
      <c r="I106" s="29">
        <f t="shared" si="42"/>
        <v>0</v>
      </c>
      <c r="J106" s="89">
        <v>0</v>
      </c>
      <c r="K106" s="29">
        <f t="shared" si="43"/>
        <v>0</v>
      </c>
      <c r="L106" s="30">
        <f t="shared" si="44"/>
        <v>0</v>
      </c>
      <c r="N106" s="44"/>
    </row>
    <row r="107" spans="1:14" s="43" customFormat="1" ht="26.25" customHeight="1" x14ac:dyDescent="0.25">
      <c r="A107" s="37">
        <v>18.600000000000001</v>
      </c>
      <c r="B107" s="58" t="s">
        <v>77</v>
      </c>
      <c r="C107" s="63" t="s">
        <v>8</v>
      </c>
      <c r="D107" s="39"/>
      <c r="E107" s="40">
        <v>4</v>
      </c>
      <c r="F107" s="89">
        <v>0</v>
      </c>
      <c r="G107" s="29">
        <f t="shared" si="41"/>
        <v>0</v>
      </c>
      <c r="H107" s="88">
        <v>0</v>
      </c>
      <c r="I107" s="29">
        <f t="shared" si="42"/>
        <v>0</v>
      </c>
      <c r="J107" s="89">
        <v>0</v>
      </c>
      <c r="K107" s="29">
        <f t="shared" si="43"/>
        <v>0</v>
      </c>
      <c r="L107" s="30">
        <f t="shared" si="44"/>
        <v>0</v>
      </c>
      <c r="N107" s="44"/>
    </row>
    <row r="108" spans="1:14" s="43" customFormat="1" ht="19.5" customHeight="1" x14ac:dyDescent="0.25">
      <c r="A108" s="22">
        <v>19</v>
      </c>
      <c r="B108" s="47" t="s">
        <v>81</v>
      </c>
      <c r="C108" s="33"/>
      <c r="D108" s="49"/>
      <c r="E108" s="49"/>
      <c r="F108" s="49"/>
      <c r="G108" s="49"/>
      <c r="H108" s="49"/>
      <c r="I108" s="49"/>
      <c r="J108" s="49"/>
      <c r="K108" s="49"/>
      <c r="L108" s="62"/>
      <c r="N108" s="44"/>
    </row>
    <row r="109" spans="1:14" s="43" customFormat="1" ht="12.75" customHeight="1" x14ac:dyDescent="0.25">
      <c r="A109" s="37">
        <v>19.100000000000001</v>
      </c>
      <c r="B109" s="58" t="s">
        <v>82</v>
      </c>
      <c r="C109" s="61" t="s">
        <v>16</v>
      </c>
      <c r="D109" s="39">
        <v>1.25</v>
      </c>
      <c r="E109" s="40">
        <f>25*0.05*D109</f>
        <v>1.5625</v>
      </c>
      <c r="F109" s="89">
        <v>0</v>
      </c>
      <c r="G109" s="29">
        <f t="shared" ref="G109:G114" si="45">F109*E109</f>
        <v>0</v>
      </c>
      <c r="H109" s="88">
        <v>0</v>
      </c>
      <c r="I109" s="29">
        <f t="shared" ref="I109:I114" si="46">H109*E109</f>
        <v>0</v>
      </c>
      <c r="J109" s="89">
        <v>0</v>
      </c>
      <c r="K109" s="29">
        <f t="shared" ref="K109:K114" si="47">J109*E109</f>
        <v>0</v>
      </c>
      <c r="L109" s="30">
        <f t="shared" ref="L109:L114" si="48">K109+I109+G109</f>
        <v>0</v>
      </c>
      <c r="N109" s="44"/>
    </row>
    <row r="110" spans="1:14" s="43" customFormat="1" ht="12.75" customHeight="1" x14ac:dyDescent="0.25">
      <c r="A110" s="37">
        <v>19.2</v>
      </c>
      <c r="B110" s="58" t="s">
        <v>83</v>
      </c>
      <c r="C110" s="39" t="s">
        <v>15</v>
      </c>
      <c r="D110" s="39"/>
      <c r="E110" s="40">
        <v>27.3</v>
      </c>
      <c r="F110" s="89">
        <v>0</v>
      </c>
      <c r="G110" s="29">
        <f t="shared" si="45"/>
        <v>0</v>
      </c>
      <c r="H110" s="88">
        <v>0</v>
      </c>
      <c r="I110" s="29">
        <f t="shared" si="46"/>
        <v>0</v>
      </c>
      <c r="J110" s="89">
        <v>0</v>
      </c>
      <c r="K110" s="29">
        <f t="shared" si="47"/>
        <v>0</v>
      </c>
      <c r="L110" s="30">
        <f t="shared" si="48"/>
        <v>0</v>
      </c>
      <c r="N110" s="44"/>
    </row>
    <row r="111" spans="1:14" s="43" customFormat="1" ht="25.5" customHeight="1" x14ac:dyDescent="0.25">
      <c r="A111" s="37">
        <v>19.3</v>
      </c>
      <c r="B111" s="58" t="s">
        <v>153</v>
      </c>
      <c r="C111" s="39" t="s">
        <v>15</v>
      </c>
      <c r="D111" s="39"/>
      <c r="E111" s="40">
        <f>27.3*1.2</f>
        <v>32.76</v>
      </c>
      <c r="F111" s="89">
        <v>0</v>
      </c>
      <c r="G111" s="29">
        <f t="shared" si="45"/>
        <v>0</v>
      </c>
      <c r="H111" s="88">
        <v>0</v>
      </c>
      <c r="I111" s="29">
        <f t="shared" si="46"/>
        <v>0</v>
      </c>
      <c r="J111" s="89">
        <v>0</v>
      </c>
      <c r="K111" s="29">
        <f t="shared" si="47"/>
        <v>0</v>
      </c>
      <c r="L111" s="30">
        <f t="shared" si="48"/>
        <v>0</v>
      </c>
      <c r="N111" s="44"/>
    </row>
    <row r="112" spans="1:14" s="43" customFormat="1" ht="12.75" customHeight="1" x14ac:dyDescent="0.25">
      <c r="A112" s="37">
        <v>19.399999999999999</v>
      </c>
      <c r="B112" s="58" t="s">
        <v>84</v>
      </c>
      <c r="C112" s="39" t="s">
        <v>15</v>
      </c>
      <c r="D112" s="39"/>
      <c r="E112" s="40">
        <v>8.4499999999999993</v>
      </c>
      <c r="F112" s="89">
        <v>0</v>
      </c>
      <c r="G112" s="29">
        <f t="shared" si="45"/>
        <v>0</v>
      </c>
      <c r="H112" s="88">
        <v>0</v>
      </c>
      <c r="I112" s="29">
        <f t="shared" si="46"/>
        <v>0</v>
      </c>
      <c r="J112" s="89">
        <v>0</v>
      </c>
      <c r="K112" s="29">
        <f t="shared" si="47"/>
        <v>0</v>
      </c>
      <c r="L112" s="30">
        <f t="shared" si="48"/>
        <v>0</v>
      </c>
      <c r="N112" s="44"/>
    </row>
    <row r="113" spans="1:14" s="43" customFormat="1" ht="30.75" customHeight="1" x14ac:dyDescent="0.25">
      <c r="A113" s="37">
        <v>19.5</v>
      </c>
      <c r="B113" s="58" t="s">
        <v>308</v>
      </c>
      <c r="C113" s="31" t="s">
        <v>17</v>
      </c>
      <c r="D113" s="39"/>
      <c r="E113" s="40">
        <v>10.4</v>
      </c>
      <c r="F113" s="89">
        <v>0</v>
      </c>
      <c r="G113" s="29">
        <f t="shared" si="45"/>
        <v>0</v>
      </c>
      <c r="H113" s="88">
        <v>0</v>
      </c>
      <c r="I113" s="29">
        <f t="shared" si="46"/>
        <v>0</v>
      </c>
      <c r="J113" s="89">
        <v>0</v>
      </c>
      <c r="K113" s="29">
        <f t="shared" si="47"/>
        <v>0</v>
      </c>
      <c r="L113" s="30">
        <f t="shared" si="48"/>
        <v>0</v>
      </c>
      <c r="N113" s="44"/>
    </row>
    <row r="114" spans="1:14" s="43" customFormat="1" ht="30" customHeight="1" x14ac:dyDescent="0.25">
      <c r="A114" s="37">
        <v>19.600000000000001</v>
      </c>
      <c r="B114" s="58" t="s">
        <v>307</v>
      </c>
      <c r="C114" s="31" t="s">
        <v>17</v>
      </c>
      <c r="D114" s="39"/>
      <c r="E114" s="40">
        <v>7.8</v>
      </c>
      <c r="F114" s="89">
        <v>0</v>
      </c>
      <c r="G114" s="29">
        <f t="shared" si="45"/>
        <v>0</v>
      </c>
      <c r="H114" s="88">
        <v>0</v>
      </c>
      <c r="I114" s="29">
        <f t="shared" si="46"/>
        <v>0</v>
      </c>
      <c r="J114" s="89">
        <v>0</v>
      </c>
      <c r="K114" s="29">
        <f t="shared" si="47"/>
        <v>0</v>
      </c>
      <c r="L114" s="30">
        <f t="shared" si="48"/>
        <v>0</v>
      </c>
      <c r="N114" s="44"/>
    </row>
    <row r="115" spans="1:14" s="43" customFormat="1" ht="19.5" customHeight="1" x14ac:dyDescent="0.25">
      <c r="A115" s="22">
        <v>20</v>
      </c>
      <c r="B115" s="47" t="s">
        <v>86</v>
      </c>
      <c r="C115" s="33"/>
      <c r="D115" s="49"/>
      <c r="E115" s="49"/>
      <c r="F115" s="49"/>
      <c r="G115" s="49"/>
      <c r="H115" s="49"/>
      <c r="I115" s="49"/>
      <c r="J115" s="49"/>
      <c r="K115" s="49"/>
      <c r="L115" s="62"/>
      <c r="N115" s="44"/>
    </row>
    <row r="116" spans="1:14" s="43" customFormat="1" ht="27.75" customHeight="1" x14ac:dyDescent="0.25">
      <c r="A116" s="37">
        <v>20.100000000000001</v>
      </c>
      <c r="B116" s="58" t="s">
        <v>87</v>
      </c>
      <c r="C116" s="63" t="s">
        <v>15</v>
      </c>
      <c r="D116" s="39"/>
      <c r="E116" s="40">
        <v>26</v>
      </c>
      <c r="F116" s="89">
        <v>0</v>
      </c>
      <c r="G116" s="29">
        <f t="shared" ref="G116" si="49">F116*E116</f>
        <v>0</v>
      </c>
      <c r="H116" s="88">
        <v>0</v>
      </c>
      <c r="I116" s="29">
        <f>H116*E116</f>
        <v>0</v>
      </c>
      <c r="J116" s="89">
        <v>0</v>
      </c>
      <c r="K116" s="29">
        <f>J116*E116</f>
        <v>0</v>
      </c>
      <c r="L116" s="30">
        <f t="shared" ref="L116" si="50">K116+I116+G116</f>
        <v>0</v>
      </c>
      <c r="N116" s="44"/>
    </row>
    <row r="117" spans="1:14" s="43" customFormat="1" ht="12.75" customHeight="1" x14ac:dyDescent="0.25">
      <c r="A117" s="22">
        <v>21</v>
      </c>
      <c r="B117" s="47" t="s">
        <v>89</v>
      </c>
      <c r="C117" s="33"/>
      <c r="D117" s="49"/>
      <c r="E117" s="49"/>
      <c r="F117" s="49"/>
      <c r="G117" s="49"/>
      <c r="H117" s="49"/>
      <c r="I117" s="49"/>
      <c r="J117" s="49"/>
      <c r="K117" s="49"/>
      <c r="L117" s="62"/>
      <c r="N117" s="44"/>
    </row>
    <row r="118" spans="1:14" s="43" customFormat="1" ht="27.75" customHeight="1" x14ac:dyDescent="0.25">
      <c r="A118" s="37">
        <v>21.1</v>
      </c>
      <c r="B118" s="58" t="s">
        <v>90</v>
      </c>
      <c r="C118" s="63" t="s">
        <v>15</v>
      </c>
      <c r="D118" s="39"/>
      <c r="E118" s="40">
        <v>28.3</v>
      </c>
      <c r="F118" s="89">
        <v>0</v>
      </c>
      <c r="G118" s="29">
        <f t="shared" ref="G118:G121" si="51">F118*E118</f>
        <v>0</v>
      </c>
      <c r="H118" s="88">
        <v>0</v>
      </c>
      <c r="I118" s="29">
        <f>H118*E118</f>
        <v>0</v>
      </c>
      <c r="J118" s="89">
        <v>0</v>
      </c>
      <c r="K118" s="29">
        <f>J118*E118</f>
        <v>0</v>
      </c>
      <c r="L118" s="30">
        <f t="shared" ref="L118:L121" si="52">K118+I118+G118</f>
        <v>0</v>
      </c>
      <c r="N118" s="44"/>
    </row>
    <row r="119" spans="1:14" s="43" customFormat="1" ht="12.75" customHeight="1" x14ac:dyDescent="0.25">
      <c r="A119" s="37">
        <v>21.2</v>
      </c>
      <c r="B119" s="58" t="s">
        <v>91</v>
      </c>
      <c r="C119" s="61" t="s">
        <v>16</v>
      </c>
      <c r="D119" s="39">
        <v>1.25</v>
      </c>
      <c r="E119" s="40">
        <f>25*0.5*D119</f>
        <v>15.625</v>
      </c>
      <c r="F119" s="89">
        <v>0</v>
      </c>
      <c r="G119" s="29">
        <f t="shared" si="51"/>
        <v>0</v>
      </c>
      <c r="H119" s="88">
        <v>0</v>
      </c>
      <c r="I119" s="29">
        <f>H119*E119</f>
        <v>0</v>
      </c>
      <c r="J119" s="89">
        <v>0</v>
      </c>
      <c r="K119" s="29">
        <f>J119*E119</f>
        <v>0</v>
      </c>
      <c r="L119" s="30">
        <f t="shared" si="52"/>
        <v>0</v>
      </c>
      <c r="N119" s="44"/>
    </row>
    <row r="120" spans="1:14" s="43" customFormat="1" ht="12.75" customHeight="1" x14ac:dyDescent="0.25">
      <c r="A120" s="37">
        <v>21.3</v>
      </c>
      <c r="B120" s="58" t="s">
        <v>92</v>
      </c>
      <c r="C120" s="63" t="s">
        <v>15</v>
      </c>
      <c r="D120" s="39"/>
      <c r="E120" s="40">
        <v>25</v>
      </c>
      <c r="F120" s="89">
        <v>0</v>
      </c>
      <c r="G120" s="29">
        <f t="shared" si="51"/>
        <v>0</v>
      </c>
      <c r="H120" s="88">
        <v>0</v>
      </c>
      <c r="I120" s="29">
        <f>H120*E120</f>
        <v>0</v>
      </c>
      <c r="J120" s="89">
        <v>0</v>
      </c>
      <c r="K120" s="29">
        <f>J120*E120</f>
        <v>0</v>
      </c>
      <c r="L120" s="30">
        <f t="shared" si="52"/>
        <v>0</v>
      </c>
      <c r="N120" s="44"/>
    </row>
    <row r="121" spans="1:14" s="43" customFormat="1" ht="27.75" customHeight="1" x14ac:dyDescent="0.25">
      <c r="A121" s="37">
        <v>21.4</v>
      </c>
      <c r="B121" s="58" t="s">
        <v>96</v>
      </c>
      <c r="C121" s="63" t="s">
        <v>15</v>
      </c>
      <c r="D121" s="39"/>
      <c r="E121" s="40">
        <v>27.5</v>
      </c>
      <c r="F121" s="89">
        <v>0</v>
      </c>
      <c r="G121" s="29">
        <f t="shared" si="51"/>
        <v>0</v>
      </c>
      <c r="H121" s="88">
        <v>0</v>
      </c>
      <c r="I121" s="29">
        <f>H121*E121</f>
        <v>0</v>
      </c>
      <c r="J121" s="89">
        <v>0</v>
      </c>
      <c r="K121" s="29">
        <f>J121*E121</f>
        <v>0</v>
      </c>
      <c r="L121" s="30">
        <f t="shared" si="52"/>
        <v>0</v>
      </c>
      <c r="N121" s="44"/>
    </row>
    <row r="122" spans="1:14" s="43" customFormat="1" ht="12.75" customHeight="1" x14ac:dyDescent="0.25">
      <c r="A122" s="22">
        <v>22</v>
      </c>
      <c r="B122" s="47" t="s">
        <v>102</v>
      </c>
      <c r="C122" s="33"/>
      <c r="D122" s="49"/>
      <c r="E122" s="49"/>
      <c r="F122" s="49"/>
      <c r="G122" s="49"/>
      <c r="H122" s="49"/>
      <c r="I122" s="49"/>
      <c r="J122" s="49"/>
      <c r="K122" s="49"/>
      <c r="L122" s="62"/>
      <c r="N122" s="44"/>
    </row>
    <row r="123" spans="1:14" s="43" customFormat="1" ht="30" customHeight="1" x14ac:dyDescent="0.25">
      <c r="A123" s="37">
        <v>22.1</v>
      </c>
      <c r="B123" s="58" t="s">
        <v>103</v>
      </c>
      <c r="C123" s="63" t="s">
        <v>15</v>
      </c>
      <c r="D123" s="39"/>
      <c r="E123" s="40">
        <v>70.2</v>
      </c>
      <c r="F123" s="89">
        <v>0</v>
      </c>
      <c r="G123" s="29">
        <f t="shared" ref="G123:G124" si="53">F123*E123</f>
        <v>0</v>
      </c>
      <c r="H123" s="88">
        <v>0</v>
      </c>
      <c r="I123" s="29">
        <f>H123*E123</f>
        <v>0</v>
      </c>
      <c r="J123" s="89">
        <v>0</v>
      </c>
      <c r="K123" s="29">
        <f>J123*E123</f>
        <v>0</v>
      </c>
      <c r="L123" s="30">
        <f t="shared" ref="L123:L124" si="54">K123+I123+G123</f>
        <v>0</v>
      </c>
      <c r="N123" s="44"/>
    </row>
    <row r="124" spans="1:14" s="43" customFormat="1" ht="43.5" customHeight="1" x14ac:dyDescent="0.25">
      <c r="A124" s="37">
        <v>22.2</v>
      </c>
      <c r="B124" s="58" t="s">
        <v>104</v>
      </c>
      <c r="C124" s="63" t="s">
        <v>15</v>
      </c>
      <c r="D124" s="39"/>
      <c r="E124" s="40">
        <v>70.2</v>
      </c>
      <c r="F124" s="89">
        <v>0</v>
      </c>
      <c r="G124" s="29">
        <f t="shared" si="53"/>
        <v>0</v>
      </c>
      <c r="H124" s="88">
        <v>0</v>
      </c>
      <c r="I124" s="29">
        <f>H124*E124</f>
        <v>0</v>
      </c>
      <c r="J124" s="89">
        <v>0</v>
      </c>
      <c r="K124" s="29">
        <f>J124*E124</f>
        <v>0</v>
      </c>
      <c r="L124" s="30">
        <f t="shared" si="54"/>
        <v>0</v>
      </c>
      <c r="N124" s="44"/>
    </row>
    <row r="125" spans="1:14" s="43" customFormat="1" ht="12.75" customHeight="1" x14ac:dyDescent="0.25">
      <c r="A125" s="22">
        <v>23</v>
      </c>
      <c r="B125" s="47" t="s">
        <v>110</v>
      </c>
      <c r="C125" s="33"/>
      <c r="D125" s="49"/>
      <c r="E125" s="49"/>
      <c r="F125" s="49"/>
      <c r="G125" s="49"/>
      <c r="H125" s="49"/>
      <c r="I125" s="49"/>
      <c r="J125" s="49"/>
      <c r="K125" s="49"/>
      <c r="L125" s="62"/>
      <c r="N125" s="44"/>
    </row>
    <row r="126" spans="1:14" s="43" customFormat="1" ht="43.5" customHeight="1" thickBot="1" x14ac:dyDescent="0.3">
      <c r="A126" s="37">
        <v>23.1</v>
      </c>
      <c r="B126" s="58" t="s">
        <v>111</v>
      </c>
      <c r="C126" s="26" t="s">
        <v>20</v>
      </c>
      <c r="D126" s="27"/>
      <c r="E126" s="40">
        <v>1</v>
      </c>
      <c r="F126" s="42"/>
      <c r="G126" s="29">
        <f t="shared" ref="G126" si="55">F126*E126</f>
        <v>0</v>
      </c>
      <c r="H126" s="88">
        <v>0</v>
      </c>
      <c r="I126" s="29">
        <f>H126*E126</f>
        <v>0</v>
      </c>
      <c r="J126" s="89">
        <v>0</v>
      </c>
      <c r="K126" s="29">
        <f>J126*E126</f>
        <v>0</v>
      </c>
      <c r="L126" s="30">
        <f t="shared" ref="L126" si="56">K126+I126+G126</f>
        <v>0</v>
      </c>
      <c r="N126" s="44"/>
    </row>
    <row r="127" spans="1:14" s="43" customFormat="1" ht="17.25" customHeight="1" thickBot="1" x14ac:dyDescent="0.3">
      <c r="A127" s="65"/>
      <c r="B127" s="16" t="s">
        <v>105</v>
      </c>
      <c r="C127" s="223"/>
      <c r="D127" s="212"/>
      <c r="E127" s="212"/>
      <c r="F127" s="212"/>
      <c r="G127" s="212"/>
      <c r="H127" s="212"/>
      <c r="I127" s="212"/>
      <c r="J127" s="212"/>
      <c r="K127" s="212"/>
      <c r="L127" s="213"/>
      <c r="N127" s="44"/>
    </row>
    <row r="128" spans="1:14" s="43" customFormat="1" ht="12.75" customHeight="1" x14ac:dyDescent="0.25">
      <c r="A128" s="37">
        <v>1</v>
      </c>
      <c r="B128" s="66" t="s">
        <v>106</v>
      </c>
      <c r="C128" s="39" t="s">
        <v>21</v>
      </c>
      <c r="D128" s="39"/>
      <c r="E128" s="40">
        <v>1</v>
      </c>
      <c r="F128" s="89">
        <v>0</v>
      </c>
      <c r="G128" s="29">
        <f t="shared" ref="G128:G131" si="57">F128*E128</f>
        <v>0</v>
      </c>
      <c r="H128" s="88">
        <v>0</v>
      </c>
      <c r="I128" s="29">
        <f>H128*E128</f>
        <v>0</v>
      </c>
      <c r="J128" s="89">
        <v>0</v>
      </c>
      <c r="K128" s="29">
        <f>J128*E128</f>
        <v>0</v>
      </c>
      <c r="L128" s="30">
        <f t="shared" ref="L128:L131" si="58">K128+I128+G128</f>
        <v>0</v>
      </c>
      <c r="N128" s="44"/>
    </row>
    <row r="129" spans="1:14" s="43" customFormat="1" ht="12.75" customHeight="1" x14ac:dyDescent="0.25">
      <c r="A129" s="37">
        <v>2</v>
      </c>
      <c r="B129" s="38" t="s">
        <v>107</v>
      </c>
      <c r="C129" s="39" t="s">
        <v>21</v>
      </c>
      <c r="D129" s="39"/>
      <c r="E129" s="40">
        <v>1</v>
      </c>
      <c r="F129" s="89">
        <v>0</v>
      </c>
      <c r="G129" s="29">
        <f t="shared" si="57"/>
        <v>0</v>
      </c>
      <c r="H129" s="88">
        <v>0</v>
      </c>
      <c r="I129" s="29">
        <f>H129*E129</f>
        <v>0</v>
      </c>
      <c r="J129" s="89">
        <v>0</v>
      </c>
      <c r="K129" s="29">
        <f>J129*E129</f>
        <v>0</v>
      </c>
      <c r="L129" s="30">
        <f t="shared" si="58"/>
        <v>0</v>
      </c>
      <c r="N129" s="44"/>
    </row>
    <row r="130" spans="1:14" s="43" customFormat="1" ht="12.75" customHeight="1" x14ac:dyDescent="0.25">
      <c r="A130" s="37">
        <v>3</v>
      </c>
      <c r="B130" s="58" t="s">
        <v>108</v>
      </c>
      <c r="C130" s="61" t="s">
        <v>21</v>
      </c>
      <c r="D130" s="67"/>
      <c r="E130" s="40">
        <v>1</v>
      </c>
      <c r="F130" s="89">
        <v>0</v>
      </c>
      <c r="G130" s="29">
        <f t="shared" si="57"/>
        <v>0</v>
      </c>
      <c r="H130" s="88">
        <v>0</v>
      </c>
      <c r="I130" s="29">
        <f>H130*E130</f>
        <v>0</v>
      </c>
      <c r="J130" s="89">
        <v>0</v>
      </c>
      <c r="K130" s="29">
        <f>J130*E130</f>
        <v>0</v>
      </c>
      <c r="L130" s="30">
        <f t="shared" si="58"/>
        <v>0</v>
      </c>
      <c r="N130" s="44"/>
    </row>
    <row r="131" spans="1:14" s="43" customFormat="1" ht="12.75" customHeight="1" thickBot="1" x14ac:dyDescent="0.3">
      <c r="A131" s="37">
        <v>4</v>
      </c>
      <c r="B131" s="68" t="s">
        <v>109</v>
      </c>
      <c r="C131" s="39" t="s">
        <v>8</v>
      </c>
      <c r="D131" s="39"/>
      <c r="E131" s="40">
        <v>2</v>
      </c>
      <c r="F131" s="89">
        <v>0</v>
      </c>
      <c r="G131" s="29">
        <f t="shared" si="57"/>
        <v>0</v>
      </c>
      <c r="H131" s="88">
        <v>0</v>
      </c>
      <c r="I131" s="29">
        <f>H131*E131</f>
        <v>0</v>
      </c>
      <c r="J131" s="89">
        <v>0</v>
      </c>
      <c r="K131" s="29">
        <f>J131*E131</f>
        <v>0</v>
      </c>
      <c r="L131" s="30">
        <f t="shared" si="58"/>
        <v>0</v>
      </c>
      <c r="N131" s="44"/>
    </row>
    <row r="132" spans="1:14" s="43" customFormat="1" ht="12.75" customHeight="1" thickBot="1" x14ac:dyDescent="0.3">
      <c r="A132" s="65"/>
      <c r="B132" s="16" t="s">
        <v>116</v>
      </c>
      <c r="C132" s="212"/>
      <c r="D132" s="212"/>
      <c r="E132" s="212"/>
      <c r="F132" s="212"/>
      <c r="G132" s="212"/>
      <c r="H132" s="212"/>
      <c r="I132" s="212"/>
      <c r="J132" s="212"/>
      <c r="K132" s="212"/>
      <c r="L132" s="213"/>
      <c r="N132" s="44"/>
    </row>
    <row r="133" spans="1:14" s="43" customFormat="1" ht="12.75" customHeight="1" x14ac:dyDescent="0.25">
      <c r="A133" s="45">
        <v>1</v>
      </c>
      <c r="B133" s="66" t="s">
        <v>115</v>
      </c>
      <c r="C133" s="39" t="s">
        <v>8</v>
      </c>
      <c r="D133" s="39"/>
      <c r="E133" s="40">
        <v>4</v>
      </c>
      <c r="F133" s="89">
        <v>0</v>
      </c>
      <c r="G133" s="29">
        <f t="shared" ref="G133" si="59">F133*E133</f>
        <v>0</v>
      </c>
      <c r="H133" s="88">
        <v>0</v>
      </c>
      <c r="I133" s="29">
        <f>H133*E133</f>
        <v>0</v>
      </c>
      <c r="J133" s="89">
        <v>0</v>
      </c>
      <c r="K133" s="29">
        <f>J133*E133</f>
        <v>0</v>
      </c>
      <c r="L133" s="30">
        <f t="shared" ref="L133" si="60">K133+I133+G133</f>
        <v>0</v>
      </c>
      <c r="N133" s="44"/>
    </row>
    <row r="134" spans="1:14" s="43" customFormat="1" ht="12.75" customHeight="1" x14ac:dyDescent="0.25">
      <c r="A134" s="22">
        <v>2</v>
      </c>
      <c r="B134" s="47" t="s">
        <v>117</v>
      </c>
      <c r="C134" s="33"/>
      <c r="D134" s="49"/>
      <c r="E134" s="49"/>
      <c r="F134" s="49"/>
      <c r="G134" s="49"/>
      <c r="H134" s="49"/>
      <c r="I134" s="49"/>
      <c r="J134" s="49"/>
      <c r="K134" s="49"/>
      <c r="L134" s="62"/>
      <c r="N134" s="44"/>
    </row>
    <row r="135" spans="1:14" s="43" customFormat="1" ht="12.75" customHeight="1" x14ac:dyDescent="0.25">
      <c r="A135" s="37">
        <v>2.1</v>
      </c>
      <c r="B135" s="38" t="s">
        <v>118</v>
      </c>
      <c r="C135" s="39" t="s">
        <v>62</v>
      </c>
      <c r="D135" s="39"/>
      <c r="E135" s="40">
        <v>325</v>
      </c>
      <c r="F135" s="89">
        <v>0</v>
      </c>
      <c r="G135" s="29">
        <f t="shared" ref="G135:G137" si="61">F135*E135</f>
        <v>0</v>
      </c>
      <c r="H135" s="88">
        <v>0</v>
      </c>
      <c r="I135" s="29">
        <f>H135*E135</f>
        <v>0</v>
      </c>
      <c r="J135" s="89">
        <v>0</v>
      </c>
      <c r="K135" s="29">
        <f>J135*E135</f>
        <v>0</v>
      </c>
      <c r="L135" s="30">
        <f t="shared" ref="L135:L137" si="62">K135+I135+G135</f>
        <v>0</v>
      </c>
      <c r="N135" s="44"/>
    </row>
    <row r="136" spans="1:14" s="43" customFormat="1" ht="12.75" customHeight="1" x14ac:dyDescent="0.25">
      <c r="A136" s="37">
        <v>2.2000000000000002</v>
      </c>
      <c r="B136" s="38" t="s">
        <v>133</v>
      </c>
      <c r="C136" s="39" t="s">
        <v>62</v>
      </c>
      <c r="D136" s="39"/>
      <c r="E136" s="40">
        <v>234</v>
      </c>
      <c r="F136" s="89">
        <v>0</v>
      </c>
      <c r="G136" s="29">
        <f t="shared" si="61"/>
        <v>0</v>
      </c>
      <c r="H136" s="88">
        <v>0</v>
      </c>
      <c r="I136" s="29">
        <f>H136*E136</f>
        <v>0</v>
      </c>
      <c r="J136" s="89">
        <v>0</v>
      </c>
      <c r="K136" s="29">
        <f>J136*E136</f>
        <v>0</v>
      </c>
      <c r="L136" s="30">
        <f t="shared" si="62"/>
        <v>0</v>
      </c>
      <c r="N136" s="44"/>
    </row>
    <row r="137" spans="1:14" s="43" customFormat="1" ht="12.75" customHeight="1" x14ac:dyDescent="0.25">
      <c r="A137" s="37">
        <v>2.2999999999999998</v>
      </c>
      <c r="B137" s="38" t="s">
        <v>119</v>
      </c>
      <c r="C137" s="39" t="s">
        <v>62</v>
      </c>
      <c r="D137" s="39"/>
      <c r="E137" s="40">
        <v>250</v>
      </c>
      <c r="F137" s="89">
        <v>0</v>
      </c>
      <c r="G137" s="29">
        <f t="shared" si="61"/>
        <v>0</v>
      </c>
      <c r="H137" s="88">
        <v>0</v>
      </c>
      <c r="I137" s="29">
        <f>H137*E137</f>
        <v>0</v>
      </c>
      <c r="J137" s="89">
        <v>0</v>
      </c>
      <c r="K137" s="29">
        <f>J137*E137</f>
        <v>0</v>
      </c>
      <c r="L137" s="30">
        <f t="shared" si="62"/>
        <v>0</v>
      </c>
      <c r="N137" s="44"/>
    </row>
    <row r="138" spans="1:14" s="43" customFormat="1" ht="12.75" customHeight="1" x14ac:dyDescent="0.25">
      <c r="A138" s="22">
        <v>3</v>
      </c>
      <c r="B138" s="47" t="s">
        <v>120</v>
      </c>
      <c r="C138" s="33"/>
      <c r="D138" s="49"/>
      <c r="E138" s="49"/>
      <c r="F138" s="49"/>
      <c r="G138" s="49"/>
      <c r="H138" s="49"/>
      <c r="I138" s="49"/>
      <c r="J138" s="49"/>
      <c r="K138" s="49"/>
      <c r="L138" s="62"/>
      <c r="N138" s="44"/>
    </row>
    <row r="139" spans="1:14" s="43" customFormat="1" ht="12.75" customHeight="1" x14ac:dyDescent="0.25">
      <c r="A139" s="37">
        <v>3.1</v>
      </c>
      <c r="B139" s="58" t="s">
        <v>135</v>
      </c>
      <c r="C139" s="61" t="s">
        <v>136</v>
      </c>
      <c r="D139" s="39"/>
      <c r="E139" s="40">
        <v>8</v>
      </c>
      <c r="F139" s="89">
        <v>0</v>
      </c>
      <c r="G139" s="29">
        <f t="shared" ref="G139:G144" si="63">F139*E139</f>
        <v>0</v>
      </c>
      <c r="H139" s="88">
        <v>0</v>
      </c>
      <c r="I139" s="29">
        <f t="shared" ref="I139:I144" si="64">H139*E139</f>
        <v>0</v>
      </c>
      <c r="J139" s="89">
        <v>0</v>
      </c>
      <c r="K139" s="29">
        <f t="shared" ref="K139:K144" si="65">J139*E139</f>
        <v>0</v>
      </c>
      <c r="L139" s="30">
        <f t="shared" ref="L139:L144" si="66">K139+I139+G139</f>
        <v>0</v>
      </c>
      <c r="N139" s="44"/>
    </row>
    <row r="140" spans="1:14" s="43" customFormat="1" ht="12.75" customHeight="1" x14ac:dyDescent="0.25">
      <c r="A140" s="37">
        <v>3.2</v>
      </c>
      <c r="B140" s="58" t="s">
        <v>137</v>
      </c>
      <c r="C140" s="31" t="s">
        <v>62</v>
      </c>
      <c r="D140" s="39"/>
      <c r="E140" s="40">
        <v>45.4</v>
      </c>
      <c r="F140" s="89">
        <v>0</v>
      </c>
      <c r="G140" s="29">
        <f t="shared" si="63"/>
        <v>0</v>
      </c>
      <c r="H140" s="88">
        <v>0</v>
      </c>
      <c r="I140" s="29">
        <f t="shared" si="64"/>
        <v>0</v>
      </c>
      <c r="J140" s="89">
        <v>0</v>
      </c>
      <c r="K140" s="29">
        <f t="shared" si="65"/>
        <v>0</v>
      </c>
      <c r="L140" s="30">
        <f t="shared" si="66"/>
        <v>0</v>
      </c>
      <c r="N140" s="44"/>
    </row>
    <row r="141" spans="1:14" s="43" customFormat="1" ht="12.75" customHeight="1" x14ac:dyDescent="0.25">
      <c r="A141" s="37">
        <v>3.3</v>
      </c>
      <c r="B141" s="58" t="s">
        <v>138</v>
      </c>
      <c r="C141" s="31" t="s">
        <v>136</v>
      </c>
      <c r="D141" s="39"/>
      <c r="E141" s="40">
        <v>18</v>
      </c>
      <c r="F141" s="89">
        <v>0</v>
      </c>
      <c r="G141" s="29">
        <f t="shared" si="63"/>
        <v>0</v>
      </c>
      <c r="H141" s="88">
        <v>0</v>
      </c>
      <c r="I141" s="29">
        <f t="shared" si="64"/>
        <v>0</v>
      </c>
      <c r="J141" s="89">
        <v>0</v>
      </c>
      <c r="K141" s="29">
        <f t="shared" si="65"/>
        <v>0</v>
      </c>
      <c r="L141" s="30">
        <f t="shared" si="66"/>
        <v>0</v>
      </c>
      <c r="N141" s="44"/>
    </row>
    <row r="142" spans="1:14" s="43" customFormat="1" ht="12.75" customHeight="1" x14ac:dyDescent="0.25">
      <c r="A142" s="37">
        <v>3.4</v>
      </c>
      <c r="B142" s="58" t="s">
        <v>139</v>
      </c>
      <c r="C142" s="61" t="s">
        <v>136</v>
      </c>
      <c r="D142" s="39"/>
      <c r="E142" s="40">
        <v>45.4</v>
      </c>
      <c r="F142" s="89">
        <v>0</v>
      </c>
      <c r="G142" s="29">
        <f t="shared" si="63"/>
        <v>0</v>
      </c>
      <c r="H142" s="88">
        <v>0</v>
      </c>
      <c r="I142" s="29">
        <f t="shared" si="64"/>
        <v>0</v>
      </c>
      <c r="J142" s="89">
        <v>0</v>
      </c>
      <c r="K142" s="29">
        <f t="shared" si="65"/>
        <v>0</v>
      </c>
      <c r="L142" s="30">
        <f t="shared" si="66"/>
        <v>0</v>
      </c>
      <c r="N142" s="44"/>
    </row>
    <row r="143" spans="1:14" s="43" customFormat="1" ht="12.75" customHeight="1" x14ac:dyDescent="0.25">
      <c r="A143" s="37">
        <v>3.5</v>
      </c>
      <c r="B143" s="38" t="s">
        <v>140</v>
      </c>
      <c r="C143" s="39" t="s">
        <v>10</v>
      </c>
      <c r="D143" s="39"/>
      <c r="E143" s="40">
        <v>1</v>
      </c>
      <c r="F143" s="89">
        <v>0</v>
      </c>
      <c r="G143" s="29">
        <f t="shared" si="63"/>
        <v>0</v>
      </c>
      <c r="H143" s="88">
        <v>0</v>
      </c>
      <c r="I143" s="29">
        <f t="shared" si="64"/>
        <v>0</v>
      </c>
      <c r="J143" s="89">
        <v>0</v>
      </c>
      <c r="K143" s="29">
        <f t="shared" si="65"/>
        <v>0</v>
      </c>
      <c r="L143" s="30">
        <f t="shared" si="66"/>
        <v>0</v>
      </c>
      <c r="N143" s="44"/>
    </row>
    <row r="144" spans="1:14" s="43" customFormat="1" ht="12.75" customHeight="1" x14ac:dyDescent="0.25">
      <c r="A144" s="37">
        <v>3.6</v>
      </c>
      <c r="B144" s="38" t="s">
        <v>121</v>
      </c>
      <c r="C144" s="39" t="s">
        <v>122</v>
      </c>
      <c r="D144" s="39"/>
      <c r="E144" s="40">
        <v>1</v>
      </c>
      <c r="F144" s="89">
        <v>0</v>
      </c>
      <c r="G144" s="29">
        <f t="shared" si="63"/>
        <v>0</v>
      </c>
      <c r="H144" s="88">
        <v>0</v>
      </c>
      <c r="I144" s="29">
        <f t="shared" si="64"/>
        <v>0</v>
      </c>
      <c r="J144" s="89">
        <v>0</v>
      </c>
      <c r="K144" s="29">
        <f t="shared" si="65"/>
        <v>0</v>
      </c>
      <c r="L144" s="30">
        <f t="shared" si="66"/>
        <v>0</v>
      </c>
      <c r="N144" s="44"/>
    </row>
    <row r="145" spans="1:14" s="43" customFormat="1" ht="12.75" customHeight="1" x14ac:dyDescent="0.25">
      <c r="A145" s="22">
        <v>4</v>
      </c>
      <c r="B145" s="47" t="s">
        <v>123</v>
      </c>
      <c r="C145" s="33"/>
      <c r="D145" s="49"/>
      <c r="E145" s="49"/>
      <c r="F145" s="49"/>
      <c r="G145" s="49"/>
      <c r="H145" s="49"/>
      <c r="I145" s="49"/>
      <c r="J145" s="49"/>
      <c r="K145" s="49"/>
      <c r="L145" s="62"/>
      <c r="N145" s="44"/>
    </row>
    <row r="146" spans="1:14" s="43" customFormat="1" ht="12.75" customHeight="1" x14ac:dyDescent="0.25">
      <c r="A146" s="37">
        <v>4.0999999999999996</v>
      </c>
      <c r="B146" s="38" t="s">
        <v>124</v>
      </c>
      <c r="C146" s="39" t="s">
        <v>21</v>
      </c>
      <c r="D146" s="39"/>
      <c r="E146" s="40">
        <v>1</v>
      </c>
      <c r="F146" s="89">
        <v>0</v>
      </c>
      <c r="G146" s="29">
        <f t="shared" ref="G146:G152" si="67">F146*E146</f>
        <v>0</v>
      </c>
      <c r="H146" s="88">
        <v>0</v>
      </c>
      <c r="I146" s="29">
        <f t="shared" ref="I146:I152" si="68">H146*E146</f>
        <v>0</v>
      </c>
      <c r="J146" s="89">
        <v>0</v>
      </c>
      <c r="K146" s="29">
        <f t="shared" ref="K146:K152" si="69">J146*E146</f>
        <v>0</v>
      </c>
      <c r="L146" s="30">
        <f t="shared" ref="L146:L152" si="70">K146+I146+G146</f>
        <v>0</v>
      </c>
      <c r="N146" s="44"/>
    </row>
    <row r="147" spans="1:14" s="43" customFormat="1" ht="12.75" customHeight="1" x14ac:dyDescent="0.25">
      <c r="A147" s="37">
        <v>4.2</v>
      </c>
      <c r="B147" s="38" t="s">
        <v>125</v>
      </c>
      <c r="C147" s="39" t="s">
        <v>8</v>
      </c>
      <c r="D147" s="39"/>
      <c r="E147" s="40">
        <v>4</v>
      </c>
      <c r="F147" s="89">
        <v>0</v>
      </c>
      <c r="G147" s="29">
        <f t="shared" si="67"/>
        <v>0</v>
      </c>
      <c r="H147" s="88">
        <v>0</v>
      </c>
      <c r="I147" s="29">
        <f t="shared" si="68"/>
        <v>0</v>
      </c>
      <c r="J147" s="89">
        <v>0</v>
      </c>
      <c r="K147" s="29">
        <f t="shared" si="69"/>
        <v>0</v>
      </c>
      <c r="L147" s="30">
        <f t="shared" si="70"/>
        <v>0</v>
      </c>
      <c r="N147" s="44"/>
    </row>
    <row r="148" spans="1:14" s="43" customFormat="1" ht="12.75" customHeight="1" x14ac:dyDescent="0.25">
      <c r="A148" s="37">
        <v>4.3</v>
      </c>
      <c r="B148" s="38" t="s">
        <v>326</v>
      </c>
      <c r="C148" s="39" t="s">
        <v>62</v>
      </c>
      <c r="D148" s="39"/>
      <c r="E148" s="40">
        <f>SUM(E135:E137)</f>
        <v>809</v>
      </c>
      <c r="F148" s="89">
        <v>0</v>
      </c>
      <c r="G148" s="29">
        <f t="shared" si="67"/>
        <v>0</v>
      </c>
      <c r="H148" s="88">
        <v>0</v>
      </c>
      <c r="I148" s="29">
        <f t="shared" si="68"/>
        <v>0</v>
      </c>
      <c r="J148" s="89">
        <v>0</v>
      </c>
      <c r="K148" s="29">
        <f t="shared" si="69"/>
        <v>0</v>
      </c>
      <c r="L148" s="30">
        <f t="shared" si="70"/>
        <v>0</v>
      </c>
      <c r="N148" s="44"/>
    </row>
    <row r="149" spans="1:14" s="43" customFormat="1" ht="12.75" customHeight="1" x14ac:dyDescent="0.25">
      <c r="A149" s="37">
        <v>4.4000000000000004</v>
      </c>
      <c r="B149" s="38" t="s">
        <v>127</v>
      </c>
      <c r="C149" s="39" t="s">
        <v>8</v>
      </c>
      <c r="D149" s="39"/>
      <c r="E149" s="40">
        <v>1</v>
      </c>
      <c r="F149" s="89">
        <v>0</v>
      </c>
      <c r="G149" s="29">
        <f t="shared" si="67"/>
        <v>0</v>
      </c>
      <c r="H149" s="88">
        <v>0</v>
      </c>
      <c r="I149" s="29">
        <f t="shared" si="68"/>
        <v>0</v>
      </c>
      <c r="J149" s="89">
        <v>0</v>
      </c>
      <c r="K149" s="29">
        <f t="shared" si="69"/>
        <v>0</v>
      </c>
      <c r="L149" s="30">
        <f t="shared" si="70"/>
        <v>0</v>
      </c>
      <c r="N149" s="44"/>
    </row>
    <row r="150" spans="1:14" s="43" customFormat="1" ht="12.75" customHeight="1" x14ac:dyDescent="0.25">
      <c r="A150" s="37">
        <v>4.5</v>
      </c>
      <c r="B150" s="38" t="s">
        <v>128</v>
      </c>
      <c r="C150" s="39" t="s">
        <v>8</v>
      </c>
      <c r="D150" s="39"/>
      <c r="E150" s="40">
        <v>1</v>
      </c>
      <c r="F150" s="89">
        <v>0</v>
      </c>
      <c r="G150" s="29">
        <f t="shared" si="67"/>
        <v>0</v>
      </c>
      <c r="H150" s="88">
        <v>0</v>
      </c>
      <c r="I150" s="29">
        <f t="shared" si="68"/>
        <v>0</v>
      </c>
      <c r="J150" s="89">
        <v>0</v>
      </c>
      <c r="K150" s="29">
        <f t="shared" si="69"/>
        <v>0</v>
      </c>
      <c r="L150" s="30">
        <f t="shared" si="70"/>
        <v>0</v>
      </c>
      <c r="N150" s="44"/>
    </row>
    <row r="151" spans="1:14" s="43" customFormat="1" ht="27" customHeight="1" x14ac:dyDescent="0.25">
      <c r="A151" s="37">
        <v>4.5999999999999996</v>
      </c>
      <c r="B151" s="38" t="s">
        <v>134</v>
      </c>
      <c r="C151" s="39" t="s">
        <v>8</v>
      </c>
      <c r="D151" s="39"/>
      <c r="E151" s="40">
        <v>7</v>
      </c>
      <c r="F151" s="89">
        <v>0</v>
      </c>
      <c r="G151" s="29">
        <f t="shared" si="67"/>
        <v>0</v>
      </c>
      <c r="H151" s="88">
        <v>0</v>
      </c>
      <c r="I151" s="29">
        <f t="shared" si="68"/>
        <v>0</v>
      </c>
      <c r="J151" s="89">
        <v>0</v>
      </c>
      <c r="K151" s="29">
        <f t="shared" si="69"/>
        <v>0</v>
      </c>
      <c r="L151" s="30">
        <f t="shared" si="70"/>
        <v>0</v>
      </c>
      <c r="N151" s="44"/>
    </row>
    <row r="152" spans="1:14" s="43" customFormat="1" ht="28.5" customHeight="1" x14ac:dyDescent="0.25">
      <c r="A152" s="37">
        <v>4.7</v>
      </c>
      <c r="B152" s="38" t="s">
        <v>129</v>
      </c>
      <c r="C152" s="39" t="s">
        <v>20</v>
      </c>
      <c r="D152" s="39"/>
      <c r="E152" s="40">
        <v>1</v>
      </c>
      <c r="F152" s="89">
        <v>0</v>
      </c>
      <c r="G152" s="29">
        <f t="shared" si="67"/>
        <v>0</v>
      </c>
      <c r="H152" s="88">
        <v>0</v>
      </c>
      <c r="I152" s="29">
        <f t="shared" si="68"/>
        <v>0</v>
      </c>
      <c r="J152" s="89">
        <v>0</v>
      </c>
      <c r="K152" s="29">
        <f t="shared" si="69"/>
        <v>0</v>
      </c>
      <c r="L152" s="30">
        <f t="shared" si="70"/>
        <v>0</v>
      </c>
      <c r="N152" s="44"/>
    </row>
    <row r="153" spans="1:14" s="43" customFormat="1" ht="12.75" customHeight="1" x14ac:dyDescent="0.25">
      <c r="A153" s="22">
        <v>5</v>
      </c>
      <c r="B153" s="47" t="s">
        <v>132</v>
      </c>
      <c r="C153" s="33"/>
      <c r="D153" s="49"/>
      <c r="E153" s="49"/>
      <c r="F153" s="49"/>
      <c r="G153" s="49"/>
      <c r="H153" s="49"/>
      <c r="I153" s="49"/>
      <c r="J153" s="49"/>
      <c r="K153" s="49"/>
      <c r="L153" s="62"/>
      <c r="N153" s="44"/>
    </row>
    <row r="154" spans="1:14" s="43" customFormat="1" ht="12.75" customHeight="1" x14ac:dyDescent="0.25">
      <c r="A154" s="37">
        <v>5.0999999999999996</v>
      </c>
      <c r="B154" s="38" t="s">
        <v>141</v>
      </c>
      <c r="C154" s="39" t="s">
        <v>8</v>
      </c>
      <c r="D154" s="39"/>
      <c r="E154" s="40">
        <v>1</v>
      </c>
      <c r="F154" s="89">
        <v>0</v>
      </c>
      <c r="G154" s="29">
        <f t="shared" ref="G154:G164" si="71">F154*E154</f>
        <v>0</v>
      </c>
      <c r="H154" s="88">
        <v>0</v>
      </c>
      <c r="I154" s="29">
        <f t="shared" ref="I154:I164" si="72">H154*E154</f>
        <v>0</v>
      </c>
      <c r="J154" s="89">
        <v>0</v>
      </c>
      <c r="K154" s="29">
        <f t="shared" ref="K154:K164" si="73">J154*E154</f>
        <v>0</v>
      </c>
      <c r="L154" s="30">
        <f t="shared" ref="L154:L164" si="74">K154+I154+G154</f>
        <v>0</v>
      </c>
      <c r="N154" s="44"/>
    </row>
    <row r="155" spans="1:14" s="43" customFormat="1" ht="30" customHeight="1" x14ac:dyDescent="0.25">
      <c r="A155" s="37">
        <v>5.2</v>
      </c>
      <c r="B155" s="38" t="s">
        <v>144</v>
      </c>
      <c r="C155" s="39" t="s">
        <v>21</v>
      </c>
      <c r="D155" s="39"/>
      <c r="E155" s="40">
        <v>1</v>
      </c>
      <c r="F155" s="89">
        <v>0</v>
      </c>
      <c r="G155" s="29">
        <f t="shared" si="71"/>
        <v>0</v>
      </c>
      <c r="H155" s="88">
        <v>0</v>
      </c>
      <c r="I155" s="29">
        <f t="shared" si="72"/>
        <v>0</v>
      </c>
      <c r="J155" s="89">
        <v>0</v>
      </c>
      <c r="K155" s="29">
        <f t="shared" si="73"/>
        <v>0</v>
      </c>
      <c r="L155" s="30">
        <f t="shared" si="74"/>
        <v>0</v>
      </c>
      <c r="N155" s="44"/>
    </row>
    <row r="156" spans="1:14" s="43" customFormat="1" ht="12.75" customHeight="1" x14ac:dyDescent="0.25">
      <c r="A156" s="37">
        <v>5.3</v>
      </c>
      <c r="B156" s="38" t="s">
        <v>142</v>
      </c>
      <c r="C156" s="39" t="s">
        <v>8</v>
      </c>
      <c r="D156" s="39"/>
      <c r="E156" s="40">
        <v>2</v>
      </c>
      <c r="F156" s="89">
        <v>0</v>
      </c>
      <c r="G156" s="29">
        <f t="shared" si="71"/>
        <v>0</v>
      </c>
      <c r="H156" s="88">
        <v>0</v>
      </c>
      <c r="I156" s="29">
        <f t="shared" si="72"/>
        <v>0</v>
      </c>
      <c r="J156" s="89">
        <v>0</v>
      </c>
      <c r="K156" s="29">
        <f t="shared" si="73"/>
        <v>0</v>
      </c>
      <c r="L156" s="30">
        <f t="shared" si="74"/>
        <v>0</v>
      </c>
      <c r="N156" s="44"/>
    </row>
    <row r="157" spans="1:14" s="43" customFormat="1" ht="12.75" customHeight="1" x14ac:dyDescent="0.25">
      <c r="A157" s="37">
        <v>5.4</v>
      </c>
      <c r="B157" s="38" t="s">
        <v>143</v>
      </c>
      <c r="C157" s="39" t="s">
        <v>8</v>
      </c>
      <c r="D157" s="39"/>
      <c r="E157" s="40">
        <v>2</v>
      </c>
      <c r="F157" s="89">
        <v>0</v>
      </c>
      <c r="G157" s="29">
        <f t="shared" si="71"/>
        <v>0</v>
      </c>
      <c r="H157" s="88">
        <v>0</v>
      </c>
      <c r="I157" s="29">
        <f t="shared" si="72"/>
        <v>0</v>
      </c>
      <c r="J157" s="89">
        <v>0</v>
      </c>
      <c r="K157" s="29">
        <f t="shared" si="73"/>
        <v>0</v>
      </c>
      <c r="L157" s="30">
        <f t="shared" si="74"/>
        <v>0</v>
      </c>
      <c r="N157" s="44"/>
    </row>
    <row r="158" spans="1:14" s="43" customFormat="1" ht="12.75" customHeight="1" x14ac:dyDescent="0.25">
      <c r="A158" s="37">
        <v>5.5</v>
      </c>
      <c r="B158" s="38" t="s">
        <v>145</v>
      </c>
      <c r="C158" s="39" t="s">
        <v>8</v>
      </c>
      <c r="D158" s="39"/>
      <c r="E158" s="40">
        <v>18</v>
      </c>
      <c r="F158" s="89">
        <v>0</v>
      </c>
      <c r="G158" s="29">
        <f t="shared" si="71"/>
        <v>0</v>
      </c>
      <c r="H158" s="88">
        <v>0</v>
      </c>
      <c r="I158" s="29">
        <f t="shared" si="72"/>
        <v>0</v>
      </c>
      <c r="J158" s="89">
        <v>0</v>
      </c>
      <c r="K158" s="29">
        <f t="shared" si="73"/>
        <v>0</v>
      </c>
      <c r="L158" s="30">
        <f t="shared" si="74"/>
        <v>0</v>
      </c>
      <c r="N158" s="44"/>
    </row>
    <row r="159" spans="1:14" s="43" customFormat="1" ht="12.75" customHeight="1" x14ac:dyDescent="0.25">
      <c r="A159" s="37">
        <v>5.6</v>
      </c>
      <c r="B159" s="38" t="s">
        <v>146</v>
      </c>
      <c r="C159" s="39" t="s">
        <v>8</v>
      </c>
      <c r="D159" s="39"/>
      <c r="E159" s="40">
        <v>9</v>
      </c>
      <c r="F159" s="89">
        <v>0</v>
      </c>
      <c r="G159" s="29">
        <f t="shared" si="71"/>
        <v>0</v>
      </c>
      <c r="H159" s="88">
        <v>0</v>
      </c>
      <c r="I159" s="29">
        <f t="shared" si="72"/>
        <v>0</v>
      </c>
      <c r="J159" s="89">
        <v>0</v>
      </c>
      <c r="K159" s="29">
        <f t="shared" si="73"/>
        <v>0</v>
      </c>
      <c r="L159" s="30">
        <f t="shared" si="74"/>
        <v>0</v>
      </c>
      <c r="N159" s="44"/>
    </row>
    <row r="160" spans="1:14" s="43" customFormat="1" ht="12.75" customHeight="1" x14ac:dyDescent="0.25">
      <c r="A160" s="37">
        <v>5.7</v>
      </c>
      <c r="B160" s="38" t="s">
        <v>147</v>
      </c>
      <c r="C160" s="39" t="s">
        <v>8</v>
      </c>
      <c r="D160" s="39"/>
      <c r="E160" s="40">
        <v>1</v>
      </c>
      <c r="F160" s="89">
        <v>0</v>
      </c>
      <c r="G160" s="29">
        <f t="shared" si="71"/>
        <v>0</v>
      </c>
      <c r="H160" s="88">
        <v>0</v>
      </c>
      <c r="I160" s="29">
        <f t="shared" si="72"/>
        <v>0</v>
      </c>
      <c r="J160" s="89">
        <v>0</v>
      </c>
      <c r="K160" s="29">
        <f t="shared" si="73"/>
        <v>0</v>
      </c>
      <c r="L160" s="30">
        <f t="shared" si="74"/>
        <v>0</v>
      </c>
      <c r="N160" s="44"/>
    </row>
    <row r="161" spans="1:14" s="43" customFormat="1" ht="12.75" customHeight="1" x14ac:dyDescent="0.25">
      <c r="A161" s="37">
        <v>5.8</v>
      </c>
      <c r="B161" s="38" t="s">
        <v>148</v>
      </c>
      <c r="C161" s="39" t="s">
        <v>8</v>
      </c>
      <c r="D161" s="39"/>
      <c r="E161" s="40">
        <v>1</v>
      </c>
      <c r="F161" s="89">
        <v>0</v>
      </c>
      <c r="G161" s="29">
        <f t="shared" si="71"/>
        <v>0</v>
      </c>
      <c r="H161" s="88">
        <v>0</v>
      </c>
      <c r="I161" s="29">
        <f t="shared" si="72"/>
        <v>0</v>
      </c>
      <c r="J161" s="89">
        <v>0</v>
      </c>
      <c r="K161" s="29">
        <f t="shared" si="73"/>
        <v>0</v>
      </c>
      <c r="L161" s="30">
        <f t="shared" si="74"/>
        <v>0</v>
      </c>
      <c r="N161" s="44"/>
    </row>
    <row r="162" spans="1:14" s="43" customFormat="1" ht="12.75" customHeight="1" x14ac:dyDescent="0.25">
      <c r="A162" s="37">
        <v>5.9</v>
      </c>
      <c r="B162" s="38" t="s">
        <v>149</v>
      </c>
      <c r="C162" s="39" t="s">
        <v>8</v>
      </c>
      <c r="D162" s="39"/>
      <c r="E162" s="40">
        <v>1</v>
      </c>
      <c r="F162" s="89">
        <v>0</v>
      </c>
      <c r="G162" s="29">
        <f t="shared" si="71"/>
        <v>0</v>
      </c>
      <c r="H162" s="88">
        <v>0</v>
      </c>
      <c r="I162" s="29">
        <f t="shared" si="72"/>
        <v>0</v>
      </c>
      <c r="J162" s="89">
        <v>0</v>
      </c>
      <c r="K162" s="29">
        <f t="shared" si="73"/>
        <v>0</v>
      </c>
      <c r="L162" s="30">
        <f t="shared" si="74"/>
        <v>0</v>
      </c>
      <c r="N162" s="44"/>
    </row>
    <row r="163" spans="1:14" s="43" customFormat="1" ht="12.75" customHeight="1" x14ac:dyDescent="0.25">
      <c r="A163" s="59">
        <v>5.0999999999999996</v>
      </c>
      <c r="B163" s="38" t="s">
        <v>150</v>
      </c>
      <c r="C163" s="39" t="s">
        <v>151</v>
      </c>
      <c r="D163" s="39"/>
      <c r="E163" s="40">
        <v>31</v>
      </c>
      <c r="F163" s="89">
        <v>0</v>
      </c>
      <c r="G163" s="29">
        <f t="shared" ref="G163" si="75">F163*E163</f>
        <v>0</v>
      </c>
      <c r="H163" s="88">
        <v>0</v>
      </c>
      <c r="I163" s="29">
        <f t="shared" si="72"/>
        <v>0</v>
      </c>
      <c r="J163" s="89">
        <v>0</v>
      </c>
      <c r="K163" s="29">
        <f t="shared" si="73"/>
        <v>0</v>
      </c>
      <c r="L163" s="30">
        <f t="shared" ref="L163" si="76">K163+I163+G163</f>
        <v>0</v>
      </c>
      <c r="N163" s="44"/>
    </row>
    <row r="164" spans="1:14" s="43" customFormat="1" ht="12.75" customHeight="1" x14ac:dyDescent="0.25">
      <c r="A164" s="59">
        <v>5.0999999999999996</v>
      </c>
      <c r="B164" s="38" t="s">
        <v>140</v>
      </c>
      <c r="C164" s="39" t="s">
        <v>10</v>
      </c>
      <c r="D164" s="39"/>
      <c r="E164" s="40">
        <v>1</v>
      </c>
      <c r="F164" s="89">
        <v>0</v>
      </c>
      <c r="G164" s="29">
        <f t="shared" si="71"/>
        <v>0</v>
      </c>
      <c r="H164" s="88">
        <v>0</v>
      </c>
      <c r="I164" s="29">
        <f t="shared" si="72"/>
        <v>0</v>
      </c>
      <c r="J164" s="89">
        <v>0</v>
      </c>
      <c r="K164" s="29">
        <f t="shared" si="73"/>
        <v>0</v>
      </c>
      <c r="L164" s="30">
        <f t="shared" si="74"/>
        <v>0</v>
      </c>
      <c r="N164" s="44"/>
    </row>
    <row r="165" spans="1:14" ht="31.5" customHeight="1" x14ac:dyDescent="0.2">
      <c r="A165" s="22">
        <v>6</v>
      </c>
      <c r="B165" s="170" t="s">
        <v>112</v>
      </c>
      <c r="C165" s="33" t="s">
        <v>20</v>
      </c>
      <c r="D165" s="48"/>
      <c r="E165" s="49">
        <v>1</v>
      </c>
      <c r="F165" s="49"/>
      <c r="G165" s="49"/>
      <c r="H165" s="49"/>
      <c r="I165" s="49"/>
      <c r="J165" s="49"/>
      <c r="K165" s="49"/>
      <c r="L165" s="50"/>
      <c r="M165" s="21"/>
    </row>
    <row r="166" spans="1:14" ht="17.25" customHeight="1" x14ac:dyDescent="0.25">
      <c r="A166" s="51">
        <v>6.1</v>
      </c>
      <c r="B166" s="25" t="s">
        <v>113</v>
      </c>
      <c r="C166" s="26" t="s">
        <v>20</v>
      </c>
      <c r="D166" s="64"/>
      <c r="E166" s="27">
        <v>1</v>
      </c>
      <c r="F166" s="89">
        <v>0</v>
      </c>
      <c r="G166" s="29">
        <f t="shared" ref="G166:G167" si="77">F166*E166</f>
        <v>0</v>
      </c>
      <c r="H166" s="88">
        <v>0</v>
      </c>
      <c r="I166" s="29">
        <f t="shared" ref="I166:I167" si="78">H166*E166</f>
        <v>0</v>
      </c>
      <c r="J166" s="89">
        <v>0</v>
      </c>
      <c r="K166" s="29">
        <f t="shared" ref="K166:K167" si="79">J166*E166</f>
        <v>0</v>
      </c>
      <c r="L166" s="30">
        <f t="shared" ref="L166:L167" si="80">K166+I166+G166</f>
        <v>0</v>
      </c>
      <c r="M166" s="21"/>
    </row>
    <row r="167" spans="1:14" ht="17.25" customHeight="1" x14ac:dyDescent="0.25">
      <c r="A167" s="51">
        <v>6.2</v>
      </c>
      <c r="B167" s="25" t="s">
        <v>114</v>
      </c>
      <c r="C167" s="26" t="s">
        <v>20</v>
      </c>
      <c r="D167" s="64"/>
      <c r="E167" s="27">
        <f>E165</f>
        <v>1</v>
      </c>
      <c r="F167" s="89">
        <v>0</v>
      </c>
      <c r="G167" s="29">
        <f t="shared" si="77"/>
        <v>0</v>
      </c>
      <c r="H167" s="88">
        <v>0</v>
      </c>
      <c r="I167" s="29">
        <f t="shared" si="78"/>
        <v>0</v>
      </c>
      <c r="J167" s="89">
        <v>0</v>
      </c>
      <c r="K167" s="29">
        <f t="shared" si="79"/>
        <v>0</v>
      </c>
      <c r="L167" s="30">
        <f t="shared" si="80"/>
        <v>0</v>
      </c>
      <c r="M167" s="21"/>
    </row>
    <row r="168" spans="1:14" ht="17.25" customHeight="1" x14ac:dyDescent="0.25">
      <c r="A168" s="24">
        <v>7</v>
      </c>
      <c r="B168" s="25" t="s">
        <v>288</v>
      </c>
      <c r="C168" s="26" t="s">
        <v>20</v>
      </c>
      <c r="D168" s="64"/>
      <c r="E168" s="27">
        <f>E166</f>
        <v>1</v>
      </c>
      <c r="F168" s="89">
        <v>0</v>
      </c>
      <c r="G168" s="29">
        <f t="shared" ref="G168" si="81">F168*E168</f>
        <v>0</v>
      </c>
      <c r="H168" s="88">
        <v>0</v>
      </c>
      <c r="I168" s="29">
        <f t="shared" ref="I168" si="82">H168*E168</f>
        <v>0</v>
      </c>
      <c r="J168" s="89">
        <v>0</v>
      </c>
      <c r="K168" s="29">
        <f t="shared" ref="K168" si="83">J168*E168</f>
        <v>0</v>
      </c>
      <c r="L168" s="30">
        <f t="shared" ref="L168" si="84">K168+I168+G168</f>
        <v>0</v>
      </c>
      <c r="M168" s="21"/>
    </row>
    <row r="169" spans="1:14" s="72" customFormat="1" x14ac:dyDescent="0.25">
      <c r="A169" s="22"/>
      <c r="B169" s="48" t="s">
        <v>7</v>
      </c>
      <c r="C169" s="69"/>
      <c r="D169" s="69"/>
      <c r="E169" s="49"/>
      <c r="F169" s="49"/>
      <c r="G169" s="70">
        <f>SUM(G12:G168)</f>
        <v>0</v>
      </c>
      <c r="H169" s="49"/>
      <c r="I169" s="70">
        <f>SUM(I12:I168)</f>
        <v>0</v>
      </c>
      <c r="J169" s="49"/>
      <c r="K169" s="70">
        <f>SUM(K12:K168)</f>
        <v>0</v>
      </c>
      <c r="L169" s="71">
        <f>SUM(L12:L168)</f>
        <v>0</v>
      </c>
    </row>
    <row r="170" spans="1:14" s="12" customFormat="1" x14ac:dyDescent="0.25">
      <c r="A170" s="73"/>
      <c r="B170" s="74" t="s">
        <v>18</v>
      </c>
      <c r="C170" s="90">
        <v>0</v>
      </c>
      <c r="D170" s="75"/>
      <c r="E170" s="76"/>
      <c r="F170" s="76"/>
      <c r="G170" s="76"/>
      <c r="H170" s="76"/>
      <c r="I170" s="76"/>
      <c r="J170" s="76"/>
      <c r="K170" s="76"/>
      <c r="L170" s="77">
        <f>C170*G169</f>
        <v>0</v>
      </c>
    </row>
    <row r="171" spans="1:14" s="12" customFormat="1" x14ac:dyDescent="0.25">
      <c r="A171" s="22"/>
      <c r="B171" s="48" t="s">
        <v>7</v>
      </c>
      <c r="C171" s="78"/>
      <c r="D171" s="78"/>
      <c r="E171" s="49"/>
      <c r="F171" s="49"/>
      <c r="G171" s="49"/>
      <c r="H171" s="49"/>
      <c r="I171" s="49"/>
      <c r="J171" s="49"/>
      <c r="K171" s="49"/>
      <c r="L171" s="71">
        <f>L170+L169</f>
        <v>0</v>
      </c>
    </row>
    <row r="172" spans="1:14" s="12" customFormat="1" x14ac:dyDescent="0.25">
      <c r="A172" s="73"/>
      <c r="B172" s="79" t="s">
        <v>11</v>
      </c>
      <c r="C172" s="90">
        <v>0</v>
      </c>
      <c r="D172" s="75"/>
      <c r="E172" s="76"/>
      <c r="F172" s="76"/>
      <c r="G172" s="76"/>
      <c r="H172" s="76"/>
      <c r="I172" s="76"/>
      <c r="J172" s="76"/>
      <c r="K172" s="76"/>
      <c r="L172" s="77">
        <f>L171*C172</f>
        <v>0</v>
      </c>
    </row>
    <row r="173" spans="1:14" s="12" customFormat="1" x14ac:dyDescent="0.25">
      <c r="A173" s="22"/>
      <c r="B173" s="48" t="s">
        <v>7</v>
      </c>
      <c r="C173" s="78"/>
      <c r="D173" s="78"/>
      <c r="E173" s="49"/>
      <c r="F173" s="49"/>
      <c r="G173" s="49"/>
      <c r="H173" s="49"/>
      <c r="I173" s="49"/>
      <c r="J173" s="49"/>
      <c r="K173" s="49"/>
      <c r="L173" s="71">
        <f>L172+L171</f>
        <v>0</v>
      </c>
    </row>
    <row r="174" spans="1:14" s="12" customFormat="1" x14ac:dyDescent="0.25">
      <c r="A174" s="73"/>
      <c r="B174" s="79" t="s">
        <v>12</v>
      </c>
      <c r="C174" s="90">
        <v>0</v>
      </c>
      <c r="D174" s="75"/>
      <c r="E174" s="76"/>
      <c r="F174" s="76"/>
      <c r="G174" s="76"/>
      <c r="H174" s="76"/>
      <c r="I174" s="76"/>
      <c r="J174" s="76"/>
      <c r="K174" s="76"/>
      <c r="L174" s="77">
        <f>L173*C174</f>
        <v>0</v>
      </c>
    </row>
    <row r="175" spans="1:14" s="12" customFormat="1" x14ac:dyDescent="0.25">
      <c r="A175" s="22"/>
      <c r="B175" s="48" t="s">
        <v>7</v>
      </c>
      <c r="C175" s="78"/>
      <c r="D175" s="78"/>
      <c r="E175" s="49"/>
      <c r="F175" s="49"/>
      <c r="G175" s="49"/>
      <c r="H175" s="49"/>
      <c r="I175" s="49"/>
      <c r="J175" s="49"/>
      <c r="K175" s="49"/>
      <c r="L175" s="71">
        <f>L173+L174</f>
        <v>0</v>
      </c>
    </row>
    <row r="176" spans="1:14" s="12" customFormat="1" x14ac:dyDescent="0.25">
      <c r="A176" s="73"/>
      <c r="B176" s="79" t="s">
        <v>13</v>
      </c>
      <c r="C176" s="90">
        <v>0</v>
      </c>
      <c r="D176" s="75"/>
      <c r="E176" s="76"/>
      <c r="F176" s="76"/>
      <c r="G176" s="76"/>
      <c r="H176" s="76"/>
      <c r="I176" s="76"/>
      <c r="J176" s="76"/>
      <c r="K176" s="76"/>
      <c r="L176" s="77">
        <f>L175*C176</f>
        <v>0</v>
      </c>
    </row>
    <row r="177" spans="1:13" s="12" customFormat="1" x14ac:dyDescent="0.25">
      <c r="A177" s="22"/>
      <c r="B177" s="48" t="s">
        <v>7</v>
      </c>
      <c r="C177" s="78"/>
      <c r="D177" s="78"/>
      <c r="E177" s="49"/>
      <c r="F177" s="49"/>
      <c r="G177" s="49"/>
      <c r="H177" s="49"/>
      <c r="I177" s="49"/>
      <c r="J177" s="49"/>
      <c r="K177" s="49"/>
      <c r="L177" s="71">
        <f>L175+L176</f>
        <v>0</v>
      </c>
    </row>
    <row r="178" spans="1:13" s="12" customFormat="1" x14ac:dyDescent="0.25">
      <c r="A178" s="73"/>
      <c r="B178" s="79" t="s">
        <v>14</v>
      </c>
      <c r="C178" s="90">
        <v>0</v>
      </c>
      <c r="D178" s="75"/>
      <c r="E178" s="76"/>
      <c r="F178" s="76"/>
      <c r="G178" s="76"/>
      <c r="H178" s="76"/>
      <c r="I178" s="76"/>
      <c r="J178" s="76"/>
      <c r="K178" s="76"/>
      <c r="L178" s="77">
        <f>L177*C178</f>
        <v>0</v>
      </c>
    </row>
    <row r="179" spans="1:13" s="12" customFormat="1" x14ac:dyDescent="0.25">
      <c r="A179" s="22"/>
      <c r="B179" s="48" t="s">
        <v>7</v>
      </c>
      <c r="C179" s="80"/>
      <c r="D179" s="80"/>
      <c r="E179" s="49"/>
      <c r="F179" s="49"/>
      <c r="G179" s="49"/>
      <c r="H179" s="49"/>
      <c r="I179" s="49"/>
      <c r="J179" s="49"/>
      <c r="K179" s="49"/>
      <c r="L179" s="71">
        <f>L177+L178</f>
        <v>0</v>
      </c>
    </row>
    <row r="180" spans="1:13" s="12" customFormat="1" x14ac:dyDescent="0.25">
      <c r="A180" s="73"/>
      <c r="B180" s="79" t="s">
        <v>19</v>
      </c>
      <c r="C180" s="90">
        <v>0</v>
      </c>
      <c r="D180" s="75"/>
      <c r="E180" s="76"/>
      <c r="F180" s="76"/>
      <c r="G180" s="76"/>
      <c r="H180" s="76"/>
      <c r="I180" s="76"/>
      <c r="J180" s="76"/>
      <c r="K180" s="76"/>
      <c r="L180" s="77">
        <f>L179*C180</f>
        <v>0</v>
      </c>
    </row>
    <row r="181" spans="1:13" s="12" customFormat="1" ht="12.75" thickBot="1" x14ac:dyDescent="0.3">
      <c r="A181" s="81"/>
      <c r="B181" s="82" t="s">
        <v>7</v>
      </c>
      <c r="C181" s="83"/>
      <c r="D181" s="83"/>
      <c r="E181" s="84"/>
      <c r="F181" s="84"/>
      <c r="G181" s="84"/>
      <c r="H181" s="84"/>
      <c r="I181" s="84"/>
      <c r="J181" s="84"/>
      <c r="K181" s="84"/>
      <c r="L181" s="85">
        <f>L179+L180</f>
        <v>0</v>
      </c>
    </row>
    <row r="182" spans="1:13" x14ac:dyDescent="0.2">
      <c r="L182" s="21"/>
      <c r="M182" s="21"/>
    </row>
    <row r="183" spans="1:13" x14ac:dyDescent="0.2">
      <c r="L183" s="21"/>
      <c r="M183" s="21"/>
    </row>
    <row r="184" spans="1:13" x14ac:dyDescent="0.2">
      <c r="K184" s="86"/>
      <c r="L184" s="87"/>
      <c r="M184" s="21"/>
    </row>
    <row r="186" spans="1:13" x14ac:dyDescent="0.2">
      <c r="E186" s="2"/>
    </row>
    <row r="187" spans="1:13" x14ac:dyDescent="0.2">
      <c r="E187" s="2"/>
    </row>
    <row r="188" spans="1:13" x14ac:dyDescent="0.2">
      <c r="E188" s="2"/>
    </row>
    <row r="189" spans="1:13" x14ac:dyDescent="0.2">
      <c r="E189" s="2"/>
    </row>
    <row r="190" spans="1:13" x14ac:dyDescent="0.2">
      <c r="E190" s="2"/>
    </row>
    <row r="191" spans="1:13" x14ac:dyDescent="0.2">
      <c r="E191" s="2"/>
    </row>
    <row r="192" spans="1:13" x14ac:dyDescent="0.2">
      <c r="E192" s="2"/>
    </row>
    <row r="193" spans="5:5" x14ac:dyDescent="0.2">
      <c r="E193" s="2"/>
    </row>
    <row r="194" spans="5:5" x14ac:dyDescent="0.2">
      <c r="E194" s="2"/>
    </row>
  </sheetData>
  <sheetProtection algorithmName="SHA-512" hashValue="7YWJnFAIuka90rmRKh+LGrbfdnx71NAv7WVcqxag8R5TkUaB1iwAfeK+N46lQ0Kq8xWSUjaYCkbaTtH9Z0pcFQ==" saltValue="OFVLK6NndXQXjgi/HIIsCg==" spinCount="100000" sheet="1" objects="1" scenarios="1" formatCells="0" formatColumns="0" formatRows="0" insertColumns="0" insertRows="0" insertHyperlinks="0"/>
  <mergeCells count="12">
    <mergeCell ref="C132:L132"/>
    <mergeCell ref="J6:K6"/>
    <mergeCell ref="L6:L7"/>
    <mergeCell ref="C17:L17"/>
    <mergeCell ref="C11:L11"/>
    <mergeCell ref="C127:L127"/>
    <mergeCell ref="H6:I6"/>
    <mergeCell ref="A6:A7"/>
    <mergeCell ref="B6:B7"/>
    <mergeCell ref="C6:C7"/>
    <mergeCell ref="D6:E6"/>
    <mergeCell ref="F6:G6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78"/>
  <sheetViews>
    <sheetView zoomScaleNormal="100" workbookViewId="0">
      <selection activeCell="N14" sqref="N14"/>
    </sheetView>
  </sheetViews>
  <sheetFormatPr defaultColWidth="8.85546875" defaultRowHeight="12" x14ac:dyDescent="0.2"/>
  <cols>
    <col min="1" max="1" width="8.85546875" style="2"/>
    <col min="2" max="2" width="55" style="2" customWidth="1"/>
    <col min="3" max="3" width="13.570312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3" ht="26.25" customHeight="1" x14ac:dyDescent="0.2"/>
    <row r="3" spans="1:13" ht="14.25" customHeight="1" x14ac:dyDescent="0.2"/>
    <row r="4" spans="1:13" ht="15.75" customHeight="1" x14ac:dyDescent="0.2"/>
    <row r="5" spans="1:13" ht="18" customHeight="1" thickBot="1" x14ac:dyDescent="0.25"/>
    <row r="6" spans="1:13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3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3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1">
        <v>12</v>
      </c>
    </row>
    <row r="9" spans="1:13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3" ht="23.25" customHeight="1" thickBot="1" x14ac:dyDescent="0.25">
      <c r="A10" s="15"/>
      <c r="B10" s="16" t="s">
        <v>159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3" x14ac:dyDescent="0.2">
      <c r="A11" s="22"/>
      <c r="B11" s="23" t="s">
        <v>38</v>
      </c>
      <c r="C11" s="220"/>
      <c r="D11" s="221"/>
      <c r="E11" s="221"/>
      <c r="F11" s="221"/>
      <c r="G11" s="221"/>
      <c r="H11" s="221"/>
      <c r="I11" s="221"/>
      <c r="J11" s="221"/>
      <c r="K11" s="221"/>
      <c r="L11" s="222"/>
      <c r="M11" s="21"/>
    </row>
    <row r="12" spans="1:13" s="57" customFormat="1" ht="13.5" customHeight="1" x14ac:dyDescent="0.2">
      <c r="A12" s="91">
        <v>1</v>
      </c>
      <c r="B12" s="92" t="s">
        <v>155</v>
      </c>
      <c r="C12" s="93" t="s">
        <v>62</v>
      </c>
      <c r="D12" s="18"/>
      <c r="E12" s="27">
        <f>(4+3.65*6)*2+((14.6+1.2)*2)*3</f>
        <v>146.6</v>
      </c>
      <c r="F12" s="28"/>
      <c r="G12" s="29">
        <f t="shared" ref="G12:G14" si="0">F12*E12</f>
        <v>0</v>
      </c>
      <c r="H12" s="88">
        <v>0</v>
      </c>
      <c r="I12" s="28">
        <f t="shared" ref="I12:I14" si="1">H12*E12</f>
        <v>0</v>
      </c>
      <c r="J12" s="88">
        <v>0</v>
      </c>
      <c r="K12" s="29">
        <f t="shared" ref="K12:K14" si="2">J12*E12</f>
        <v>0</v>
      </c>
      <c r="L12" s="30">
        <f t="shared" ref="L12:L14" si="3">K12+I12+G12</f>
        <v>0</v>
      </c>
      <c r="M12" s="94"/>
    </row>
    <row r="13" spans="1:13" s="57" customFormat="1" ht="15" customHeight="1" x14ac:dyDescent="0.2">
      <c r="A13" s="91">
        <v>2</v>
      </c>
      <c r="B13" s="92" t="s">
        <v>161</v>
      </c>
      <c r="C13" s="95" t="s">
        <v>15</v>
      </c>
      <c r="D13" s="18"/>
      <c r="E13" s="27">
        <f>14.6*6+14.6*1.2*3</f>
        <v>140.16</v>
      </c>
      <c r="F13" s="28"/>
      <c r="G13" s="29">
        <f t="shared" si="0"/>
        <v>0</v>
      </c>
      <c r="H13" s="88">
        <v>0</v>
      </c>
      <c r="I13" s="28">
        <f t="shared" si="1"/>
        <v>0</v>
      </c>
      <c r="J13" s="88">
        <v>0</v>
      </c>
      <c r="K13" s="29">
        <f t="shared" si="2"/>
        <v>0</v>
      </c>
      <c r="L13" s="30">
        <f t="shared" si="3"/>
        <v>0</v>
      </c>
      <c r="M13" s="94"/>
    </row>
    <row r="14" spans="1:13" ht="24" x14ac:dyDescent="0.2">
      <c r="A14" s="24">
        <v>3</v>
      </c>
      <c r="B14" s="25" t="s">
        <v>154</v>
      </c>
      <c r="C14" s="95" t="s">
        <v>16</v>
      </c>
      <c r="D14" s="26">
        <v>1.28</v>
      </c>
      <c r="E14" s="27">
        <f>E13*0.6*D14</f>
        <v>107.64287999999999</v>
      </c>
      <c r="F14" s="28"/>
      <c r="G14" s="29">
        <f t="shared" si="0"/>
        <v>0</v>
      </c>
      <c r="H14" s="88">
        <v>0</v>
      </c>
      <c r="I14" s="28">
        <f t="shared" si="1"/>
        <v>0</v>
      </c>
      <c r="J14" s="88">
        <v>0</v>
      </c>
      <c r="K14" s="29">
        <f t="shared" si="2"/>
        <v>0</v>
      </c>
      <c r="L14" s="30">
        <f t="shared" si="3"/>
        <v>0</v>
      </c>
      <c r="M14" s="21"/>
    </row>
    <row r="15" spans="1:13" ht="15" customHeight="1" x14ac:dyDescent="0.2">
      <c r="A15" s="24">
        <v>4</v>
      </c>
      <c r="B15" s="25" t="s">
        <v>41</v>
      </c>
      <c r="C15" s="26" t="s">
        <v>16</v>
      </c>
      <c r="D15" s="26">
        <v>1.28</v>
      </c>
      <c r="E15" s="27">
        <f>E13*0.05*D15</f>
        <v>8.9702400000000004</v>
      </c>
      <c r="F15" s="28"/>
      <c r="G15" s="29">
        <f t="shared" ref="G15:G17" si="4">F15*E15</f>
        <v>0</v>
      </c>
      <c r="H15" s="88">
        <v>0</v>
      </c>
      <c r="I15" s="28">
        <f>H15*E15</f>
        <v>0</v>
      </c>
      <c r="J15" s="29"/>
      <c r="K15" s="29">
        <f t="shared" ref="K15:K17" si="5">J15*E15</f>
        <v>0</v>
      </c>
      <c r="L15" s="30">
        <f t="shared" ref="L15:L17" si="6">K15+I15+G15</f>
        <v>0</v>
      </c>
      <c r="M15" s="21"/>
    </row>
    <row r="16" spans="1:13" ht="17.25" customHeight="1" x14ac:dyDescent="0.2">
      <c r="A16" s="24">
        <v>5</v>
      </c>
      <c r="B16" s="25" t="s">
        <v>42</v>
      </c>
      <c r="C16" s="31" t="s">
        <v>35</v>
      </c>
      <c r="D16" s="26">
        <v>1.95</v>
      </c>
      <c r="E16" s="27">
        <f>(E13*0.1+E14+E15)*D16</f>
        <v>254.72678399999998</v>
      </c>
      <c r="F16" s="28"/>
      <c r="G16" s="29">
        <f t="shared" si="4"/>
        <v>0</v>
      </c>
      <c r="H16" s="88">
        <v>0</v>
      </c>
      <c r="I16" s="28">
        <f t="shared" ref="I16:I17" si="7">H16*E16</f>
        <v>0</v>
      </c>
      <c r="J16" s="88">
        <v>0</v>
      </c>
      <c r="K16" s="29">
        <f t="shared" si="5"/>
        <v>0</v>
      </c>
      <c r="L16" s="30">
        <f t="shared" si="6"/>
        <v>0</v>
      </c>
      <c r="M16" s="21"/>
    </row>
    <row r="17" spans="1:14" ht="12.75" x14ac:dyDescent="0.2">
      <c r="A17" s="24">
        <v>6</v>
      </c>
      <c r="B17" s="25" t="s">
        <v>43</v>
      </c>
      <c r="C17" s="31" t="s">
        <v>15</v>
      </c>
      <c r="D17" s="26"/>
      <c r="E17" s="27">
        <f>E13</f>
        <v>140.16</v>
      </c>
      <c r="F17" s="28"/>
      <c r="G17" s="29">
        <f t="shared" si="4"/>
        <v>0</v>
      </c>
      <c r="H17" s="88">
        <v>0</v>
      </c>
      <c r="I17" s="28">
        <f t="shared" si="7"/>
        <v>0</v>
      </c>
      <c r="J17" s="88">
        <v>0</v>
      </c>
      <c r="K17" s="29">
        <f t="shared" si="5"/>
        <v>0</v>
      </c>
      <c r="L17" s="30">
        <f t="shared" si="6"/>
        <v>0</v>
      </c>
      <c r="N17" s="21"/>
    </row>
    <row r="18" spans="1:14" ht="12.75" x14ac:dyDescent="0.2">
      <c r="A18" s="24">
        <v>7</v>
      </c>
      <c r="B18" s="25" t="s">
        <v>156</v>
      </c>
      <c r="C18" s="31" t="s">
        <v>16</v>
      </c>
      <c r="D18" s="26"/>
      <c r="E18" s="27">
        <f>E17*0.3*1.25</f>
        <v>52.559999999999995</v>
      </c>
      <c r="F18" s="88">
        <v>0</v>
      </c>
      <c r="G18" s="29">
        <f t="shared" ref="G18" si="8">F18*E18</f>
        <v>0</v>
      </c>
      <c r="H18" s="88">
        <v>0</v>
      </c>
      <c r="I18" s="28">
        <f t="shared" ref="I18" si="9">H18*E18</f>
        <v>0</v>
      </c>
      <c r="J18" s="88">
        <v>0</v>
      </c>
      <c r="K18" s="29">
        <f t="shared" ref="K18" si="10">J18*E18</f>
        <v>0</v>
      </c>
      <c r="L18" s="30">
        <f t="shared" ref="L18" si="11">K18+I18+G18</f>
        <v>0</v>
      </c>
      <c r="N18" s="21"/>
    </row>
    <row r="19" spans="1:14" ht="21.75" customHeight="1" x14ac:dyDescent="0.2">
      <c r="A19" s="32"/>
      <c r="B19" s="47" t="s">
        <v>110</v>
      </c>
      <c r="C19" s="225"/>
      <c r="D19" s="226"/>
      <c r="E19" s="226"/>
      <c r="F19" s="226"/>
      <c r="G19" s="226"/>
      <c r="H19" s="226"/>
      <c r="I19" s="226"/>
      <c r="J19" s="226"/>
      <c r="K19" s="226"/>
      <c r="L19" s="227"/>
      <c r="N19" s="21"/>
    </row>
    <row r="20" spans="1:14" ht="25.5" customHeight="1" x14ac:dyDescent="0.2">
      <c r="A20" s="24">
        <v>8</v>
      </c>
      <c r="B20" s="34" t="s">
        <v>157</v>
      </c>
      <c r="C20" s="35" t="s">
        <v>16</v>
      </c>
      <c r="D20" s="26"/>
      <c r="E20" s="27">
        <f>E17*0.1*1.25</f>
        <v>17.52</v>
      </c>
      <c r="F20" s="88">
        <v>0</v>
      </c>
      <c r="G20" s="29">
        <f>F20*E20</f>
        <v>0</v>
      </c>
      <c r="H20" s="88">
        <v>0</v>
      </c>
      <c r="I20" s="28">
        <f t="shared" ref="I20:I26" si="12">H20*E20</f>
        <v>0</v>
      </c>
      <c r="J20" s="88">
        <v>0</v>
      </c>
      <c r="K20" s="28">
        <f>J20*E20</f>
        <v>0</v>
      </c>
      <c r="L20" s="30">
        <f t="shared" ref="L20:L26" si="13">K20+I20+G20</f>
        <v>0</v>
      </c>
      <c r="N20" s="21"/>
    </row>
    <row r="21" spans="1:14" ht="24" x14ac:dyDescent="0.2">
      <c r="A21" s="96">
        <v>9</v>
      </c>
      <c r="B21" s="97" t="s">
        <v>158</v>
      </c>
      <c r="C21" s="98" t="s">
        <v>16</v>
      </c>
      <c r="D21" s="99"/>
      <c r="E21" s="100">
        <f>E17*0.1</f>
        <v>14.016</v>
      </c>
      <c r="F21" s="99"/>
      <c r="G21" s="101"/>
      <c r="H21" s="99"/>
      <c r="I21" s="101"/>
      <c r="J21" s="99"/>
      <c r="K21" s="101"/>
      <c r="L21" s="102"/>
      <c r="N21" s="21"/>
    </row>
    <row r="22" spans="1:14" s="43" customFormat="1" ht="12.75" x14ac:dyDescent="0.25">
      <c r="A22" s="37">
        <v>9.1</v>
      </c>
      <c r="B22" s="38" t="s">
        <v>46</v>
      </c>
      <c r="C22" s="39" t="s">
        <v>15</v>
      </c>
      <c r="D22" s="39"/>
      <c r="E22" s="40">
        <f>E17</f>
        <v>140.16</v>
      </c>
      <c r="F22" s="41"/>
      <c r="G22" s="29">
        <f t="shared" ref="G22:G26" si="14">F22*E22</f>
        <v>0</v>
      </c>
      <c r="H22" s="88">
        <v>0</v>
      </c>
      <c r="I22" s="28">
        <f t="shared" si="12"/>
        <v>0</v>
      </c>
      <c r="J22" s="42"/>
      <c r="K22" s="28">
        <f t="shared" ref="K22:K26" si="15">J22*E22</f>
        <v>0</v>
      </c>
      <c r="L22" s="30">
        <f t="shared" si="13"/>
        <v>0</v>
      </c>
      <c r="N22" s="44"/>
    </row>
    <row r="23" spans="1:14" s="43" customFormat="1" ht="12.75" x14ac:dyDescent="0.25">
      <c r="A23" s="37">
        <v>9.1999999999999993</v>
      </c>
      <c r="B23" s="38" t="s">
        <v>47</v>
      </c>
      <c r="C23" s="39" t="s">
        <v>16</v>
      </c>
      <c r="D23" s="39"/>
      <c r="E23" s="40">
        <f>E22*0.1</f>
        <v>14.016</v>
      </c>
      <c r="F23" s="41"/>
      <c r="G23" s="29">
        <f t="shared" si="14"/>
        <v>0</v>
      </c>
      <c r="H23" s="41"/>
      <c r="I23" s="28">
        <f t="shared" si="12"/>
        <v>0</v>
      </c>
      <c r="J23" s="88">
        <v>0</v>
      </c>
      <c r="K23" s="28">
        <f t="shared" si="15"/>
        <v>0</v>
      </c>
      <c r="L23" s="30">
        <f t="shared" si="13"/>
        <v>0</v>
      </c>
      <c r="N23" s="44"/>
    </row>
    <row r="24" spans="1:14" s="106" customFormat="1" ht="12.75" x14ac:dyDescent="0.25">
      <c r="A24" s="103"/>
      <c r="B24" s="104" t="s">
        <v>169</v>
      </c>
      <c r="C24" s="105"/>
      <c r="D24" s="105"/>
      <c r="E24" s="60"/>
      <c r="F24" s="42"/>
      <c r="G24" s="29"/>
      <c r="H24" s="42"/>
      <c r="I24" s="29"/>
      <c r="J24" s="29"/>
      <c r="K24" s="29"/>
      <c r="L24" s="30"/>
      <c r="N24" s="107"/>
    </row>
    <row r="25" spans="1:14" s="43" customFormat="1" ht="12.75" x14ac:dyDescent="0.25">
      <c r="A25" s="37">
        <v>9.3000000000000007</v>
      </c>
      <c r="B25" s="38" t="s">
        <v>325</v>
      </c>
      <c r="C25" s="39" t="s">
        <v>16</v>
      </c>
      <c r="D25" s="39">
        <v>1.02</v>
      </c>
      <c r="E25" s="40">
        <f>E22*0.1*D25</f>
        <v>14.29632</v>
      </c>
      <c r="F25" s="88">
        <v>0</v>
      </c>
      <c r="G25" s="29">
        <f t="shared" si="14"/>
        <v>0</v>
      </c>
      <c r="H25" s="41"/>
      <c r="I25" s="28">
        <f t="shared" si="12"/>
        <v>0</v>
      </c>
      <c r="J25" s="42"/>
      <c r="K25" s="28">
        <f t="shared" si="15"/>
        <v>0</v>
      </c>
      <c r="L25" s="30">
        <f t="shared" si="13"/>
        <v>0</v>
      </c>
      <c r="N25" s="44"/>
    </row>
    <row r="26" spans="1:14" ht="26.25" customHeight="1" x14ac:dyDescent="0.2">
      <c r="A26" s="24">
        <v>10</v>
      </c>
      <c r="B26" s="34" t="s">
        <v>160</v>
      </c>
      <c r="C26" s="35" t="s">
        <v>15</v>
      </c>
      <c r="D26" s="26">
        <v>1.2</v>
      </c>
      <c r="E26" s="108">
        <f>(E17+E12*0.25)*1.2</f>
        <v>212.172</v>
      </c>
      <c r="F26" s="88">
        <v>0</v>
      </c>
      <c r="G26" s="29">
        <f t="shared" si="14"/>
        <v>0</v>
      </c>
      <c r="H26" s="88">
        <v>0</v>
      </c>
      <c r="I26" s="28">
        <f t="shared" si="12"/>
        <v>0</v>
      </c>
      <c r="J26" s="88">
        <v>0</v>
      </c>
      <c r="K26" s="28">
        <f t="shared" si="15"/>
        <v>0</v>
      </c>
      <c r="L26" s="30">
        <f t="shared" si="13"/>
        <v>0</v>
      </c>
      <c r="N26" s="21"/>
    </row>
    <row r="27" spans="1:14" ht="42" customHeight="1" x14ac:dyDescent="0.2">
      <c r="A27" s="45">
        <v>11</v>
      </c>
      <c r="B27" s="46" t="s">
        <v>205</v>
      </c>
      <c r="C27" s="35" t="s">
        <v>20</v>
      </c>
      <c r="D27" s="26"/>
      <c r="E27" s="108">
        <v>1</v>
      </c>
      <c r="F27" s="29"/>
      <c r="G27" s="29">
        <f t="shared" ref="G27" si="16">F27*E27</f>
        <v>0</v>
      </c>
      <c r="H27" s="88">
        <v>0</v>
      </c>
      <c r="I27" s="28">
        <f t="shared" ref="I27" si="17">H27*E27</f>
        <v>0</v>
      </c>
      <c r="J27" s="88">
        <v>0</v>
      </c>
      <c r="K27" s="28">
        <f t="shared" ref="K27" si="18">J27*E27</f>
        <v>0</v>
      </c>
      <c r="L27" s="30">
        <f t="shared" ref="L27" si="19">K27+I27+G27</f>
        <v>0</v>
      </c>
      <c r="N27" s="21"/>
    </row>
    <row r="28" spans="1:14" ht="24.75" customHeight="1" x14ac:dyDescent="0.2">
      <c r="A28" s="22">
        <v>12</v>
      </c>
      <c r="B28" s="47" t="s">
        <v>280</v>
      </c>
      <c r="C28" s="48" t="s">
        <v>8</v>
      </c>
      <c r="D28" s="48"/>
      <c r="E28" s="49">
        <v>1</v>
      </c>
      <c r="F28" s="49"/>
      <c r="G28" s="49"/>
      <c r="H28" s="49"/>
      <c r="I28" s="49"/>
      <c r="J28" s="49"/>
      <c r="K28" s="49"/>
      <c r="L28" s="50"/>
      <c r="M28" s="21"/>
    </row>
    <row r="29" spans="1:14" ht="12.75" x14ac:dyDescent="0.2">
      <c r="A29" s="51">
        <v>12.1</v>
      </c>
      <c r="B29" s="38" t="s">
        <v>46</v>
      </c>
      <c r="C29" s="39" t="s">
        <v>16</v>
      </c>
      <c r="D29" s="39"/>
      <c r="E29" s="27">
        <f>14.6*6*0.25</f>
        <v>21.9</v>
      </c>
      <c r="F29" s="28"/>
      <c r="G29" s="29">
        <f t="shared" ref="G29:G36" si="20">F29*E29</f>
        <v>0</v>
      </c>
      <c r="H29" s="88">
        <v>0</v>
      </c>
      <c r="I29" s="28">
        <f>H29*E29</f>
        <v>0</v>
      </c>
      <c r="J29" s="28"/>
      <c r="K29" s="28">
        <f>J29*E29</f>
        <v>0</v>
      </c>
      <c r="L29" s="30">
        <f>K29+I29+G29</f>
        <v>0</v>
      </c>
      <c r="M29" s="21"/>
    </row>
    <row r="30" spans="1:14" ht="12.75" x14ac:dyDescent="0.2">
      <c r="A30" s="51">
        <v>12.2</v>
      </c>
      <c r="B30" s="38" t="s">
        <v>47</v>
      </c>
      <c r="C30" s="39" t="s">
        <v>16</v>
      </c>
      <c r="D30" s="39"/>
      <c r="E30" s="27">
        <f>E29</f>
        <v>21.9</v>
      </c>
      <c r="F30" s="28"/>
      <c r="G30" s="29">
        <f t="shared" si="20"/>
        <v>0</v>
      </c>
      <c r="H30" s="29"/>
      <c r="I30" s="28">
        <f t="shared" ref="I30:I39" si="21">H30*E30</f>
        <v>0</v>
      </c>
      <c r="J30" s="88">
        <v>0</v>
      </c>
      <c r="K30" s="28">
        <f>J30*E30</f>
        <v>0</v>
      </c>
      <c r="L30" s="30">
        <f t="shared" ref="L30:L39" si="22">K30+I30+G30</f>
        <v>0</v>
      </c>
      <c r="N30" s="21"/>
    </row>
    <row r="31" spans="1:14" ht="12.75" x14ac:dyDescent="0.2">
      <c r="A31" s="51">
        <v>12.3</v>
      </c>
      <c r="B31" s="38" t="s">
        <v>97</v>
      </c>
      <c r="C31" s="39" t="s">
        <v>15</v>
      </c>
      <c r="D31" s="39"/>
      <c r="E31" s="27">
        <v>87.6</v>
      </c>
      <c r="F31" s="28"/>
      <c r="G31" s="29">
        <f t="shared" ref="G31" si="23">F31*E31</f>
        <v>0</v>
      </c>
      <c r="H31" s="88">
        <v>0</v>
      </c>
      <c r="I31" s="28">
        <f>H31*E31</f>
        <v>0</v>
      </c>
      <c r="J31" s="29"/>
      <c r="K31" s="28">
        <f>J31*E31</f>
        <v>0</v>
      </c>
      <c r="L31" s="30">
        <f>K31+I31+G31</f>
        <v>0</v>
      </c>
      <c r="N31" s="21"/>
    </row>
    <row r="32" spans="1:14" ht="12.75" x14ac:dyDescent="0.2">
      <c r="A32" s="51">
        <v>12.4</v>
      </c>
      <c r="B32" s="38" t="s">
        <v>211</v>
      </c>
      <c r="C32" s="39" t="s">
        <v>62</v>
      </c>
      <c r="D32" s="26"/>
      <c r="E32" s="27">
        <v>31.2</v>
      </c>
      <c r="F32" s="28"/>
      <c r="G32" s="29">
        <f t="shared" si="20"/>
        <v>0</v>
      </c>
      <c r="H32" s="88">
        <v>0</v>
      </c>
      <c r="I32" s="28">
        <f>H32*E32</f>
        <v>0</v>
      </c>
      <c r="J32" s="29"/>
      <c r="K32" s="28">
        <f>J32*E32</f>
        <v>0</v>
      </c>
      <c r="L32" s="30">
        <f>K32+I32+G32</f>
        <v>0</v>
      </c>
      <c r="N32" s="21"/>
    </row>
    <row r="33" spans="1:14" ht="12.75" x14ac:dyDescent="0.2">
      <c r="A33" s="51">
        <v>12.5</v>
      </c>
      <c r="B33" s="38" t="s">
        <v>210</v>
      </c>
      <c r="C33" s="39" t="s">
        <v>21</v>
      </c>
      <c r="D33" s="26"/>
      <c r="E33" s="27">
        <v>1</v>
      </c>
      <c r="F33" s="28"/>
      <c r="G33" s="29">
        <f t="shared" si="20"/>
        <v>0</v>
      </c>
      <c r="H33" s="29"/>
      <c r="I33" s="28">
        <f t="shared" ref="I33" si="24">H33*E33</f>
        <v>0</v>
      </c>
      <c r="J33" s="88">
        <v>0</v>
      </c>
      <c r="K33" s="28">
        <f>J33*E33</f>
        <v>0</v>
      </c>
      <c r="L33" s="30">
        <f t="shared" ref="L33" si="25">K33+I33+G33</f>
        <v>0</v>
      </c>
      <c r="N33" s="21"/>
    </row>
    <row r="34" spans="1:14" ht="12.75" x14ac:dyDescent="0.2">
      <c r="A34" s="51"/>
      <c r="B34" s="38" t="s">
        <v>169</v>
      </c>
      <c r="C34" s="39"/>
      <c r="D34" s="39"/>
      <c r="E34" s="27"/>
      <c r="F34" s="28"/>
      <c r="G34" s="29"/>
      <c r="H34" s="29"/>
      <c r="I34" s="28"/>
      <c r="J34" s="29"/>
      <c r="K34" s="28"/>
      <c r="L34" s="30"/>
      <c r="N34" s="21"/>
    </row>
    <row r="35" spans="1:14" ht="12.75" x14ac:dyDescent="0.2">
      <c r="A35" s="51">
        <v>12.6</v>
      </c>
      <c r="B35" s="38" t="s">
        <v>48</v>
      </c>
      <c r="C35" s="39" t="s">
        <v>16</v>
      </c>
      <c r="D35" s="39">
        <v>1.02</v>
      </c>
      <c r="E35" s="27">
        <f>E30*D35</f>
        <v>22.337999999999997</v>
      </c>
      <c r="F35" s="88">
        <v>0</v>
      </c>
      <c r="G35" s="29">
        <f t="shared" si="20"/>
        <v>0</v>
      </c>
      <c r="H35" s="28"/>
      <c r="I35" s="28">
        <f t="shared" si="21"/>
        <v>0</v>
      </c>
      <c r="J35" s="29"/>
      <c r="K35" s="28">
        <f t="shared" ref="K35:K39" si="26">J35*E35</f>
        <v>0</v>
      </c>
      <c r="L35" s="30">
        <f t="shared" si="22"/>
        <v>0</v>
      </c>
      <c r="N35" s="21"/>
    </row>
    <row r="36" spans="1:14" ht="12.75" x14ac:dyDescent="0.2">
      <c r="A36" s="51">
        <v>12.7</v>
      </c>
      <c r="B36" s="38" t="s">
        <v>162</v>
      </c>
      <c r="C36" s="39" t="s">
        <v>49</v>
      </c>
      <c r="D36" s="39"/>
      <c r="E36" s="27">
        <f>2652*1.21*1.03/1000</f>
        <v>3.3051876</v>
      </c>
      <c r="F36" s="88">
        <v>0</v>
      </c>
      <c r="G36" s="29">
        <f t="shared" si="20"/>
        <v>0</v>
      </c>
      <c r="H36" s="28"/>
      <c r="I36" s="28">
        <f t="shared" si="21"/>
        <v>0</v>
      </c>
      <c r="J36" s="28"/>
      <c r="K36" s="28">
        <f t="shared" si="26"/>
        <v>0</v>
      </c>
      <c r="L36" s="30">
        <f t="shared" si="22"/>
        <v>0</v>
      </c>
      <c r="N36" s="3"/>
    </row>
    <row r="37" spans="1:14" ht="12.75" x14ac:dyDescent="0.2">
      <c r="A37" s="51">
        <v>12.8</v>
      </c>
      <c r="B37" s="38" t="s">
        <v>64</v>
      </c>
      <c r="C37" s="39" t="s">
        <v>49</v>
      </c>
      <c r="D37" s="39"/>
      <c r="E37" s="27">
        <f>345*0.395*1.03/1000</f>
        <v>0.14036325000000002</v>
      </c>
      <c r="F37" s="88">
        <v>0</v>
      </c>
      <c r="G37" s="29">
        <f t="shared" ref="G37" si="27">F37*E37</f>
        <v>0</v>
      </c>
      <c r="H37" s="28"/>
      <c r="I37" s="28">
        <f t="shared" ref="I37" si="28">H37*E37</f>
        <v>0</v>
      </c>
      <c r="J37" s="28"/>
      <c r="K37" s="28">
        <f t="shared" ref="K37" si="29">J37*E37</f>
        <v>0</v>
      </c>
      <c r="L37" s="30">
        <f t="shared" ref="L37" si="30">K37+I37+G37</f>
        <v>0</v>
      </c>
      <c r="N37" s="3"/>
    </row>
    <row r="38" spans="1:14" ht="12.75" x14ac:dyDescent="0.2">
      <c r="A38" s="51">
        <v>12.9</v>
      </c>
      <c r="B38" s="38" t="s">
        <v>212</v>
      </c>
      <c r="C38" s="39" t="s">
        <v>8</v>
      </c>
      <c r="D38" s="26"/>
      <c r="E38" s="52">
        <v>25</v>
      </c>
      <c r="F38" s="88">
        <v>0</v>
      </c>
      <c r="G38" s="29">
        <f t="shared" ref="G38" si="31">F38*E38</f>
        <v>0</v>
      </c>
      <c r="H38" s="28"/>
      <c r="I38" s="28">
        <f t="shared" ref="I38" si="32">H38*E38</f>
        <v>0</v>
      </c>
      <c r="J38" s="28"/>
      <c r="K38" s="28">
        <f t="shared" ref="K38" si="33">J38*E38</f>
        <v>0</v>
      </c>
      <c r="L38" s="30">
        <f t="shared" ref="L38" si="34">K38+I38+G38</f>
        <v>0</v>
      </c>
      <c r="N38" s="21"/>
    </row>
    <row r="39" spans="1:14" ht="13.5" customHeight="1" x14ac:dyDescent="0.2">
      <c r="A39" s="109">
        <v>12.1</v>
      </c>
      <c r="B39" s="38" t="s">
        <v>163</v>
      </c>
      <c r="C39" s="39" t="s">
        <v>10</v>
      </c>
      <c r="D39" s="39"/>
      <c r="E39" s="27">
        <v>1</v>
      </c>
      <c r="F39" s="88">
        <v>0</v>
      </c>
      <c r="G39" s="29">
        <f>F39*E39</f>
        <v>0</v>
      </c>
      <c r="H39" s="28"/>
      <c r="I39" s="28">
        <f t="shared" si="21"/>
        <v>0</v>
      </c>
      <c r="J39" s="28"/>
      <c r="K39" s="28">
        <f t="shared" si="26"/>
        <v>0</v>
      </c>
      <c r="L39" s="30">
        <f t="shared" si="22"/>
        <v>0</v>
      </c>
      <c r="N39" s="21"/>
    </row>
    <row r="40" spans="1:14" ht="26.25" customHeight="1" x14ac:dyDescent="0.2">
      <c r="A40" s="22">
        <v>13</v>
      </c>
      <c r="B40" s="47" t="s">
        <v>281</v>
      </c>
      <c r="C40" s="33" t="s">
        <v>8</v>
      </c>
      <c r="D40" s="33"/>
      <c r="E40" s="49">
        <v>3</v>
      </c>
      <c r="F40" s="49"/>
      <c r="G40" s="49"/>
      <c r="H40" s="49"/>
      <c r="I40" s="49"/>
      <c r="J40" s="49"/>
      <c r="K40" s="49"/>
      <c r="L40" s="50"/>
      <c r="M40" s="21"/>
    </row>
    <row r="41" spans="1:14" ht="12.75" x14ac:dyDescent="0.2">
      <c r="A41" s="51">
        <v>13.1</v>
      </c>
      <c r="B41" s="38" t="s">
        <v>46</v>
      </c>
      <c r="C41" s="39" t="s">
        <v>16</v>
      </c>
      <c r="D41" s="26"/>
      <c r="E41" s="27">
        <f>14.6*1.2*3*0.25</f>
        <v>13.14</v>
      </c>
      <c r="F41" s="28"/>
      <c r="G41" s="29">
        <f t="shared" ref="G41:G52" si="35">F41*E41</f>
        <v>0</v>
      </c>
      <c r="H41" s="88">
        <v>0</v>
      </c>
      <c r="I41" s="28">
        <f>H41*E41</f>
        <v>0</v>
      </c>
      <c r="J41" s="29"/>
      <c r="K41" s="28">
        <f>J41*E41</f>
        <v>0</v>
      </c>
      <c r="L41" s="30">
        <f>K41+I41+G41</f>
        <v>0</v>
      </c>
      <c r="M41" s="21"/>
    </row>
    <row r="42" spans="1:14" ht="12.75" x14ac:dyDescent="0.2">
      <c r="A42" s="51">
        <v>13.2</v>
      </c>
      <c r="B42" s="38" t="s">
        <v>47</v>
      </c>
      <c r="C42" s="39" t="s">
        <v>16</v>
      </c>
      <c r="D42" s="26"/>
      <c r="E42" s="27">
        <f>E41</f>
        <v>13.14</v>
      </c>
      <c r="F42" s="28"/>
      <c r="G42" s="29">
        <f t="shared" si="35"/>
        <v>0</v>
      </c>
      <c r="H42" s="29"/>
      <c r="I42" s="28">
        <f t="shared" ref="I42:I52" si="36">H42*E42</f>
        <v>0</v>
      </c>
      <c r="J42" s="88">
        <v>0</v>
      </c>
      <c r="K42" s="28">
        <f>J42*E42</f>
        <v>0</v>
      </c>
      <c r="L42" s="30">
        <f t="shared" ref="L42:L52" si="37">K42+I42+G42</f>
        <v>0</v>
      </c>
      <c r="N42" s="21"/>
    </row>
    <row r="43" spans="1:14" ht="12.75" x14ac:dyDescent="0.2">
      <c r="A43" s="51">
        <v>12.3</v>
      </c>
      <c r="B43" s="38" t="s">
        <v>97</v>
      </c>
      <c r="C43" s="39" t="s">
        <v>15</v>
      </c>
      <c r="D43" s="39"/>
      <c r="E43" s="27">
        <v>52.6</v>
      </c>
      <c r="F43" s="28"/>
      <c r="G43" s="29">
        <f t="shared" si="35"/>
        <v>0</v>
      </c>
      <c r="H43" s="88">
        <v>0</v>
      </c>
      <c r="I43" s="28">
        <f>H43*E43</f>
        <v>0</v>
      </c>
      <c r="J43" s="29"/>
      <c r="K43" s="28">
        <f>J43*E43</f>
        <v>0</v>
      </c>
      <c r="L43" s="30">
        <f>K43+I43+G43</f>
        <v>0</v>
      </c>
      <c r="N43" s="21"/>
    </row>
    <row r="44" spans="1:14" ht="12.75" x14ac:dyDescent="0.2">
      <c r="A44" s="51">
        <v>13.4</v>
      </c>
      <c r="B44" s="38" t="s">
        <v>211</v>
      </c>
      <c r="C44" s="39" t="s">
        <v>62</v>
      </c>
      <c r="D44" s="26"/>
      <c r="E44" s="27">
        <v>14.1</v>
      </c>
      <c r="F44" s="28"/>
      <c r="G44" s="29">
        <f t="shared" ref="G44" si="38">F44*E44</f>
        <v>0</v>
      </c>
      <c r="H44" s="88">
        <v>0</v>
      </c>
      <c r="I44" s="28">
        <f>H44*E44</f>
        <v>0</v>
      </c>
      <c r="J44" s="29"/>
      <c r="K44" s="28">
        <f>J44*E44</f>
        <v>0</v>
      </c>
      <c r="L44" s="30">
        <f>K44+I44+G44</f>
        <v>0</v>
      </c>
      <c r="N44" s="21"/>
    </row>
    <row r="45" spans="1:14" ht="12.75" x14ac:dyDescent="0.2">
      <c r="A45" s="51">
        <v>13.5</v>
      </c>
      <c r="B45" s="38" t="s">
        <v>210</v>
      </c>
      <c r="C45" s="39" t="s">
        <v>21</v>
      </c>
      <c r="D45" s="26"/>
      <c r="E45" s="27">
        <v>1</v>
      </c>
      <c r="F45" s="28"/>
      <c r="G45" s="29">
        <f t="shared" ref="G45" si="39">F45*E45</f>
        <v>0</v>
      </c>
      <c r="H45" s="29"/>
      <c r="I45" s="28">
        <f t="shared" ref="I45" si="40">H45*E45</f>
        <v>0</v>
      </c>
      <c r="J45" s="88">
        <v>0</v>
      </c>
      <c r="K45" s="28">
        <f>J45*E45</f>
        <v>0</v>
      </c>
      <c r="L45" s="30">
        <f t="shared" ref="L45" si="41">K45+I45+G45</f>
        <v>0</v>
      </c>
      <c r="N45" s="21"/>
    </row>
    <row r="46" spans="1:14" ht="12.75" x14ac:dyDescent="0.2">
      <c r="A46" s="51"/>
      <c r="B46" s="38" t="s">
        <v>169</v>
      </c>
      <c r="C46" s="39"/>
      <c r="D46" s="26"/>
      <c r="E46" s="27"/>
      <c r="F46" s="28"/>
      <c r="G46" s="29"/>
      <c r="H46" s="29"/>
      <c r="I46" s="28"/>
      <c r="J46" s="29"/>
      <c r="K46" s="28"/>
      <c r="L46" s="30"/>
      <c r="N46" s="21"/>
    </row>
    <row r="47" spans="1:14" ht="12.75" x14ac:dyDescent="0.2">
      <c r="A47" s="51">
        <v>13.6</v>
      </c>
      <c r="B47" s="38" t="s">
        <v>48</v>
      </c>
      <c r="C47" s="39" t="s">
        <v>16</v>
      </c>
      <c r="D47" s="26">
        <v>1.02</v>
      </c>
      <c r="E47" s="27">
        <f>E41*D47</f>
        <v>13.402800000000001</v>
      </c>
      <c r="F47" s="88">
        <v>0</v>
      </c>
      <c r="G47" s="29">
        <f t="shared" si="35"/>
        <v>0</v>
      </c>
      <c r="H47" s="29"/>
      <c r="I47" s="28">
        <f t="shared" si="36"/>
        <v>0</v>
      </c>
      <c r="J47" s="29"/>
      <c r="K47" s="28">
        <f t="shared" ref="K47:K52" si="42">J47*E47</f>
        <v>0</v>
      </c>
      <c r="L47" s="30">
        <f t="shared" si="37"/>
        <v>0</v>
      </c>
      <c r="N47" s="3"/>
    </row>
    <row r="48" spans="1:14" ht="12.75" x14ac:dyDescent="0.2">
      <c r="A48" s="51">
        <v>13.7</v>
      </c>
      <c r="B48" s="38" t="s">
        <v>162</v>
      </c>
      <c r="C48" s="39" t="s">
        <v>49</v>
      </c>
      <c r="D48" s="26"/>
      <c r="E48" s="52">
        <f>1248*1.21*1.03/1000</f>
        <v>1.5553824000000001</v>
      </c>
      <c r="F48" s="88">
        <v>0</v>
      </c>
      <c r="G48" s="29">
        <f t="shared" si="35"/>
        <v>0</v>
      </c>
      <c r="H48" s="28"/>
      <c r="I48" s="28">
        <f t="shared" si="36"/>
        <v>0</v>
      </c>
      <c r="J48" s="28"/>
      <c r="K48" s="28">
        <f t="shared" si="42"/>
        <v>0</v>
      </c>
      <c r="L48" s="30">
        <f t="shared" si="37"/>
        <v>0</v>
      </c>
      <c r="N48" s="21"/>
    </row>
    <row r="49" spans="1:14" ht="12.75" x14ac:dyDescent="0.2">
      <c r="A49" s="51">
        <v>13.8</v>
      </c>
      <c r="B49" s="38" t="s">
        <v>64</v>
      </c>
      <c r="C49" s="39" t="s">
        <v>49</v>
      </c>
      <c r="D49" s="26"/>
      <c r="E49" s="52">
        <f>136*0.395*1.03/1000</f>
        <v>5.5331600000000002E-2</v>
      </c>
      <c r="F49" s="88">
        <v>0</v>
      </c>
      <c r="G49" s="29">
        <f>F49*E49</f>
        <v>0</v>
      </c>
      <c r="H49" s="28"/>
      <c r="I49" s="28">
        <f>H49*E49</f>
        <v>0</v>
      </c>
      <c r="J49" s="28"/>
      <c r="K49" s="28">
        <f>J49*E49</f>
        <v>0</v>
      </c>
      <c r="L49" s="30">
        <f>K49+I49+G49</f>
        <v>0</v>
      </c>
      <c r="N49" s="21"/>
    </row>
    <row r="50" spans="1:14" ht="12.75" x14ac:dyDescent="0.2">
      <c r="A50" s="51">
        <v>13.9</v>
      </c>
      <c r="B50" s="38" t="s">
        <v>212</v>
      </c>
      <c r="C50" s="39" t="s">
        <v>8</v>
      </c>
      <c r="D50" s="26"/>
      <c r="E50" s="52">
        <v>11</v>
      </c>
      <c r="F50" s="88">
        <v>0</v>
      </c>
      <c r="G50" s="29">
        <f t="shared" ref="G50" si="43">F50*E50</f>
        <v>0</v>
      </c>
      <c r="H50" s="28"/>
      <c r="I50" s="28">
        <f t="shared" ref="I50" si="44">H50*E50</f>
        <v>0</v>
      </c>
      <c r="J50" s="28"/>
      <c r="K50" s="28">
        <f t="shared" ref="K50" si="45">J50*E50</f>
        <v>0</v>
      </c>
      <c r="L50" s="30">
        <f t="shared" ref="L50" si="46">K50+I50+G50</f>
        <v>0</v>
      </c>
      <c r="N50" s="21"/>
    </row>
    <row r="51" spans="1:14" ht="12.75" x14ac:dyDescent="0.2">
      <c r="A51" s="109">
        <v>13.1</v>
      </c>
      <c r="B51" s="38" t="s">
        <v>163</v>
      </c>
      <c r="C51" s="39" t="s">
        <v>10</v>
      </c>
      <c r="D51" s="26"/>
      <c r="E51" s="53">
        <v>1</v>
      </c>
      <c r="F51" s="88">
        <v>0</v>
      </c>
      <c r="G51" s="29">
        <f t="shared" si="35"/>
        <v>0</v>
      </c>
      <c r="H51" s="28"/>
      <c r="I51" s="28">
        <f t="shared" si="36"/>
        <v>0</v>
      </c>
      <c r="J51" s="28"/>
      <c r="K51" s="28">
        <f t="shared" si="42"/>
        <v>0</v>
      </c>
      <c r="L51" s="30">
        <f t="shared" si="37"/>
        <v>0</v>
      </c>
      <c r="M51" s="21"/>
      <c r="N51" s="21"/>
    </row>
    <row r="52" spans="1:14" ht="17.25" customHeight="1" x14ac:dyDescent="0.25">
      <c r="A52" s="24">
        <v>14</v>
      </c>
      <c r="B52" s="25" t="s">
        <v>288</v>
      </c>
      <c r="C52" s="26" t="s">
        <v>20</v>
      </c>
      <c r="D52" s="64"/>
      <c r="E52" s="27">
        <v>1</v>
      </c>
      <c r="F52" s="89">
        <v>0</v>
      </c>
      <c r="G52" s="29">
        <f t="shared" si="35"/>
        <v>0</v>
      </c>
      <c r="H52" s="88">
        <v>0</v>
      </c>
      <c r="I52" s="29">
        <f t="shared" si="36"/>
        <v>0</v>
      </c>
      <c r="J52" s="89">
        <v>0</v>
      </c>
      <c r="K52" s="29">
        <f t="shared" si="42"/>
        <v>0</v>
      </c>
      <c r="L52" s="30">
        <f t="shared" si="37"/>
        <v>0</v>
      </c>
      <c r="M52" s="21"/>
    </row>
    <row r="53" spans="1:14" s="72" customFormat="1" x14ac:dyDescent="0.25">
      <c r="A53" s="22"/>
      <c r="B53" s="48" t="s">
        <v>7</v>
      </c>
      <c r="C53" s="69"/>
      <c r="D53" s="69"/>
      <c r="E53" s="49"/>
      <c r="F53" s="49"/>
      <c r="G53" s="70">
        <f>SUM(G12:G52)</f>
        <v>0</v>
      </c>
      <c r="H53" s="49"/>
      <c r="I53" s="70">
        <f>SUM(I12:I52)</f>
        <v>0</v>
      </c>
      <c r="J53" s="49"/>
      <c r="K53" s="70">
        <f>SUM(K12:K52)</f>
        <v>0</v>
      </c>
      <c r="L53" s="71">
        <f>SUM(L12:L52)</f>
        <v>0</v>
      </c>
    </row>
    <row r="54" spans="1:14" s="12" customFormat="1" x14ac:dyDescent="0.25">
      <c r="A54" s="73"/>
      <c r="B54" s="74" t="s">
        <v>18</v>
      </c>
      <c r="C54" s="90">
        <v>0</v>
      </c>
      <c r="D54" s="75"/>
      <c r="E54" s="76"/>
      <c r="F54" s="76"/>
      <c r="G54" s="76"/>
      <c r="H54" s="76"/>
      <c r="I54" s="76"/>
      <c r="J54" s="76"/>
      <c r="K54" s="76"/>
      <c r="L54" s="77">
        <f>C54*G53</f>
        <v>0</v>
      </c>
    </row>
    <row r="55" spans="1:14" s="12" customFormat="1" x14ac:dyDescent="0.25">
      <c r="A55" s="22"/>
      <c r="B55" s="48" t="s">
        <v>7</v>
      </c>
      <c r="C55" s="78"/>
      <c r="D55" s="78"/>
      <c r="E55" s="49"/>
      <c r="F55" s="49"/>
      <c r="G55" s="49"/>
      <c r="H55" s="49"/>
      <c r="I55" s="49"/>
      <c r="J55" s="49"/>
      <c r="K55" s="49"/>
      <c r="L55" s="71">
        <f>L54+L53</f>
        <v>0</v>
      </c>
    </row>
    <row r="56" spans="1:14" s="12" customFormat="1" x14ac:dyDescent="0.25">
      <c r="A56" s="73"/>
      <c r="B56" s="79" t="s">
        <v>11</v>
      </c>
      <c r="C56" s="90">
        <v>0</v>
      </c>
      <c r="D56" s="75"/>
      <c r="E56" s="76"/>
      <c r="F56" s="76"/>
      <c r="G56" s="76"/>
      <c r="H56" s="76"/>
      <c r="I56" s="76"/>
      <c r="J56" s="76"/>
      <c r="K56" s="76"/>
      <c r="L56" s="77">
        <f>L55*C56</f>
        <v>0</v>
      </c>
    </row>
    <row r="57" spans="1:14" s="12" customFormat="1" x14ac:dyDescent="0.25">
      <c r="A57" s="22"/>
      <c r="B57" s="48" t="s">
        <v>7</v>
      </c>
      <c r="C57" s="78"/>
      <c r="D57" s="78"/>
      <c r="E57" s="49"/>
      <c r="F57" s="49"/>
      <c r="G57" s="49"/>
      <c r="H57" s="49"/>
      <c r="I57" s="49"/>
      <c r="J57" s="49"/>
      <c r="K57" s="49"/>
      <c r="L57" s="71">
        <f>L56+L55</f>
        <v>0</v>
      </c>
    </row>
    <row r="58" spans="1:14" s="12" customFormat="1" x14ac:dyDescent="0.25">
      <c r="A58" s="73"/>
      <c r="B58" s="79" t="s">
        <v>12</v>
      </c>
      <c r="C58" s="90">
        <v>0</v>
      </c>
      <c r="D58" s="75"/>
      <c r="E58" s="76"/>
      <c r="F58" s="76"/>
      <c r="G58" s="76"/>
      <c r="H58" s="76"/>
      <c r="I58" s="76"/>
      <c r="J58" s="76"/>
      <c r="K58" s="76"/>
      <c r="L58" s="77">
        <f>L57*C58</f>
        <v>0</v>
      </c>
    </row>
    <row r="59" spans="1:14" s="12" customFormat="1" x14ac:dyDescent="0.25">
      <c r="A59" s="22"/>
      <c r="B59" s="48" t="s">
        <v>7</v>
      </c>
      <c r="C59" s="78"/>
      <c r="D59" s="78"/>
      <c r="E59" s="49"/>
      <c r="F59" s="49"/>
      <c r="G59" s="49"/>
      <c r="H59" s="49"/>
      <c r="I59" s="49"/>
      <c r="J59" s="49"/>
      <c r="K59" s="49"/>
      <c r="L59" s="71">
        <f>L57+L58</f>
        <v>0</v>
      </c>
    </row>
    <row r="60" spans="1:14" s="12" customFormat="1" x14ac:dyDescent="0.25">
      <c r="A60" s="73"/>
      <c r="B60" s="79" t="s">
        <v>13</v>
      </c>
      <c r="C60" s="90">
        <v>0</v>
      </c>
      <c r="D60" s="75"/>
      <c r="E60" s="76"/>
      <c r="F60" s="76"/>
      <c r="G60" s="76"/>
      <c r="H60" s="76"/>
      <c r="I60" s="76"/>
      <c r="J60" s="76"/>
      <c r="K60" s="76"/>
      <c r="L60" s="77">
        <f>L59*C60</f>
        <v>0</v>
      </c>
    </row>
    <row r="61" spans="1:14" s="12" customFormat="1" x14ac:dyDescent="0.25">
      <c r="A61" s="22"/>
      <c r="B61" s="48" t="s">
        <v>7</v>
      </c>
      <c r="C61" s="78"/>
      <c r="D61" s="78"/>
      <c r="E61" s="49"/>
      <c r="F61" s="49"/>
      <c r="G61" s="49"/>
      <c r="H61" s="49"/>
      <c r="I61" s="49"/>
      <c r="J61" s="49"/>
      <c r="K61" s="49"/>
      <c r="L61" s="71">
        <f>L59+L60</f>
        <v>0</v>
      </c>
    </row>
    <row r="62" spans="1:14" s="12" customFormat="1" x14ac:dyDescent="0.25">
      <c r="A62" s="73"/>
      <c r="B62" s="79" t="s">
        <v>14</v>
      </c>
      <c r="C62" s="90">
        <v>0</v>
      </c>
      <c r="D62" s="75"/>
      <c r="E62" s="76"/>
      <c r="F62" s="76"/>
      <c r="G62" s="76"/>
      <c r="H62" s="76"/>
      <c r="I62" s="76"/>
      <c r="J62" s="76"/>
      <c r="K62" s="76"/>
      <c r="L62" s="77">
        <f>L61*C62</f>
        <v>0</v>
      </c>
    </row>
    <row r="63" spans="1:14" s="12" customFormat="1" x14ac:dyDescent="0.25">
      <c r="A63" s="22"/>
      <c r="B63" s="48" t="s">
        <v>7</v>
      </c>
      <c r="C63" s="80"/>
      <c r="D63" s="80"/>
      <c r="E63" s="49"/>
      <c r="F63" s="49"/>
      <c r="G63" s="49"/>
      <c r="H63" s="49"/>
      <c r="I63" s="49"/>
      <c r="J63" s="49"/>
      <c r="K63" s="49"/>
      <c r="L63" s="71">
        <f>L61+L62</f>
        <v>0</v>
      </c>
    </row>
    <row r="64" spans="1:14" s="12" customFormat="1" x14ac:dyDescent="0.25">
      <c r="A64" s="73"/>
      <c r="B64" s="79" t="s">
        <v>19</v>
      </c>
      <c r="C64" s="90">
        <v>0</v>
      </c>
      <c r="D64" s="75"/>
      <c r="E64" s="76"/>
      <c r="F64" s="76"/>
      <c r="G64" s="76"/>
      <c r="H64" s="76"/>
      <c r="I64" s="76"/>
      <c r="J64" s="76"/>
      <c r="K64" s="76"/>
      <c r="L64" s="77">
        <f>L63*C64</f>
        <v>0</v>
      </c>
    </row>
    <row r="65" spans="1:13" s="12" customFormat="1" ht="12.75" thickBot="1" x14ac:dyDescent="0.3">
      <c r="A65" s="81"/>
      <c r="B65" s="82" t="s">
        <v>7</v>
      </c>
      <c r="C65" s="83"/>
      <c r="D65" s="83"/>
      <c r="E65" s="84"/>
      <c r="F65" s="84"/>
      <c r="G65" s="84"/>
      <c r="H65" s="84"/>
      <c r="I65" s="84"/>
      <c r="J65" s="84"/>
      <c r="K65" s="84"/>
      <c r="L65" s="85">
        <f>L63+L64</f>
        <v>0</v>
      </c>
    </row>
    <row r="66" spans="1:13" x14ac:dyDescent="0.2">
      <c r="L66" s="21"/>
      <c r="M66" s="21"/>
    </row>
    <row r="67" spans="1:13" x14ac:dyDescent="0.2">
      <c r="L67" s="21"/>
      <c r="M67" s="21"/>
    </row>
    <row r="68" spans="1:13" x14ac:dyDescent="0.2">
      <c r="K68" s="86"/>
      <c r="L68" s="87"/>
      <c r="M68" s="21"/>
    </row>
    <row r="70" spans="1:13" x14ac:dyDescent="0.2">
      <c r="E70" s="2"/>
    </row>
    <row r="71" spans="1:13" x14ac:dyDescent="0.2">
      <c r="E71" s="2"/>
    </row>
    <row r="72" spans="1:13" x14ac:dyDescent="0.2">
      <c r="E72" s="2"/>
    </row>
    <row r="73" spans="1:13" x14ac:dyDescent="0.2">
      <c r="E73" s="2"/>
    </row>
    <row r="74" spans="1:13" x14ac:dyDescent="0.2">
      <c r="E74" s="2"/>
    </row>
    <row r="75" spans="1:13" x14ac:dyDescent="0.2">
      <c r="E75" s="2"/>
    </row>
    <row r="76" spans="1:13" x14ac:dyDescent="0.2">
      <c r="E76" s="2"/>
    </row>
    <row r="77" spans="1:13" x14ac:dyDescent="0.2">
      <c r="E77" s="2"/>
    </row>
    <row r="78" spans="1:13" x14ac:dyDescent="0.2">
      <c r="E78" s="2"/>
    </row>
  </sheetData>
  <sheetProtection algorithmName="SHA-512" hashValue="QaUvjHgwf+Xuaw6LaUKcl1l6CqG2sy7cRs+qbNiEMEXXJs9yBEGgfnljVGR20OITEnlINfJVcExemPHHKVh0cw==" saltValue="U2OrvDnuszmUb+8aufZPrw==" spinCount="100000" sheet="1" objects="1" scenarios="1"/>
  <mergeCells count="10">
    <mergeCell ref="C19:L19"/>
    <mergeCell ref="J6:K6"/>
    <mergeCell ref="L6:L7"/>
    <mergeCell ref="C11:L11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122"/>
  <sheetViews>
    <sheetView zoomScaleNormal="100" workbookViewId="0">
      <selection activeCell="P11" sqref="P11"/>
    </sheetView>
  </sheetViews>
  <sheetFormatPr defaultColWidth="8.85546875" defaultRowHeight="12" x14ac:dyDescent="0.2"/>
  <cols>
    <col min="1" max="1" width="8.85546875" style="2"/>
    <col min="2" max="2" width="55.42578125" style="2" customWidth="1"/>
    <col min="3" max="3" width="13.710937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4" ht="27" customHeight="1" x14ac:dyDescent="0.2"/>
    <row r="3" spans="1:14" ht="16.5" customHeight="1" x14ac:dyDescent="0.2"/>
    <row r="5" spans="1:14" ht="18" customHeight="1" thickBot="1" x14ac:dyDescent="0.25"/>
    <row r="6" spans="1:14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4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4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10">
        <v>11</v>
      </c>
      <c r="L8" s="11">
        <v>12</v>
      </c>
    </row>
    <row r="9" spans="1:14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4" ht="23.25" customHeight="1" thickBot="1" x14ac:dyDescent="0.25">
      <c r="A10" s="15"/>
      <c r="B10" s="16" t="s">
        <v>164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4" ht="12.75" x14ac:dyDescent="0.2">
      <c r="A11" s="22">
        <v>1</v>
      </c>
      <c r="B11" s="47" t="s">
        <v>183</v>
      </c>
      <c r="C11" s="33" t="s">
        <v>181</v>
      </c>
      <c r="D11" s="33"/>
      <c r="E11" s="111">
        <f>E18+E17</f>
        <v>4.9740000000000002</v>
      </c>
      <c r="F11" s="49"/>
      <c r="G11" s="49"/>
      <c r="H11" s="49"/>
      <c r="I11" s="49"/>
      <c r="J11" s="49"/>
      <c r="K11" s="49"/>
      <c r="L11" s="50"/>
      <c r="M11" s="21"/>
    </row>
    <row r="12" spans="1:14" s="43" customFormat="1" ht="12.75" x14ac:dyDescent="0.25">
      <c r="A12" s="37">
        <v>1.1000000000000001</v>
      </c>
      <c r="B12" s="112" t="s">
        <v>167</v>
      </c>
      <c r="C12" s="113" t="s">
        <v>181</v>
      </c>
      <c r="D12" s="39"/>
      <c r="E12" s="114">
        <f>E11</f>
        <v>4.9740000000000002</v>
      </c>
      <c r="F12" s="41"/>
      <c r="G12" s="29">
        <f t="shared" ref="G12:G22" si="0">F12*E12</f>
        <v>0</v>
      </c>
      <c r="H12" s="88">
        <v>0</v>
      </c>
      <c r="I12" s="28">
        <f>H12*E12</f>
        <v>0</v>
      </c>
      <c r="J12" s="42"/>
      <c r="K12" s="28">
        <f>J12*E12</f>
        <v>0</v>
      </c>
      <c r="L12" s="30">
        <f t="shared" ref="L12:L44" si="1">K12+I12+G12</f>
        <v>0</v>
      </c>
      <c r="N12" s="44"/>
    </row>
    <row r="13" spans="1:14" s="43" customFormat="1" ht="12.75" x14ac:dyDescent="0.25">
      <c r="A13" s="37">
        <v>1.2</v>
      </c>
      <c r="B13" s="115" t="s">
        <v>184</v>
      </c>
      <c r="C13" s="113" t="s">
        <v>21</v>
      </c>
      <c r="D13" s="39"/>
      <c r="E13" s="114">
        <v>1</v>
      </c>
      <c r="F13" s="42"/>
      <c r="G13" s="29">
        <f t="shared" ref="G13:G14" si="2">F13*E13</f>
        <v>0</v>
      </c>
      <c r="H13" s="41"/>
      <c r="I13" s="28">
        <f t="shared" ref="I13:I14" si="3">H13*E13</f>
        <v>0</v>
      </c>
      <c r="J13" s="88">
        <v>0</v>
      </c>
      <c r="K13" s="28">
        <f t="shared" ref="K13:K14" si="4">J13*E13</f>
        <v>0</v>
      </c>
      <c r="L13" s="30">
        <f t="shared" ref="L13:L14" si="5">K13+I13+G13</f>
        <v>0</v>
      </c>
      <c r="N13" s="44"/>
    </row>
    <row r="14" spans="1:14" s="43" customFormat="1" ht="12.75" x14ac:dyDescent="0.25">
      <c r="A14" s="37">
        <v>1.3</v>
      </c>
      <c r="B14" s="115" t="s">
        <v>185</v>
      </c>
      <c r="C14" s="113" t="s">
        <v>21</v>
      </c>
      <c r="D14" s="39"/>
      <c r="E14" s="114">
        <v>1</v>
      </c>
      <c r="F14" s="42"/>
      <c r="G14" s="29">
        <f t="shared" si="2"/>
        <v>0</v>
      </c>
      <c r="H14" s="41"/>
      <c r="I14" s="28">
        <f t="shared" si="3"/>
        <v>0</v>
      </c>
      <c r="J14" s="88">
        <v>0</v>
      </c>
      <c r="K14" s="28">
        <f t="shared" si="4"/>
        <v>0</v>
      </c>
      <c r="L14" s="30">
        <f t="shared" si="5"/>
        <v>0</v>
      </c>
      <c r="N14" s="44"/>
    </row>
    <row r="15" spans="1:14" s="43" customFormat="1" ht="12.75" customHeight="1" x14ac:dyDescent="0.25">
      <c r="A15" s="37">
        <v>1.4</v>
      </c>
      <c r="B15" s="115" t="s">
        <v>175</v>
      </c>
      <c r="C15" s="113" t="s">
        <v>10</v>
      </c>
      <c r="D15" s="39"/>
      <c r="E15" s="114">
        <f>E11*40</f>
        <v>198.96</v>
      </c>
      <c r="F15" s="42"/>
      <c r="G15" s="29">
        <f t="shared" si="0"/>
        <v>0</v>
      </c>
      <c r="H15" s="41"/>
      <c r="I15" s="28">
        <f t="shared" ref="I15:I22" si="6">H15*E15</f>
        <v>0</v>
      </c>
      <c r="J15" s="88">
        <v>0</v>
      </c>
      <c r="K15" s="28">
        <f>J15*E15</f>
        <v>0</v>
      </c>
      <c r="L15" s="30">
        <f t="shared" si="1"/>
        <v>0</v>
      </c>
      <c r="N15" s="44"/>
    </row>
    <row r="16" spans="1:14" s="43" customFormat="1" ht="12.75" customHeight="1" x14ac:dyDescent="0.25">
      <c r="A16" s="37">
        <v>1.5</v>
      </c>
      <c r="B16" s="112" t="s">
        <v>169</v>
      </c>
      <c r="C16" s="116"/>
      <c r="D16" s="116"/>
      <c r="E16" s="116"/>
      <c r="F16" s="42"/>
      <c r="G16" s="29"/>
      <c r="H16" s="41"/>
      <c r="I16" s="28"/>
      <c r="J16" s="29"/>
      <c r="K16" s="28"/>
      <c r="L16" s="30"/>
      <c r="N16" s="44"/>
    </row>
    <row r="17" spans="1:14" s="43" customFormat="1" ht="12.75" customHeight="1" x14ac:dyDescent="0.25">
      <c r="A17" s="37">
        <v>1.6</v>
      </c>
      <c r="B17" s="115" t="s">
        <v>176</v>
      </c>
      <c r="C17" s="113" t="s">
        <v>181</v>
      </c>
      <c r="D17" s="39"/>
      <c r="E17" s="114">
        <v>0.40400000000000003</v>
      </c>
      <c r="F17" s="88">
        <v>0</v>
      </c>
      <c r="G17" s="29">
        <f t="shared" si="0"/>
        <v>0</v>
      </c>
      <c r="H17" s="41"/>
      <c r="I17" s="28">
        <f t="shared" si="6"/>
        <v>0</v>
      </c>
      <c r="J17" s="41"/>
      <c r="K17" s="28">
        <f t="shared" ref="K17:K22" si="7">J17*E17</f>
        <v>0</v>
      </c>
      <c r="L17" s="30">
        <f t="shared" si="1"/>
        <v>0</v>
      </c>
      <c r="N17" s="44"/>
    </row>
    <row r="18" spans="1:14" s="43" customFormat="1" ht="12.75" customHeight="1" x14ac:dyDescent="0.25">
      <c r="A18" s="37">
        <v>1.7</v>
      </c>
      <c r="B18" s="115" t="s">
        <v>177</v>
      </c>
      <c r="C18" s="113" t="s">
        <v>181</v>
      </c>
      <c r="D18" s="39"/>
      <c r="E18" s="114">
        <v>4.57</v>
      </c>
      <c r="F18" s="88">
        <v>0</v>
      </c>
      <c r="G18" s="29">
        <f t="shared" si="0"/>
        <v>0</v>
      </c>
      <c r="H18" s="41"/>
      <c r="I18" s="28">
        <f t="shared" si="6"/>
        <v>0</v>
      </c>
      <c r="J18" s="41"/>
      <c r="K18" s="28">
        <f t="shared" si="7"/>
        <v>0</v>
      </c>
      <c r="L18" s="30">
        <f t="shared" si="1"/>
        <v>0</v>
      </c>
      <c r="N18" s="44"/>
    </row>
    <row r="19" spans="1:14" s="43" customFormat="1" ht="12.75" customHeight="1" x14ac:dyDescent="0.25">
      <c r="A19" s="37">
        <v>1.8</v>
      </c>
      <c r="B19" s="115" t="s">
        <v>178</v>
      </c>
      <c r="C19" s="113" t="s">
        <v>181</v>
      </c>
      <c r="D19" s="39"/>
      <c r="E19" s="114">
        <v>0.03</v>
      </c>
      <c r="F19" s="88">
        <v>0</v>
      </c>
      <c r="G19" s="29">
        <f t="shared" si="0"/>
        <v>0</v>
      </c>
      <c r="H19" s="41"/>
      <c r="I19" s="28">
        <f t="shared" si="6"/>
        <v>0</v>
      </c>
      <c r="J19" s="41"/>
      <c r="K19" s="28">
        <f t="shared" si="7"/>
        <v>0</v>
      </c>
      <c r="L19" s="30">
        <f t="shared" si="1"/>
        <v>0</v>
      </c>
      <c r="N19" s="44"/>
    </row>
    <row r="20" spans="1:14" s="43" customFormat="1" ht="12.75" customHeight="1" x14ac:dyDescent="0.25">
      <c r="A20" s="37">
        <v>1.9</v>
      </c>
      <c r="B20" s="115" t="s">
        <v>179</v>
      </c>
      <c r="C20" s="113" t="s">
        <v>9</v>
      </c>
      <c r="D20" s="39">
        <v>8.5</v>
      </c>
      <c r="E20" s="114">
        <f>E11*8.5</f>
        <v>42.279000000000003</v>
      </c>
      <c r="F20" s="88">
        <v>0</v>
      </c>
      <c r="G20" s="29">
        <f t="shared" si="0"/>
        <v>0</v>
      </c>
      <c r="H20" s="41"/>
      <c r="I20" s="28">
        <f t="shared" si="6"/>
        <v>0</v>
      </c>
      <c r="J20" s="41"/>
      <c r="K20" s="28">
        <f t="shared" si="7"/>
        <v>0</v>
      </c>
      <c r="L20" s="30">
        <f t="shared" si="1"/>
        <v>0</v>
      </c>
      <c r="N20" s="44"/>
    </row>
    <row r="21" spans="1:14" s="43" customFormat="1" ht="12.75" customHeight="1" x14ac:dyDescent="0.25">
      <c r="A21" s="59">
        <v>1.1000000000000001</v>
      </c>
      <c r="B21" s="115" t="s">
        <v>180</v>
      </c>
      <c r="C21" s="113" t="s">
        <v>9</v>
      </c>
      <c r="D21" s="39"/>
      <c r="E21" s="114">
        <f>E11*13.2</f>
        <v>65.656800000000004</v>
      </c>
      <c r="F21" s="88">
        <v>0</v>
      </c>
      <c r="G21" s="29">
        <f t="shared" si="0"/>
        <v>0</v>
      </c>
      <c r="H21" s="41"/>
      <c r="I21" s="28">
        <f t="shared" si="6"/>
        <v>0</v>
      </c>
      <c r="J21" s="41"/>
      <c r="K21" s="28">
        <f t="shared" si="7"/>
        <v>0</v>
      </c>
      <c r="L21" s="30">
        <f t="shared" si="1"/>
        <v>0</v>
      </c>
      <c r="N21" s="44"/>
    </row>
    <row r="22" spans="1:14" s="43" customFormat="1" ht="12.75" customHeight="1" x14ac:dyDescent="0.25">
      <c r="A22" s="37">
        <v>1.1100000000000001</v>
      </c>
      <c r="B22" s="115" t="s">
        <v>163</v>
      </c>
      <c r="C22" s="113" t="s">
        <v>10</v>
      </c>
      <c r="D22" s="39"/>
      <c r="E22" s="117">
        <v>1</v>
      </c>
      <c r="F22" s="88">
        <v>0</v>
      </c>
      <c r="G22" s="29">
        <f t="shared" si="0"/>
        <v>0</v>
      </c>
      <c r="H22" s="41"/>
      <c r="I22" s="28">
        <f t="shared" si="6"/>
        <v>0</v>
      </c>
      <c r="J22" s="41"/>
      <c r="K22" s="28">
        <f t="shared" si="7"/>
        <v>0</v>
      </c>
      <c r="L22" s="30">
        <f t="shared" si="1"/>
        <v>0</v>
      </c>
      <c r="N22" s="44"/>
    </row>
    <row r="23" spans="1:14" ht="12.75" x14ac:dyDescent="0.2">
      <c r="A23" s="22">
        <v>2</v>
      </c>
      <c r="B23" s="47" t="s">
        <v>166</v>
      </c>
      <c r="C23" s="33" t="s">
        <v>15</v>
      </c>
      <c r="D23" s="33"/>
      <c r="E23" s="118">
        <v>118.7</v>
      </c>
      <c r="F23" s="49"/>
      <c r="G23" s="49"/>
      <c r="H23" s="49"/>
      <c r="I23" s="49"/>
      <c r="J23" s="49"/>
      <c r="K23" s="49"/>
      <c r="L23" s="119"/>
      <c r="M23" s="21"/>
    </row>
    <row r="24" spans="1:14" s="43" customFormat="1" ht="12.75" customHeight="1" x14ac:dyDescent="0.25">
      <c r="A24" s="37">
        <v>2.1</v>
      </c>
      <c r="B24" s="120" t="s">
        <v>167</v>
      </c>
      <c r="C24" s="121" t="str">
        <f>C23</f>
        <v>კვ.მ</v>
      </c>
      <c r="D24" s="39"/>
      <c r="E24" s="122">
        <f>E23</f>
        <v>118.7</v>
      </c>
      <c r="F24" s="42"/>
      <c r="G24" s="29">
        <f t="shared" ref="G24:G35" si="8">F24*E24</f>
        <v>0</v>
      </c>
      <c r="H24" s="88">
        <v>0</v>
      </c>
      <c r="I24" s="28">
        <f>H24*E24</f>
        <v>0</v>
      </c>
      <c r="J24" s="41"/>
      <c r="K24" s="28">
        <f>J24*E24</f>
        <v>0</v>
      </c>
      <c r="L24" s="30">
        <f t="shared" si="1"/>
        <v>0</v>
      </c>
      <c r="N24" s="44"/>
    </row>
    <row r="25" spans="1:14" s="43" customFormat="1" ht="12.75" x14ac:dyDescent="0.25">
      <c r="A25" s="37">
        <v>2.2000000000000002</v>
      </c>
      <c r="B25" s="115" t="s">
        <v>184</v>
      </c>
      <c r="C25" s="113" t="s">
        <v>21</v>
      </c>
      <c r="D25" s="39"/>
      <c r="E25" s="114">
        <v>1</v>
      </c>
      <c r="F25" s="42"/>
      <c r="G25" s="29">
        <f t="shared" si="8"/>
        <v>0</v>
      </c>
      <c r="H25" s="41"/>
      <c r="I25" s="28">
        <f t="shared" ref="I25:I26" si="9">H25*E25</f>
        <v>0</v>
      </c>
      <c r="J25" s="88">
        <v>0</v>
      </c>
      <c r="K25" s="28">
        <f t="shared" ref="K25:K26" si="10">J25*E25</f>
        <v>0</v>
      </c>
      <c r="L25" s="30">
        <f t="shared" si="1"/>
        <v>0</v>
      </c>
      <c r="N25" s="44"/>
    </row>
    <row r="26" spans="1:14" s="43" customFormat="1" ht="12.75" x14ac:dyDescent="0.25">
      <c r="A26" s="37">
        <v>2.2999999999999998</v>
      </c>
      <c r="B26" s="115" t="s">
        <v>185</v>
      </c>
      <c r="C26" s="113" t="s">
        <v>21</v>
      </c>
      <c r="D26" s="39"/>
      <c r="E26" s="114">
        <v>1</v>
      </c>
      <c r="F26" s="42"/>
      <c r="G26" s="29">
        <f t="shared" si="8"/>
        <v>0</v>
      </c>
      <c r="H26" s="41"/>
      <c r="I26" s="28">
        <f t="shared" si="9"/>
        <v>0</v>
      </c>
      <c r="J26" s="88">
        <v>0</v>
      </c>
      <c r="K26" s="28">
        <f t="shared" si="10"/>
        <v>0</v>
      </c>
      <c r="L26" s="30">
        <f t="shared" si="1"/>
        <v>0</v>
      </c>
      <c r="N26" s="44"/>
    </row>
    <row r="27" spans="1:14" s="43" customFormat="1" ht="12.75" customHeight="1" x14ac:dyDescent="0.25">
      <c r="A27" s="37">
        <v>2.4</v>
      </c>
      <c r="B27" s="123" t="s">
        <v>209</v>
      </c>
      <c r="C27" s="121" t="str">
        <f>C24</f>
        <v>კვ.მ</v>
      </c>
      <c r="D27" s="39"/>
      <c r="E27" s="122">
        <f>E23</f>
        <v>118.7</v>
      </c>
      <c r="F27" s="42"/>
      <c r="G27" s="29">
        <f t="shared" si="8"/>
        <v>0</v>
      </c>
      <c r="H27" s="41"/>
      <c r="I27" s="28">
        <f t="shared" ref="I27:I35" si="11">H27*E27</f>
        <v>0</v>
      </c>
      <c r="J27" s="88">
        <v>0</v>
      </c>
      <c r="K27" s="28">
        <f>J27*E27</f>
        <v>0</v>
      </c>
      <c r="L27" s="30">
        <f t="shared" si="1"/>
        <v>0</v>
      </c>
      <c r="N27" s="44"/>
    </row>
    <row r="28" spans="1:14" s="43" customFormat="1" ht="12.75" customHeight="1" x14ac:dyDescent="0.25">
      <c r="A28" s="37">
        <v>2.5</v>
      </c>
      <c r="B28" s="120" t="s">
        <v>169</v>
      </c>
      <c r="C28" s="121"/>
      <c r="D28" s="39"/>
      <c r="E28" s="124"/>
      <c r="F28" s="29"/>
      <c r="G28" s="29"/>
      <c r="H28" s="42"/>
      <c r="I28" s="29"/>
      <c r="J28" s="42"/>
      <c r="K28" s="29"/>
      <c r="L28" s="125"/>
      <c r="N28" s="44"/>
    </row>
    <row r="29" spans="1:14" s="43" customFormat="1" ht="12.75" customHeight="1" x14ac:dyDescent="0.25">
      <c r="A29" s="37">
        <v>2.6</v>
      </c>
      <c r="B29" s="123" t="s">
        <v>174</v>
      </c>
      <c r="C29" s="121" t="s">
        <v>15</v>
      </c>
      <c r="D29" s="39">
        <v>1.02</v>
      </c>
      <c r="E29" s="122">
        <f>E23*1.02</f>
        <v>121.074</v>
      </c>
      <c r="F29" s="88">
        <v>0</v>
      </c>
      <c r="G29" s="29">
        <f t="shared" si="8"/>
        <v>0</v>
      </c>
      <c r="H29" s="41"/>
      <c r="I29" s="28">
        <f t="shared" si="11"/>
        <v>0</v>
      </c>
      <c r="J29" s="41"/>
      <c r="K29" s="28">
        <f t="shared" ref="K29:K35" si="12">J29*E29</f>
        <v>0</v>
      </c>
      <c r="L29" s="30">
        <f t="shared" si="1"/>
        <v>0</v>
      </c>
      <c r="N29" s="44"/>
    </row>
    <row r="30" spans="1:14" s="43" customFormat="1" ht="12.75" customHeight="1" x14ac:dyDescent="0.25">
      <c r="A30" s="37">
        <v>2.7</v>
      </c>
      <c r="B30" s="123" t="s">
        <v>171</v>
      </c>
      <c r="C30" s="121" t="s">
        <v>62</v>
      </c>
      <c r="D30" s="39">
        <v>1.2</v>
      </c>
      <c r="E30" s="122">
        <f>36.25+36.25+12.5*D30</f>
        <v>87.5</v>
      </c>
      <c r="F30" s="88">
        <v>0</v>
      </c>
      <c r="G30" s="29">
        <f t="shared" si="8"/>
        <v>0</v>
      </c>
      <c r="H30" s="41"/>
      <c r="I30" s="28">
        <f t="shared" si="11"/>
        <v>0</v>
      </c>
      <c r="J30" s="41"/>
      <c r="K30" s="28">
        <f t="shared" si="12"/>
        <v>0</v>
      </c>
      <c r="L30" s="30">
        <f t="shared" si="1"/>
        <v>0</v>
      </c>
      <c r="N30" s="44"/>
    </row>
    <row r="31" spans="1:14" s="43" customFormat="1" ht="28.5" customHeight="1" x14ac:dyDescent="0.25">
      <c r="A31" s="37">
        <v>2.8</v>
      </c>
      <c r="B31" s="123" t="s">
        <v>308</v>
      </c>
      <c r="C31" s="121" t="s">
        <v>62</v>
      </c>
      <c r="D31" s="39">
        <v>1.2</v>
      </c>
      <c r="E31" s="122">
        <f>37.7*D31</f>
        <v>45.24</v>
      </c>
      <c r="F31" s="88">
        <v>0</v>
      </c>
      <c r="G31" s="29">
        <f t="shared" ref="G31" si="13">F31*E31</f>
        <v>0</v>
      </c>
      <c r="H31" s="41"/>
      <c r="I31" s="28">
        <f t="shared" ref="I31" si="14">H31*E31</f>
        <v>0</v>
      </c>
      <c r="J31" s="41"/>
      <c r="K31" s="28">
        <f t="shared" ref="K31" si="15">J31*E31</f>
        <v>0</v>
      </c>
      <c r="L31" s="30">
        <f t="shared" ref="L31" si="16">K31+I31+G31</f>
        <v>0</v>
      </c>
      <c r="N31" s="44"/>
    </row>
    <row r="32" spans="1:14" s="43" customFormat="1" ht="29.25" customHeight="1" x14ac:dyDescent="0.25">
      <c r="A32" s="37">
        <v>2.9</v>
      </c>
      <c r="B32" s="123" t="s">
        <v>307</v>
      </c>
      <c r="C32" s="121" t="s">
        <v>8</v>
      </c>
      <c r="D32" s="39"/>
      <c r="E32" s="122">
        <v>2</v>
      </c>
      <c r="F32" s="88">
        <v>0</v>
      </c>
      <c r="G32" s="29">
        <f t="shared" ref="G32" si="17">F32*E32</f>
        <v>0</v>
      </c>
      <c r="H32" s="41"/>
      <c r="I32" s="28">
        <f t="shared" ref="I32" si="18">H32*E32</f>
        <v>0</v>
      </c>
      <c r="J32" s="41"/>
      <c r="K32" s="28">
        <f t="shared" ref="K32" si="19">J32*E32</f>
        <v>0</v>
      </c>
      <c r="L32" s="30">
        <f t="shared" ref="L32" si="20">K32+I32+G32</f>
        <v>0</v>
      </c>
      <c r="N32" s="44"/>
    </row>
    <row r="33" spans="1:14" s="43" customFormat="1" ht="12.75" customHeight="1" x14ac:dyDescent="0.25">
      <c r="A33" s="59">
        <v>2.1</v>
      </c>
      <c r="B33" s="123" t="s">
        <v>172</v>
      </c>
      <c r="C33" s="121" t="s">
        <v>8</v>
      </c>
      <c r="D33" s="39">
        <v>4</v>
      </c>
      <c r="E33" s="122">
        <f>E23*4</f>
        <v>474.8</v>
      </c>
      <c r="F33" s="88">
        <v>0</v>
      </c>
      <c r="G33" s="29">
        <f t="shared" si="8"/>
        <v>0</v>
      </c>
      <c r="H33" s="41"/>
      <c r="I33" s="28">
        <f t="shared" si="11"/>
        <v>0</v>
      </c>
      <c r="J33" s="41"/>
      <c r="K33" s="28">
        <f t="shared" si="12"/>
        <v>0</v>
      </c>
      <c r="L33" s="30">
        <f t="shared" si="1"/>
        <v>0</v>
      </c>
      <c r="N33" s="44"/>
    </row>
    <row r="34" spans="1:14" s="43" customFormat="1" ht="12.75" customHeight="1" x14ac:dyDescent="0.25">
      <c r="A34" s="37">
        <v>2.11</v>
      </c>
      <c r="B34" s="123" t="s">
        <v>173</v>
      </c>
      <c r="C34" s="121" t="s">
        <v>8</v>
      </c>
      <c r="D34" s="39">
        <v>0.06</v>
      </c>
      <c r="E34" s="122">
        <f>E23*D34</f>
        <v>7.1219999999999999</v>
      </c>
      <c r="F34" s="88">
        <v>0</v>
      </c>
      <c r="G34" s="29">
        <f t="shared" si="8"/>
        <v>0</v>
      </c>
      <c r="H34" s="41"/>
      <c r="I34" s="28">
        <f t="shared" si="11"/>
        <v>0</v>
      </c>
      <c r="J34" s="41"/>
      <c r="K34" s="28">
        <f t="shared" si="12"/>
        <v>0</v>
      </c>
      <c r="L34" s="30">
        <f t="shared" si="1"/>
        <v>0</v>
      </c>
      <c r="N34" s="44"/>
    </row>
    <row r="35" spans="1:14" s="43" customFormat="1" ht="12.75" customHeight="1" x14ac:dyDescent="0.25">
      <c r="A35" s="37">
        <v>2.12</v>
      </c>
      <c r="B35" s="123" t="s">
        <v>163</v>
      </c>
      <c r="C35" s="121" t="s">
        <v>10</v>
      </c>
      <c r="D35" s="39">
        <v>1</v>
      </c>
      <c r="E35" s="122">
        <v>1</v>
      </c>
      <c r="F35" s="88">
        <v>0</v>
      </c>
      <c r="G35" s="29">
        <f t="shared" si="8"/>
        <v>0</v>
      </c>
      <c r="H35" s="41"/>
      <c r="I35" s="28">
        <f t="shared" si="11"/>
        <v>0</v>
      </c>
      <c r="J35" s="41"/>
      <c r="K35" s="28">
        <f t="shared" si="12"/>
        <v>0</v>
      </c>
      <c r="L35" s="30">
        <f t="shared" si="1"/>
        <v>0</v>
      </c>
      <c r="N35" s="44"/>
    </row>
    <row r="36" spans="1:14" ht="12.75" x14ac:dyDescent="0.2">
      <c r="A36" s="22">
        <v>3</v>
      </c>
      <c r="B36" s="47" t="s">
        <v>208</v>
      </c>
      <c r="C36" s="33" t="s">
        <v>15</v>
      </c>
      <c r="D36" s="33"/>
      <c r="E36" s="126">
        <v>36.25</v>
      </c>
      <c r="F36" s="49"/>
      <c r="G36" s="49"/>
      <c r="H36" s="49"/>
      <c r="I36" s="49"/>
      <c r="J36" s="49"/>
      <c r="K36" s="49"/>
      <c r="L36" s="119"/>
      <c r="M36" s="21"/>
    </row>
    <row r="37" spans="1:14" s="43" customFormat="1" ht="12.75" customHeight="1" x14ac:dyDescent="0.25">
      <c r="A37" s="37">
        <v>3.1</v>
      </c>
      <c r="B37" s="120" t="s">
        <v>167</v>
      </c>
      <c r="C37" s="121" t="str">
        <f>C36</f>
        <v>კვ.მ</v>
      </c>
      <c r="D37" s="122"/>
      <c r="E37" s="122">
        <f>E36</f>
        <v>36.25</v>
      </c>
      <c r="F37" s="42"/>
      <c r="G37" s="29">
        <f t="shared" ref="G37:G44" si="21">F37*E37</f>
        <v>0</v>
      </c>
      <c r="H37" s="88">
        <v>0</v>
      </c>
      <c r="I37" s="28">
        <f>H37*E37</f>
        <v>0</v>
      </c>
      <c r="J37" s="41"/>
      <c r="K37" s="28">
        <f>J37*E37</f>
        <v>0</v>
      </c>
      <c r="L37" s="30">
        <f t="shared" si="1"/>
        <v>0</v>
      </c>
      <c r="N37" s="44"/>
    </row>
    <row r="38" spans="1:14" s="43" customFormat="1" ht="12.75" customHeight="1" x14ac:dyDescent="0.25">
      <c r="A38" s="37">
        <v>3.2</v>
      </c>
      <c r="B38" s="123" t="s">
        <v>168</v>
      </c>
      <c r="C38" s="121" t="str">
        <f>C37</f>
        <v>კვ.მ</v>
      </c>
      <c r="D38" s="122"/>
      <c r="E38" s="122">
        <f>E36</f>
        <v>36.25</v>
      </c>
      <c r="F38" s="42"/>
      <c r="G38" s="29">
        <f t="shared" si="21"/>
        <v>0</v>
      </c>
      <c r="H38" s="41"/>
      <c r="I38" s="28">
        <f t="shared" ref="I38:I44" si="22">H38*E38</f>
        <v>0</v>
      </c>
      <c r="J38" s="88">
        <v>0</v>
      </c>
      <c r="K38" s="28">
        <f>J38*E38</f>
        <v>0</v>
      </c>
      <c r="L38" s="30">
        <f t="shared" si="1"/>
        <v>0</v>
      </c>
      <c r="N38" s="44"/>
    </row>
    <row r="39" spans="1:14" s="43" customFormat="1" ht="12.75" customHeight="1" x14ac:dyDescent="0.25">
      <c r="A39" s="37">
        <v>3.3</v>
      </c>
      <c r="B39" s="120" t="s">
        <v>169</v>
      </c>
      <c r="C39" s="121"/>
      <c r="D39" s="122"/>
      <c r="E39" s="124"/>
      <c r="F39" s="29"/>
      <c r="G39" s="29"/>
      <c r="H39" s="42"/>
      <c r="I39" s="29"/>
      <c r="J39" s="42"/>
      <c r="K39" s="29"/>
      <c r="L39" s="125"/>
      <c r="N39" s="44"/>
    </row>
    <row r="40" spans="1:14" s="43" customFormat="1" ht="12.75" customHeight="1" x14ac:dyDescent="0.25">
      <c r="A40" s="37">
        <v>3.4</v>
      </c>
      <c r="B40" s="123" t="s">
        <v>170</v>
      </c>
      <c r="C40" s="121" t="s">
        <v>15</v>
      </c>
      <c r="D40" s="122">
        <v>1.02</v>
      </c>
      <c r="E40" s="122">
        <f>E36*1.02</f>
        <v>36.975000000000001</v>
      </c>
      <c r="F40" s="88">
        <v>0</v>
      </c>
      <c r="G40" s="29">
        <f t="shared" si="21"/>
        <v>0</v>
      </c>
      <c r="H40" s="41"/>
      <c r="I40" s="28">
        <f t="shared" si="22"/>
        <v>0</v>
      </c>
      <c r="J40" s="41"/>
      <c r="K40" s="28">
        <f t="shared" ref="K40:K44" si="23">J40*E40</f>
        <v>0</v>
      </c>
      <c r="L40" s="30">
        <f t="shared" si="1"/>
        <v>0</v>
      </c>
      <c r="N40" s="44"/>
    </row>
    <row r="41" spans="1:14" s="43" customFormat="1" ht="12.75" customHeight="1" x14ac:dyDescent="0.25">
      <c r="A41" s="37">
        <v>3.5</v>
      </c>
      <c r="B41" s="123" t="s">
        <v>171</v>
      </c>
      <c r="C41" s="121" t="s">
        <v>62</v>
      </c>
      <c r="D41" s="122">
        <v>1.2</v>
      </c>
      <c r="E41" s="122">
        <f>12.5+11.9*2*1.2</f>
        <v>41.06</v>
      </c>
      <c r="F41" s="88">
        <v>0</v>
      </c>
      <c r="G41" s="29">
        <f t="shared" si="21"/>
        <v>0</v>
      </c>
      <c r="H41" s="41"/>
      <c r="I41" s="28">
        <f t="shared" si="22"/>
        <v>0</v>
      </c>
      <c r="J41" s="41"/>
      <c r="K41" s="28">
        <f t="shared" si="23"/>
        <v>0</v>
      </c>
      <c r="L41" s="30">
        <f t="shared" si="1"/>
        <v>0</v>
      </c>
      <c r="N41" s="44"/>
    </row>
    <row r="42" spans="1:14" s="43" customFormat="1" ht="12.75" customHeight="1" x14ac:dyDescent="0.25">
      <c r="A42" s="37">
        <v>3.6</v>
      </c>
      <c r="B42" s="123" t="s">
        <v>172</v>
      </c>
      <c r="C42" s="121" t="s">
        <v>8</v>
      </c>
      <c r="D42" s="122">
        <v>4</v>
      </c>
      <c r="E42" s="122">
        <f>E36*4</f>
        <v>145</v>
      </c>
      <c r="F42" s="88">
        <v>0</v>
      </c>
      <c r="G42" s="29">
        <f t="shared" si="21"/>
        <v>0</v>
      </c>
      <c r="H42" s="41"/>
      <c r="I42" s="28">
        <f t="shared" si="22"/>
        <v>0</v>
      </c>
      <c r="J42" s="41"/>
      <c r="K42" s="28">
        <f t="shared" si="23"/>
        <v>0</v>
      </c>
      <c r="L42" s="30">
        <f t="shared" si="1"/>
        <v>0</v>
      </c>
      <c r="N42" s="44"/>
    </row>
    <row r="43" spans="1:14" s="43" customFormat="1" ht="12.75" customHeight="1" x14ac:dyDescent="0.25">
      <c r="A43" s="37">
        <v>3.7</v>
      </c>
      <c r="B43" s="123" t="s">
        <v>173</v>
      </c>
      <c r="C43" s="121" t="s">
        <v>8</v>
      </c>
      <c r="D43" s="122">
        <v>0.06</v>
      </c>
      <c r="E43" s="122">
        <f>E36*0.06</f>
        <v>2.1749999999999998</v>
      </c>
      <c r="F43" s="88">
        <v>0</v>
      </c>
      <c r="G43" s="29">
        <f t="shared" si="21"/>
        <v>0</v>
      </c>
      <c r="H43" s="41"/>
      <c r="I43" s="28">
        <f t="shared" si="22"/>
        <v>0</v>
      </c>
      <c r="J43" s="41"/>
      <c r="K43" s="28">
        <f t="shared" si="23"/>
        <v>0</v>
      </c>
      <c r="L43" s="30">
        <f t="shared" si="1"/>
        <v>0</v>
      </c>
      <c r="N43" s="44"/>
    </row>
    <row r="44" spans="1:14" s="43" customFormat="1" ht="12.75" customHeight="1" x14ac:dyDescent="0.25">
      <c r="A44" s="37">
        <v>3.8</v>
      </c>
      <c r="B44" s="123" t="s">
        <v>163</v>
      </c>
      <c r="C44" s="121" t="s">
        <v>10</v>
      </c>
      <c r="D44" s="122">
        <v>1</v>
      </c>
      <c r="E44" s="122">
        <v>1</v>
      </c>
      <c r="F44" s="88">
        <v>0</v>
      </c>
      <c r="G44" s="29">
        <f t="shared" si="21"/>
        <v>0</v>
      </c>
      <c r="H44" s="41"/>
      <c r="I44" s="28">
        <f t="shared" si="22"/>
        <v>0</v>
      </c>
      <c r="J44" s="41"/>
      <c r="K44" s="28">
        <f t="shared" si="23"/>
        <v>0</v>
      </c>
      <c r="L44" s="30">
        <f t="shared" si="1"/>
        <v>0</v>
      </c>
      <c r="N44" s="44"/>
    </row>
    <row r="45" spans="1:14" ht="12.75" x14ac:dyDescent="0.2">
      <c r="A45" s="22">
        <v>4</v>
      </c>
      <c r="B45" s="47" t="s">
        <v>188</v>
      </c>
      <c r="C45" s="33" t="s">
        <v>8</v>
      </c>
      <c r="D45" s="33"/>
      <c r="E45" s="126">
        <v>2</v>
      </c>
      <c r="F45" s="49"/>
      <c r="G45" s="49"/>
      <c r="H45" s="49"/>
      <c r="I45" s="49"/>
      <c r="J45" s="49"/>
      <c r="K45" s="49"/>
      <c r="L45" s="119"/>
      <c r="M45" s="21"/>
    </row>
    <row r="46" spans="1:14" s="57" customFormat="1" ht="12.75" x14ac:dyDescent="0.25">
      <c r="A46" s="127">
        <v>4.0999999999999996</v>
      </c>
      <c r="B46" s="120" t="s">
        <v>167</v>
      </c>
      <c r="C46" s="128" t="s">
        <v>8</v>
      </c>
      <c r="D46" s="128"/>
      <c r="E46" s="67">
        <v>2</v>
      </c>
      <c r="F46" s="42"/>
      <c r="G46" s="29">
        <f t="shared" ref="G46:G48" si="24">F46*E46</f>
        <v>0</v>
      </c>
      <c r="H46" s="88">
        <v>0</v>
      </c>
      <c r="I46" s="28">
        <f>H46*E46</f>
        <v>0</v>
      </c>
      <c r="J46" s="41"/>
      <c r="K46" s="28">
        <f>J46*E46</f>
        <v>0</v>
      </c>
      <c r="L46" s="30">
        <f t="shared" ref="L46:L48" si="25">K46+I46+G46</f>
        <v>0</v>
      </c>
      <c r="M46" s="94"/>
    </row>
    <row r="47" spans="1:14" s="43" customFormat="1" ht="12.75" x14ac:dyDescent="0.25">
      <c r="A47" s="37">
        <v>4.2</v>
      </c>
      <c r="B47" s="115" t="s">
        <v>185</v>
      </c>
      <c r="C47" s="113" t="s">
        <v>21</v>
      </c>
      <c r="D47" s="39"/>
      <c r="E47" s="114">
        <v>1</v>
      </c>
      <c r="F47" s="42"/>
      <c r="G47" s="29">
        <f t="shared" si="24"/>
        <v>0</v>
      </c>
      <c r="H47" s="41"/>
      <c r="I47" s="28">
        <f t="shared" ref="I47" si="26">H47*E47</f>
        <v>0</v>
      </c>
      <c r="J47" s="88">
        <v>0</v>
      </c>
      <c r="K47" s="28">
        <f t="shared" ref="K47" si="27">J47*E47</f>
        <v>0</v>
      </c>
      <c r="L47" s="30">
        <f t="shared" si="25"/>
        <v>0</v>
      </c>
      <c r="N47" s="44"/>
    </row>
    <row r="48" spans="1:14" s="57" customFormat="1" ht="12.75" x14ac:dyDescent="0.25">
      <c r="A48" s="127">
        <v>4.3</v>
      </c>
      <c r="B48" s="123" t="s">
        <v>168</v>
      </c>
      <c r="C48" s="113" t="s">
        <v>21</v>
      </c>
      <c r="D48" s="39"/>
      <c r="E48" s="114">
        <v>1</v>
      </c>
      <c r="F48" s="42"/>
      <c r="G48" s="29">
        <f t="shared" si="24"/>
        <v>0</v>
      </c>
      <c r="H48" s="41"/>
      <c r="I48" s="28">
        <f t="shared" ref="I48" si="28">H48*E48</f>
        <v>0</v>
      </c>
      <c r="J48" s="88">
        <v>0</v>
      </c>
      <c r="K48" s="28">
        <f>J48*E48</f>
        <v>0</v>
      </c>
      <c r="L48" s="30">
        <f t="shared" si="25"/>
        <v>0</v>
      </c>
      <c r="M48" s="94"/>
    </row>
    <row r="49" spans="1:14" s="57" customFormat="1" ht="12.75" x14ac:dyDescent="0.2">
      <c r="A49" s="37">
        <v>4.4000000000000004</v>
      </c>
      <c r="B49" s="120" t="s">
        <v>169</v>
      </c>
      <c r="C49" s="129"/>
      <c r="D49" s="129"/>
      <c r="E49" s="130"/>
      <c r="F49" s="19"/>
      <c r="G49" s="19"/>
      <c r="H49" s="19"/>
      <c r="I49" s="19"/>
      <c r="J49" s="19"/>
      <c r="K49" s="19"/>
      <c r="L49" s="131"/>
      <c r="M49" s="94"/>
    </row>
    <row r="50" spans="1:14" s="43" customFormat="1" ht="12.75" customHeight="1" x14ac:dyDescent="0.25">
      <c r="A50" s="127">
        <v>4.5</v>
      </c>
      <c r="B50" s="132" t="s">
        <v>189</v>
      </c>
      <c r="C50" s="133" t="s">
        <v>190</v>
      </c>
      <c r="D50" s="122"/>
      <c r="E50" s="122">
        <v>250</v>
      </c>
      <c r="F50" s="88">
        <v>0</v>
      </c>
      <c r="G50" s="29">
        <f t="shared" ref="G50" si="29">F50*E50</f>
        <v>0</v>
      </c>
      <c r="H50" s="41"/>
      <c r="I50" s="28">
        <f t="shared" ref="I50" si="30">H50*E50</f>
        <v>0</v>
      </c>
      <c r="J50" s="41"/>
      <c r="K50" s="28">
        <f t="shared" ref="K50" si="31">J50*E50</f>
        <v>0</v>
      </c>
      <c r="L50" s="30">
        <f t="shared" ref="L50" si="32">K50+I50+G50</f>
        <v>0</v>
      </c>
      <c r="N50" s="44"/>
    </row>
    <row r="51" spans="1:14" s="43" customFormat="1" ht="12.75" customHeight="1" x14ac:dyDescent="0.25">
      <c r="A51" s="37">
        <v>4.5999999999999996</v>
      </c>
      <c r="B51" s="132" t="s">
        <v>191</v>
      </c>
      <c r="C51" s="133" t="s">
        <v>8</v>
      </c>
      <c r="D51" s="122"/>
      <c r="E51" s="122">
        <v>1</v>
      </c>
      <c r="F51" s="88">
        <v>0</v>
      </c>
      <c r="G51" s="29">
        <f t="shared" ref="G51:G57" si="33">F51*E51</f>
        <v>0</v>
      </c>
      <c r="H51" s="41"/>
      <c r="I51" s="28">
        <f t="shared" ref="I51:I57" si="34">H51*E51</f>
        <v>0</v>
      </c>
      <c r="J51" s="41"/>
      <c r="K51" s="28">
        <f t="shared" ref="K51:K57" si="35">J51*E51</f>
        <v>0</v>
      </c>
      <c r="L51" s="30">
        <f t="shared" ref="L51:L57" si="36">K51+I51+G51</f>
        <v>0</v>
      </c>
      <c r="N51" s="44"/>
    </row>
    <row r="52" spans="1:14" s="43" customFormat="1" ht="12.75" customHeight="1" x14ac:dyDescent="0.25">
      <c r="A52" s="127">
        <v>4.7</v>
      </c>
      <c r="B52" s="132" t="s">
        <v>197</v>
      </c>
      <c r="C52" s="133" t="s">
        <v>8</v>
      </c>
      <c r="D52" s="122"/>
      <c r="E52" s="122">
        <v>2</v>
      </c>
      <c r="F52" s="88">
        <v>0</v>
      </c>
      <c r="G52" s="29">
        <f t="shared" si="33"/>
        <v>0</v>
      </c>
      <c r="H52" s="41"/>
      <c r="I52" s="28">
        <f t="shared" si="34"/>
        <v>0</v>
      </c>
      <c r="J52" s="41"/>
      <c r="K52" s="28">
        <f t="shared" si="35"/>
        <v>0</v>
      </c>
      <c r="L52" s="30">
        <f t="shared" si="36"/>
        <v>0</v>
      </c>
      <c r="N52" s="44"/>
    </row>
    <row r="53" spans="1:14" s="43" customFormat="1" ht="12.75" customHeight="1" x14ac:dyDescent="0.25">
      <c r="A53" s="37">
        <v>4.8</v>
      </c>
      <c r="B53" s="132" t="s">
        <v>192</v>
      </c>
      <c r="C53" s="133" t="s">
        <v>8</v>
      </c>
      <c r="D53" s="122"/>
      <c r="E53" s="122">
        <v>1</v>
      </c>
      <c r="F53" s="88">
        <v>0</v>
      </c>
      <c r="G53" s="29">
        <f t="shared" si="33"/>
        <v>0</v>
      </c>
      <c r="H53" s="41"/>
      <c r="I53" s="28">
        <f t="shared" si="34"/>
        <v>0</v>
      </c>
      <c r="J53" s="41"/>
      <c r="K53" s="28">
        <f t="shared" si="35"/>
        <v>0</v>
      </c>
      <c r="L53" s="30">
        <f t="shared" si="36"/>
        <v>0</v>
      </c>
      <c r="N53" s="44"/>
    </row>
    <row r="54" spans="1:14" s="43" customFormat="1" ht="12.75" customHeight="1" x14ac:dyDescent="0.25">
      <c r="A54" s="127">
        <v>4.9000000000000004</v>
      </c>
      <c r="B54" s="132" t="s">
        <v>193</v>
      </c>
      <c r="C54" s="133" t="s">
        <v>8</v>
      </c>
      <c r="D54" s="122"/>
      <c r="E54" s="122">
        <v>1</v>
      </c>
      <c r="F54" s="88">
        <v>0</v>
      </c>
      <c r="G54" s="29">
        <f t="shared" si="33"/>
        <v>0</v>
      </c>
      <c r="H54" s="41"/>
      <c r="I54" s="28">
        <f t="shared" si="34"/>
        <v>0</v>
      </c>
      <c r="J54" s="41"/>
      <c r="K54" s="28">
        <f t="shared" si="35"/>
        <v>0</v>
      </c>
      <c r="L54" s="30">
        <f t="shared" si="36"/>
        <v>0</v>
      </c>
      <c r="N54" s="44"/>
    </row>
    <row r="55" spans="1:14" s="43" customFormat="1" ht="12.75" customHeight="1" x14ac:dyDescent="0.25">
      <c r="A55" s="59">
        <v>4.0999999999999996</v>
      </c>
      <c r="B55" s="132" t="s">
        <v>194</v>
      </c>
      <c r="C55" s="133" t="s">
        <v>8</v>
      </c>
      <c r="D55" s="122"/>
      <c r="E55" s="122">
        <v>1</v>
      </c>
      <c r="F55" s="88">
        <v>0</v>
      </c>
      <c r="G55" s="29">
        <f t="shared" si="33"/>
        <v>0</v>
      </c>
      <c r="H55" s="41"/>
      <c r="I55" s="28">
        <f t="shared" si="34"/>
        <v>0</v>
      </c>
      <c r="J55" s="41"/>
      <c r="K55" s="28">
        <f t="shared" si="35"/>
        <v>0</v>
      </c>
      <c r="L55" s="30">
        <f t="shared" si="36"/>
        <v>0</v>
      </c>
      <c r="N55" s="44"/>
    </row>
    <row r="56" spans="1:14" s="43" customFormat="1" ht="12.75" customHeight="1" x14ac:dyDescent="0.25">
      <c r="A56" s="127">
        <v>4.1100000000000003</v>
      </c>
      <c r="B56" s="132" t="s">
        <v>195</v>
      </c>
      <c r="C56" s="133" t="s">
        <v>190</v>
      </c>
      <c r="D56" s="122">
        <v>1.1000000000000001</v>
      </c>
      <c r="E56" s="122">
        <f>E50*D56</f>
        <v>275</v>
      </c>
      <c r="F56" s="88">
        <v>0</v>
      </c>
      <c r="G56" s="29">
        <f t="shared" si="33"/>
        <v>0</v>
      </c>
      <c r="H56" s="41"/>
      <c r="I56" s="28">
        <f t="shared" si="34"/>
        <v>0</v>
      </c>
      <c r="J56" s="41"/>
      <c r="K56" s="28">
        <f t="shared" si="35"/>
        <v>0</v>
      </c>
      <c r="L56" s="30">
        <f t="shared" si="36"/>
        <v>0</v>
      </c>
      <c r="N56" s="44"/>
    </row>
    <row r="57" spans="1:14" s="43" customFormat="1" ht="12.75" customHeight="1" thickBot="1" x14ac:dyDescent="0.3">
      <c r="A57" s="37">
        <v>4.12</v>
      </c>
      <c r="B57" s="134" t="s">
        <v>196</v>
      </c>
      <c r="C57" s="113" t="s">
        <v>21</v>
      </c>
      <c r="D57" s="135"/>
      <c r="E57" s="122">
        <v>1</v>
      </c>
      <c r="F57" s="88">
        <v>0</v>
      </c>
      <c r="G57" s="29">
        <f t="shared" si="33"/>
        <v>0</v>
      </c>
      <c r="H57" s="41"/>
      <c r="I57" s="28">
        <f t="shared" si="34"/>
        <v>0</v>
      </c>
      <c r="J57" s="41"/>
      <c r="K57" s="28">
        <f t="shared" si="35"/>
        <v>0</v>
      </c>
      <c r="L57" s="30">
        <f t="shared" si="36"/>
        <v>0</v>
      </c>
      <c r="N57" s="44"/>
    </row>
    <row r="58" spans="1:14" s="43" customFormat="1" ht="27" customHeight="1" thickBot="1" x14ac:dyDescent="0.3">
      <c r="A58" s="37"/>
      <c r="B58" s="16" t="s">
        <v>182</v>
      </c>
      <c r="C58" s="121"/>
      <c r="D58" s="122"/>
      <c r="E58" s="122"/>
      <c r="F58" s="88"/>
      <c r="G58" s="29"/>
      <c r="H58" s="41"/>
      <c r="I58" s="28"/>
      <c r="J58" s="41"/>
      <c r="K58" s="28"/>
      <c r="L58" s="30"/>
      <c r="N58" s="44"/>
    </row>
    <row r="59" spans="1:14" ht="22.5" customHeight="1" x14ac:dyDescent="0.2">
      <c r="A59" s="22">
        <v>1</v>
      </c>
      <c r="B59" s="47" t="s">
        <v>183</v>
      </c>
      <c r="C59" s="33" t="s">
        <v>181</v>
      </c>
      <c r="D59" s="49"/>
      <c r="E59" s="111">
        <f>E66+E65</f>
        <v>0.94000000000000006</v>
      </c>
      <c r="F59" s="49"/>
      <c r="G59" s="49"/>
      <c r="H59" s="49"/>
      <c r="I59" s="49"/>
      <c r="J59" s="49"/>
      <c r="K59" s="49"/>
      <c r="L59" s="136"/>
    </row>
    <row r="60" spans="1:14" s="57" customFormat="1" ht="12" customHeight="1" x14ac:dyDescent="0.25">
      <c r="A60" s="37">
        <v>1.1000000000000001</v>
      </c>
      <c r="B60" s="112" t="s">
        <v>167</v>
      </c>
      <c r="C60" s="113" t="s">
        <v>181</v>
      </c>
      <c r="D60" s="39"/>
      <c r="E60" s="114">
        <f>E59</f>
        <v>0.94000000000000006</v>
      </c>
      <c r="F60" s="42"/>
      <c r="G60" s="29">
        <f t="shared" ref="G60" si="37">F60*E60</f>
        <v>0</v>
      </c>
      <c r="H60" s="89">
        <v>0</v>
      </c>
      <c r="I60" s="28">
        <f t="shared" ref="I60" si="38">H60*E60</f>
        <v>0</v>
      </c>
      <c r="J60" s="29"/>
      <c r="K60" s="28">
        <f t="shared" ref="K60" si="39">J60*E60</f>
        <v>0</v>
      </c>
      <c r="L60" s="30">
        <f t="shared" ref="L60" si="40">K60+I60+G60</f>
        <v>0</v>
      </c>
    </row>
    <row r="61" spans="1:14" s="43" customFormat="1" ht="12.75" customHeight="1" x14ac:dyDescent="0.25">
      <c r="A61" s="37">
        <v>1.2</v>
      </c>
      <c r="B61" s="115" t="s">
        <v>184</v>
      </c>
      <c r="C61" s="113" t="s">
        <v>21</v>
      </c>
      <c r="D61" s="39"/>
      <c r="E61" s="114">
        <v>1</v>
      </c>
      <c r="F61" s="42"/>
      <c r="G61" s="29">
        <f t="shared" ref="G61:G69" si="41">F61*E61</f>
        <v>0</v>
      </c>
      <c r="H61" s="41"/>
      <c r="I61" s="28">
        <f t="shared" ref="I61:I62" si="42">H61*E61</f>
        <v>0</v>
      </c>
      <c r="J61" s="88">
        <v>0</v>
      </c>
      <c r="K61" s="28">
        <f t="shared" ref="K61:K69" si="43">J61*E61</f>
        <v>0</v>
      </c>
      <c r="L61" s="30">
        <f t="shared" ref="L61:L80" si="44">K61+I61+G61</f>
        <v>0</v>
      </c>
      <c r="N61" s="44"/>
    </row>
    <row r="62" spans="1:14" s="43" customFormat="1" ht="12.75" customHeight="1" x14ac:dyDescent="0.25">
      <c r="A62" s="37">
        <v>1.3</v>
      </c>
      <c r="B62" s="115" t="s">
        <v>185</v>
      </c>
      <c r="C62" s="113" t="s">
        <v>21</v>
      </c>
      <c r="D62" s="39"/>
      <c r="E62" s="114">
        <v>1</v>
      </c>
      <c r="F62" s="42"/>
      <c r="G62" s="29">
        <f t="shared" si="41"/>
        <v>0</v>
      </c>
      <c r="H62" s="41"/>
      <c r="I62" s="28">
        <f t="shared" si="42"/>
        <v>0</v>
      </c>
      <c r="J62" s="88">
        <v>0</v>
      </c>
      <c r="K62" s="28">
        <f t="shared" si="43"/>
        <v>0</v>
      </c>
      <c r="L62" s="30">
        <f t="shared" si="44"/>
        <v>0</v>
      </c>
      <c r="N62" s="44"/>
    </row>
    <row r="63" spans="1:14" s="43" customFormat="1" ht="12.75" customHeight="1" x14ac:dyDescent="0.25">
      <c r="A63" s="37">
        <v>1.4</v>
      </c>
      <c r="B63" s="115" t="s">
        <v>175</v>
      </c>
      <c r="C63" s="113" t="s">
        <v>10</v>
      </c>
      <c r="D63" s="39"/>
      <c r="E63" s="114">
        <v>1</v>
      </c>
      <c r="F63" s="42"/>
      <c r="G63" s="29">
        <f t="shared" ref="G63" si="45">F63*E63</f>
        <v>0</v>
      </c>
      <c r="H63" s="41"/>
      <c r="I63" s="28">
        <f t="shared" ref="I63" si="46">H63*E63</f>
        <v>0</v>
      </c>
      <c r="J63" s="88">
        <v>0</v>
      </c>
      <c r="K63" s="28">
        <f t="shared" ref="K63" si="47">J63*E63</f>
        <v>0</v>
      </c>
      <c r="L63" s="30">
        <f t="shared" ref="L63" si="48">K63+I63+G63</f>
        <v>0</v>
      </c>
      <c r="N63" s="44"/>
    </row>
    <row r="64" spans="1:14" s="43" customFormat="1" ht="12.75" customHeight="1" x14ac:dyDescent="0.25">
      <c r="A64" s="37">
        <v>1.5</v>
      </c>
      <c r="B64" s="112" t="s">
        <v>169</v>
      </c>
      <c r="C64" s="116"/>
      <c r="D64" s="105"/>
      <c r="E64" s="137"/>
      <c r="F64" s="29"/>
      <c r="G64" s="29"/>
      <c r="H64" s="42"/>
      <c r="I64" s="29"/>
      <c r="J64" s="42"/>
      <c r="K64" s="29"/>
      <c r="L64" s="125"/>
      <c r="N64" s="44"/>
    </row>
    <row r="65" spans="1:14" s="43" customFormat="1" ht="12.75" customHeight="1" x14ac:dyDescent="0.25">
      <c r="A65" s="37">
        <v>1.6</v>
      </c>
      <c r="B65" s="115" t="s">
        <v>176</v>
      </c>
      <c r="C65" s="113" t="s">
        <v>181</v>
      </c>
      <c r="D65" s="39"/>
      <c r="E65" s="114">
        <v>0.17</v>
      </c>
      <c r="F65" s="88">
        <v>0</v>
      </c>
      <c r="G65" s="29">
        <f t="shared" si="41"/>
        <v>0</v>
      </c>
      <c r="H65" s="41"/>
      <c r="I65" s="28">
        <f t="shared" ref="I65:I69" si="49">H65*E65</f>
        <v>0</v>
      </c>
      <c r="J65" s="41"/>
      <c r="K65" s="28">
        <f t="shared" si="43"/>
        <v>0</v>
      </c>
      <c r="L65" s="30">
        <f t="shared" si="44"/>
        <v>0</v>
      </c>
      <c r="N65" s="44"/>
    </row>
    <row r="66" spans="1:14" s="43" customFormat="1" ht="12.75" customHeight="1" x14ac:dyDescent="0.25">
      <c r="A66" s="37">
        <v>1.7</v>
      </c>
      <c r="B66" s="115" t="s">
        <v>186</v>
      </c>
      <c r="C66" s="113" t="s">
        <v>181</v>
      </c>
      <c r="D66" s="39"/>
      <c r="E66" s="114">
        <v>0.77</v>
      </c>
      <c r="F66" s="88">
        <v>0</v>
      </c>
      <c r="G66" s="29">
        <f t="shared" si="41"/>
        <v>0</v>
      </c>
      <c r="H66" s="41"/>
      <c r="I66" s="28">
        <f t="shared" si="49"/>
        <v>0</v>
      </c>
      <c r="J66" s="41"/>
      <c r="K66" s="28">
        <f t="shared" si="43"/>
        <v>0</v>
      </c>
      <c r="L66" s="30">
        <f t="shared" si="44"/>
        <v>0</v>
      </c>
      <c r="N66" s="44"/>
    </row>
    <row r="67" spans="1:14" s="43" customFormat="1" ht="12.75" customHeight="1" x14ac:dyDescent="0.25">
      <c r="A67" s="37">
        <v>1.9</v>
      </c>
      <c r="B67" s="115" t="s">
        <v>179</v>
      </c>
      <c r="C67" s="113" t="s">
        <v>9</v>
      </c>
      <c r="D67" s="39"/>
      <c r="E67" s="114">
        <f>E59*8.5</f>
        <v>7.99</v>
      </c>
      <c r="F67" s="89">
        <v>0</v>
      </c>
      <c r="G67" s="29">
        <f t="shared" si="41"/>
        <v>0</v>
      </c>
      <c r="H67" s="29">
        <v>0</v>
      </c>
      <c r="I67" s="28">
        <f t="shared" si="49"/>
        <v>0</v>
      </c>
      <c r="J67" s="41"/>
      <c r="K67" s="28">
        <f t="shared" si="43"/>
        <v>0</v>
      </c>
      <c r="L67" s="30">
        <f t="shared" si="44"/>
        <v>0</v>
      </c>
      <c r="N67" s="44"/>
    </row>
    <row r="68" spans="1:14" s="43" customFormat="1" ht="12.75" customHeight="1" x14ac:dyDescent="0.25">
      <c r="A68" s="59">
        <v>1.1000000000000001</v>
      </c>
      <c r="B68" s="115" t="s">
        <v>180</v>
      </c>
      <c r="C68" s="113" t="s">
        <v>9</v>
      </c>
      <c r="D68" s="39"/>
      <c r="E68" s="114">
        <f>E59*13.2</f>
        <v>12.407999999999999</v>
      </c>
      <c r="F68" s="88">
        <v>0</v>
      </c>
      <c r="G68" s="29">
        <f t="shared" si="41"/>
        <v>0</v>
      </c>
      <c r="H68" s="41"/>
      <c r="I68" s="28">
        <f t="shared" si="49"/>
        <v>0</v>
      </c>
      <c r="J68" s="41"/>
      <c r="K68" s="28">
        <f t="shared" si="43"/>
        <v>0</v>
      </c>
      <c r="L68" s="30">
        <f t="shared" si="44"/>
        <v>0</v>
      </c>
      <c r="N68" s="44"/>
    </row>
    <row r="69" spans="1:14" s="43" customFormat="1" ht="12.75" customHeight="1" x14ac:dyDescent="0.25">
      <c r="A69" s="37">
        <v>1.1100000000000001</v>
      </c>
      <c r="B69" s="115" t="s">
        <v>163</v>
      </c>
      <c r="C69" s="113" t="s">
        <v>10</v>
      </c>
      <c r="D69" s="39"/>
      <c r="E69" s="117">
        <v>1</v>
      </c>
      <c r="F69" s="88">
        <v>0</v>
      </c>
      <c r="G69" s="29">
        <f t="shared" si="41"/>
        <v>0</v>
      </c>
      <c r="H69" s="41"/>
      <c r="I69" s="28">
        <f t="shared" si="49"/>
        <v>0</v>
      </c>
      <c r="J69" s="41"/>
      <c r="K69" s="28">
        <f t="shared" si="43"/>
        <v>0</v>
      </c>
      <c r="L69" s="30">
        <f t="shared" si="44"/>
        <v>0</v>
      </c>
      <c r="N69" s="44"/>
    </row>
    <row r="70" spans="1:14" ht="22.5" customHeight="1" x14ac:dyDescent="0.2">
      <c r="A70" s="22">
        <v>2</v>
      </c>
      <c r="B70" s="47" t="s">
        <v>165</v>
      </c>
      <c r="C70" s="33" t="s">
        <v>15</v>
      </c>
      <c r="D70" s="49"/>
      <c r="E70" s="49">
        <v>28.1</v>
      </c>
      <c r="F70" s="49"/>
      <c r="G70" s="49"/>
      <c r="H70" s="49"/>
      <c r="I70" s="49"/>
      <c r="J70" s="49"/>
      <c r="K70" s="49"/>
      <c r="L70" s="136"/>
    </row>
    <row r="71" spans="1:14" s="43" customFormat="1" ht="12.75" customHeight="1" x14ac:dyDescent="0.25">
      <c r="A71" s="37">
        <v>2.1</v>
      </c>
      <c r="B71" s="120" t="s">
        <v>167</v>
      </c>
      <c r="C71" s="121" t="str">
        <f>C70</f>
        <v>კვ.მ</v>
      </c>
      <c r="D71" s="39"/>
      <c r="E71" s="40">
        <v>28.1</v>
      </c>
      <c r="F71" s="42"/>
      <c r="G71" s="29">
        <f t="shared" ref="G71:G80" si="50">F71*E71</f>
        <v>0</v>
      </c>
      <c r="H71" s="88">
        <v>0</v>
      </c>
      <c r="I71" s="28">
        <f>H71*E71</f>
        <v>0</v>
      </c>
      <c r="J71" s="41"/>
      <c r="K71" s="28">
        <f>J71*E71</f>
        <v>0</v>
      </c>
      <c r="L71" s="30">
        <f t="shared" si="44"/>
        <v>0</v>
      </c>
      <c r="N71" s="44"/>
    </row>
    <row r="72" spans="1:14" s="43" customFormat="1" ht="12.75" customHeight="1" x14ac:dyDescent="0.25">
      <c r="A72" s="37">
        <v>2.2000000000000002</v>
      </c>
      <c r="B72" s="123" t="s">
        <v>168</v>
      </c>
      <c r="C72" s="113" t="s">
        <v>10</v>
      </c>
      <c r="D72" s="39"/>
      <c r="E72" s="40">
        <v>1</v>
      </c>
      <c r="F72" s="42"/>
      <c r="G72" s="29">
        <f t="shared" si="50"/>
        <v>0</v>
      </c>
      <c r="H72" s="41"/>
      <c r="I72" s="28">
        <f t="shared" ref="I72:I80" si="51">H72*E72</f>
        <v>0</v>
      </c>
      <c r="J72" s="88">
        <v>0</v>
      </c>
      <c r="K72" s="28">
        <f>J72*E72</f>
        <v>0</v>
      </c>
      <c r="L72" s="30">
        <f t="shared" si="44"/>
        <v>0</v>
      </c>
      <c r="N72" s="44"/>
    </row>
    <row r="73" spans="1:14" s="43" customFormat="1" ht="12.75" customHeight="1" x14ac:dyDescent="0.25">
      <c r="A73" s="37">
        <v>2.2999999999999998</v>
      </c>
      <c r="B73" s="120" t="s">
        <v>169</v>
      </c>
      <c r="C73" s="121"/>
      <c r="D73" s="39"/>
      <c r="E73" s="60"/>
      <c r="F73" s="29"/>
      <c r="G73" s="29"/>
      <c r="H73" s="42"/>
      <c r="I73" s="29"/>
      <c r="J73" s="42"/>
      <c r="K73" s="29"/>
      <c r="L73" s="125"/>
      <c r="N73" s="44"/>
    </row>
    <row r="74" spans="1:14" s="43" customFormat="1" ht="12.75" customHeight="1" x14ac:dyDescent="0.25">
      <c r="A74" s="37">
        <v>2.4</v>
      </c>
      <c r="B74" s="123" t="s">
        <v>170</v>
      </c>
      <c r="C74" s="121" t="s">
        <v>15</v>
      </c>
      <c r="D74" s="39">
        <v>1.02</v>
      </c>
      <c r="E74" s="40">
        <f>E71*D74</f>
        <v>28.662000000000003</v>
      </c>
      <c r="F74" s="88">
        <v>0</v>
      </c>
      <c r="G74" s="29">
        <f t="shared" si="50"/>
        <v>0</v>
      </c>
      <c r="H74" s="41"/>
      <c r="I74" s="28">
        <f t="shared" si="51"/>
        <v>0</v>
      </c>
      <c r="J74" s="41"/>
      <c r="K74" s="28">
        <f t="shared" ref="K74:K80" si="52">J74*E74</f>
        <v>0</v>
      </c>
      <c r="L74" s="30">
        <f t="shared" si="44"/>
        <v>0</v>
      </c>
      <c r="N74" s="44"/>
    </row>
    <row r="75" spans="1:14" s="43" customFormat="1" ht="12.75" customHeight="1" x14ac:dyDescent="0.25">
      <c r="A75" s="37">
        <v>2.5</v>
      </c>
      <c r="B75" s="123" t="s">
        <v>171</v>
      </c>
      <c r="C75" s="121" t="s">
        <v>62</v>
      </c>
      <c r="D75" s="39">
        <v>1.2</v>
      </c>
      <c r="E75" s="40">
        <f>28.1*2*1.2</f>
        <v>67.44</v>
      </c>
      <c r="F75" s="88">
        <v>0</v>
      </c>
      <c r="G75" s="29">
        <f t="shared" si="50"/>
        <v>0</v>
      </c>
      <c r="H75" s="41"/>
      <c r="I75" s="28">
        <f t="shared" si="51"/>
        <v>0</v>
      </c>
      <c r="J75" s="41"/>
      <c r="K75" s="28">
        <f t="shared" si="52"/>
        <v>0</v>
      </c>
      <c r="L75" s="30">
        <f t="shared" si="44"/>
        <v>0</v>
      </c>
      <c r="N75" s="44"/>
    </row>
    <row r="76" spans="1:14" s="43" customFormat="1" ht="12.75" customHeight="1" x14ac:dyDescent="0.25">
      <c r="A76" s="37">
        <v>2.6</v>
      </c>
      <c r="B76" s="123" t="s">
        <v>85</v>
      </c>
      <c r="C76" s="121" t="s">
        <v>62</v>
      </c>
      <c r="D76" s="39">
        <v>1.2</v>
      </c>
      <c r="E76" s="122">
        <f>E71*D76</f>
        <v>33.72</v>
      </c>
      <c r="F76" s="88">
        <v>0</v>
      </c>
      <c r="G76" s="29">
        <f t="shared" si="50"/>
        <v>0</v>
      </c>
      <c r="H76" s="41"/>
      <c r="I76" s="28">
        <f t="shared" si="51"/>
        <v>0</v>
      </c>
      <c r="J76" s="41"/>
      <c r="K76" s="28">
        <f t="shared" si="52"/>
        <v>0</v>
      </c>
      <c r="L76" s="30">
        <f t="shared" si="44"/>
        <v>0</v>
      </c>
      <c r="N76" s="44"/>
    </row>
    <row r="77" spans="1:14" s="43" customFormat="1" ht="12.75" customHeight="1" x14ac:dyDescent="0.25">
      <c r="A77" s="37">
        <v>2.7</v>
      </c>
      <c r="B77" s="123" t="s">
        <v>187</v>
      </c>
      <c r="C77" s="121" t="s">
        <v>8</v>
      </c>
      <c r="D77" s="39"/>
      <c r="E77" s="122">
        <v>2</v>
      </c>
      <c r="F77" s="88">
        <v>0</v>
      </c>
      <c r="G77" s="29">
        <f t="shared" si="50"/>
        <v>0</v>
      </c>
      <c r="H77" s="41"/>
      <c r="I77" s="28">
        <f t="shared" si="51"/>
        <v>0</v>
      </c>
      <c r="J77" s="41"/>
      <c r="K77" s="28">
        <f t="shared" si="52"/>
        <v>0</v>
      </c>
      <c r="L77" s="30">
        <f t="shared" si="44"/>
        <v>0</v>
      </c>
      <c r="N77" s="44"/>
    </row>
    <row r="78" spans="1:14" s="43" customFormat="1" ht="12.75" customHeight="1" x14ac:dyDescent="0.25">
      <c r="A78" s="37">
        <v>2.8</v>
      </c>
      <c r="B78" s="123" t="s">
        <v>172</v>
      </c>
      <c r="C78" s="121" t="s">
        <v>8</v>
      </c>
      <c r="D78" s="39"/>
      <c r="E78" s="40">
        <f>E71*0.3</f>
        <v>8.43</v>
      </c>
      <c r="F78" s="88">
        <v>0</v>
      </c>
      <c r="G78" s="29">
        <f t="shared" ref="G78" si="53">F78*E78</f>
        <v>0</v>
      </c>
      <c r="H78" s="41"/>
      <c r="I78" s="28">
        <f t="shared" ref="I78" si="54">H78*E78</f>
        <v>0</v>
      </c>
      <c r="J78" s="41"/>
      <c r="K78" s="28">
        <f t="shared" ref="K78" si="55">J78*E78</f>
        <v>0</v>
      </c>
      <c r="L78" s="30">
        <f t="shared" ref="L78" si="56">K78+I78+G78</f>
        <v>0</v>
      </c>
      <c r="N78" s="44"/>
    </row>
    <row r="79" spans="1:14" s="43" customFormat="1" ht="12.75" customHeight="1" x14ac:dyDescent="0.25">
      <c r="A79" s="37">
        <v>2.9</v>
      </c>
      <c r="B79" s="123" t="s">
        <v>173</v>
      </c>
      <c r="C79" s="121" t="s">
        <v>8</v>
      </c>
      <c r="D79" s="39">
        <v>1.02</v>
      </c>
      <c r="E79" s="40">
        <f>E78*D79</f>
        <v>8.5985999999999994</v>
      </c>
      <c r="F79" s="88">
        <v>0</v>
      </c>
      <c r="G79" s="29">
        <f t="shared" si="50"/>
        <v>0</v>
      </c>
      <c r="H79" s="41"/>
      <c r="I79" s="28">
        <f t="shared" si="51"/>
        <v>0</v>
      </c>
      <c r="J79" s="41"/>
      <c r="K79" s="28">
        <f t="shared" si="52"/>
        <v>0</v>
      </c>
      <c r="L79" s="30">
        <f t="shared" si="44"/>
        <v>0</v>
      </c>
      <c r="N79" s="44"/>
    </row>
    <row r="80" spans="1:14" s="43" customFormat="1" ht="12.75" customHeight="1" x14ac:dyDescent="0.25">
      <c r="A80" s="59">
        <v>2.1</v>
      </c>
      <c r="B80" s="123" t="s">
        <v>163</v>
      </c>
      <c r="C80" s="121" t="s">
        <v>10</v>
      </c>
      <c r="D80" s="39"/>
      <c r="E80" s="40">
        <v>1</v>
      </c>
      <c r="F80" s="88">
        <v>0</v>
      </c>
      <c r="G80" s="29">
        <f t="shared" si="50"/>
        <v>0</v>
      </c>
      <c r="H80" s="41"/>
      <c r="I80" s="28">
        <f t="shared" si="51"/>
        <v>0</v>
      </c>
      <c r="J80" s="41"/>
      <c r="K80" s="28">
        <f t="shared" si="52"/>
        <v>0</v>
      </c>
      <c r="L80" s="30">
        <f t="shared" si="44"/>
        <v>0</v>
      </c>
      <c r="N80" s="44"/>
    </row>
    <row r="81" spans="1:14" ht="12.75" x14ac:dyDescent="0.2">
      <c r="A81" s="22">
        <v>3</v>
      </c>
      <c r="B81" s="47" t="s">
        <v>188</v>
      </c>
      <c r="C81" s="33" t="s">
        <v>8</v>
      </c>
      <c r="D81" s="33"/>
      <c r="E81" s="126">
        <v>2</v>
      </c>
      <c r="F81" s="49"/>
      <c r="G81" s="49"/>
      <c r="H81" s="49"/>
      <c r="I81" s="49"/>
      <c r="J81" s="49"/>
      <c r="K81" s="49"/>
      <c r="L81" s="119"/>
      <c r="M81" s="21"/>
    </row>
    <row r="82" spans="1:14" s="57" customFormat="1" ht="12.75" x14ac:dyDescent="0.25">
      <c r="A82" s="127">
        <v>3.1</v>
      </c>
      <c r="B82" s="120" t="s">
        <v>167</v>
      </c>
      <c r="C82" s="128" t="s">
        <v>8</v>
      </c>
      <c r="D82" s="129"/>
      <c r="E82" s="67">
        <v>2</v>
      </c>
      <c r="F82" s="42"/>
      <c r="G82" s="29">
        <f t="shared" ref="G82:G84" si="57">F82*E82</f>
        <v>0</v>
      </c>
      <c r="H82" s="88">
        <v>0</v>
      </c>
      <c r="I82" s="28">
        <f>H82*E82</f>
        <v>0</v>
      </c>
      <c r="J82" s="41"/>
      <c r="K82" s="28">
        <f>J82*E82</f>
        <v>0</v>
      </c>
      <c r="L82" s="30">
        <f t="shared" ref="L82:L84" si="58">K82+I82+G82</f>
        <v>0</v>
      </c>
      <c r="M82" s="94"/>
    </row>
    <row r="83" spans="1:14" s="43" customFormat="1" ht="12.75" x14ac:dyDescent="0.25">
      <c r="A83" s="37">
        <v>3.2</v>
      </c>
      <c r="B83" s="115" t="s">
        <v>185</v>
      </c>
      <c r="C83" s="113" t="s">
        <v>21</v>
      </c>
      <c r="D83" s="39"/>
      <c r="E83" s="114">
        <v>1</v>
      </c>
      <c r="F83" s="42"/>
      <c r="G83" s="29">
        <f t="shared" si="57"/>
        <v>0</v>
      </c>
      <c r="H83" s="41"/>
      <c r="I83" s="28">
        <f t="shared" ref="I83:I84" si="59">H83*E83</f>
        <v>0</v>
      </c>
      <c r="J83" s="88">
        <v>0</v>
      </c>
      <c r="K83" s="28">
        <f t="shared" ref="K83" si="60">J83*E83</f>
        <v>0</v>
      </c>
      <c r="L83" s="30">
        <f t="shared" si="58"/>
        <v>0</v>
      </c>
      <c r="N83" s="44"/>
    </row>
    <row r="84" spans="1:14" s="57" customFormat="1" ht="12.75" x14ac:dyDescent="0.25">
      <c r="A84" s="127">
        <v>3.3</v>
      </c>
      <c r="B84" s="123" t="s">
        <v>168</v>
      </c>
      <c r="C84" s="113" t="s">
        <v>21</v>
      </c>
      <c r="D84" s="39"/>
      <c r="E84" s="114">
        <v>1</v>
      </c>
      <c r="F84" s="42"/>
      <c r="G84" s="29">
        <f t="shared" si="57"/>
        <v>0</v>
      </c>
      <c r="H84" s="41"/>
      <c r="I84" s="28">
        <f t="shared" si="59"/>
        <v>0</v>
      </c>
      <c r="J84" s="88">
        <v>0</v>
      </c>
      <c r="K84" s="28">
        <f>J84*E84</f>
        <v>0</v>
      </c>
      <c r="L84" s="30">
        <f t="shared" si="58"/>
        <v>0</v>
      </c>
      <c r="M84" s="94"/>
    </row>
    <row r="85" spans="1:14" s="57" customFormat="1" ht="12.75" x14ac:dyDescent="0.2">
      <c r="A85" s="37">
        <v>3.4</v>
      </c>
      <c r="B85" s="120" t="s">
        <v>169</v>
      </c>
      <c r="C85" s="129"/>
      <c r="D85" s="129"/>
      <c r="E85" s="130"/>
      <c r="F85" s="19"/>
      <c r="G85" s="19"/>
      <c r="H85" s="19"/>
      <c r="I85" s="19"/>
      <c r="J85" s="19"/>
      <c r="K85" s="19"/>
      <c r="L85" s="131"/>
      <c r="M85" s="94"/>
    </row>
    <row r="86" spans="1:14" s="43" customFormat="1" ht="12.75" customHeight="1" x14ac:dyDescent="0.25">
      <c r="A86" s="127">
        <v>3.5</v>
      </c>
      <c r="B86" s="132" t="s">
        <v>189</v>
      </c>
      <c r="C86" s="133" t="s">
        <v>190</v>
      </c>
      <c r="D86" s="122"/>
      <c r="E86" s="122">
        <v>250</v>
      </c>
      <c r="F86" s="88">
        <v>0</v>
      </c>
      <c r="G86" s="29">
        <f t="shared" ref="G86" si="61">F86*E86</f>
        <v>0</v>
      </c>
      <c r="H86" s="41"/>
      <c r="I86" s="28">
        <f t="shared" ref="I86" si="62">H86*E86</f>
        <v>0</v>
      </c>
      <c r="J86" s="41"/>
      <c r="K86" s="28">
        <f t="shared" ref="K86" si="63">J86*E86</f>
        <v>0</v>
      </c>
      <c r="L86" s="30">
        <f t="shared" ref="L86" si="64">K86+I86+G86</f>
        <v>0</v>
      </c>
      <c r="N86" s="44"/>
    </row>
    <row r="87" spans="1:14" s="43" customFormat="1" ht="12.75" customHeight="1" x14ac:dyDescent="0.25">
      <c r="A87" s="37">
        <v>3.6</v>
      </c>
      <c r="B87" s="132" t="s">
        <v>191</v>
      </c>
      <c r="C87" s="133" t="s">
        <v>8</v>
      </c>
      <c r="D87" s="122"/>
      <c r="E87" s="122">
        <v>1</v>
      </c>
      <c r="F87" s="88">
        <v>0</v>
      </c>
      <c r="G87" s="29">
        <f t="shared" ref="G87:G93" si="65">F87*E87</f>
        <v>0</v>
      </c>
      <c r="H87" s="41"/>
      <c r="I87" s="28">
        <f t="shared" ref="I87:I93" si="66">H87*E87</f>
        <v>0</v>
      </c>
      <c r="J87" s="41"/>
      <c r="K87" s="28">
        <f t="shared" ref="K87:K93" si="67">J87*E87</f>
        <v>0</v>
      </c>
      <c r="L87" s="30">
        <f t="shared" ref="L87:L93" si="68">K87+I87+G87</f>
        <v>0</v>
      </c>
      <c r="N87" s="44"/>
    </row>
    <row r="88" spans="1:14" s="43" customFormat="1" ht="12.75" customHeight="1" x14ac:dyDescent="0.25">
      <c r="A88" s="127">
        <v>3.7</v>
      </c>
      <c r="B88" s="132" t="s">
        <v>197</v>
      </c>
      <c r="C88" s="133" t="s">
        <v>8</v>
      </c>
      <c r="D88" s="122"/>
      <c r="E88" s="122">
        <v>2</v>
      </c>
      <c r="F88" s="88">
        <v>0</v>
      </c>
      <c r="G88" s="29">
        <f t="shared" si="65"/>
        <v>0</v>
      </c>
      <c r="H88" s="41"/>
      <c r="I88" s="28">
        <f t="shared" si="66"/>
        <v>0</v>
      </c>
      <c r="J88" s="41"/>
      <c r="K88" s="28">
        <f t="shared" si="67"/>
        <v>0</v>
      </c>
      <c r="L88" s="30">
        <f t="shared" si="68"/>
        <v>0</v>
      </c>
      <c r="N88" s="44"/>
    </row>
    <row r="89" spans="1:14" s="43" customFormat="1" ht="12.75" customHeight="1" x14ac:dyDescent="0.25">
      <c r="A89" s="37">
        <v>3.8</v>
      </c>
      <c r="B89" s="132" t="s">
        <v>192</v>
      </c>
      <c r="C89" s="133" t="s">
        <v>8</v>
      </c>
      <c r="D89" s="122"/>
      <c r="E89" s="122">
        <v>1</v>
      </c>
      <c r="F89" s="88">
        <v>0</v>
      </c>
      <c r="G89" s="29">
        <f t="shared" si="65"/>
        <v>0</v>
      </c>
      <c r="H89" s="41"/>
      <c r="I89" s="28">
        <f t="shared" si="66"/>
        <v>0</v>
      </c>
      <c r="J89" s="41"/>
      <c r="K89" s="28">
        <f t="shared" si="67"/>
        <v>0</v>
      </c>
      <c r="L89" s="30">
        <f t="shared" si="68"/>
        <v>0</v>
      </c>
      <c r="N89" s="44"/>
    </row>
    <row r="90" spans="1:14" s="43" customFormat="1" ht="12.75" customHeight="1" x14ac:dyDescent="0.25">
      <c r="A90" s="127">
        <v>3.9</v>
      </c>
      <c r="B90" s="132" t="s">
        <v>193</v>
      </c>
      <c r="C90" s="133" t="s">
        <v>8</v>
      </c>
      <c r="D90" s="122"/>
      <c r="E90" s="122">
        <v>1</v>
      </c>
      <c r="F90" s="88">
        <v>0</v>
      </c>
      <c r="G90" s="29">
        <f t="shared" si="65"/>
        <v>0</v>
      </c>
      <c r="H90" s="41"/>
      <c r="I90" s="28">
        <f t="shared" si="66"/>
        <v>0</v>
      </c>
      <c r="J90" s="41"/>
      <c r="K90" s="28">
        <f t="shared" si="67"/>
        <v>0</v>
      </c>
      <c r="L90" s="30">
        <f t="shared" si="68"/>
        <v>0</v>
      </c>
      <c r="N90" s="44"/>
    </row>
    <row r="91" spans="1:14" s="43" customFormat="1" ht="12.75" customHeight="1" x14ac:dyDescent="0.25">
      <c r="A91" s="59">
        <v>3.1</v>
      </c>
      <c r="B91" s="132" t="s">
        <v>194</v>
      </c>
      <c r="C91" s="133" t="s">
        <v>8</v>
      </c>
      <c r="D91" s="122"/>
      <c r="E91" s="122">
        <v>1</v>
      </c>
      <c r="F91" s="88">
        <v>0</v>
      </c>
      <c r="G91" s="29">
        <f t="shared" si="65"/>
        <v>0</v>
      </c>
      <c r="H91" s="41"/>
      <c r="I91" s="28">
        <f t="shared" si="66"/>
        <v>0</v>
      </c>
      <c r="J91" s="41"/>
      <c r="K91" s="28">
        <f t="shared" si="67"/>
        <v>0</v>
      </c>
      <c r="L91" s="30">
        <f t="shared" si="68"/>
        <v>0</v>
      </c>
      <c r="N91" s="44"/>
    </row>
    <row r="92" spans="1:14" s="43" customFormat="1" ht="12.75" customHeight="1" x14ac:dyDescent="0.25">
      <c r="A92" s="127">
        <v>3.11</v>
      </c>
      <c r="B92" s="132" t="s">
        <v>195</v>
      </c>
      <c r="C92" s="133" t="s">
        <v>190</v>
      </c>
      <c r="D92" s="122">
        <v>1.1000000000000001</v>
      </c>
      <c r="E92" s="122">
        <f>E86*D92</f>
        <v>275</v>
      </c>
      <c r="F92" s="88">
        <v>0</v>
      </c>
      <c r="G92" s="29">
        <f t="shared" si="65"/>
        <v>0</v>
      </c>
      <c r="H92" s="41"/>
      <c r="I92" s="28">
        <f t="shared" si="66"/>
        <v>0</v>
      </c>
      <c r="J92" s="41"/>
      <c r="K92" s="28">
        <f t="shared" si="67"/>
        <v>0</v>
      </c>
      <c r="L92" s="30">
        <f t="shared" si="68"/>
        <v>0</v>
      </c>
      <c r="N92" s="44"/>
    </row>
    <row r="93" spans="1:14" s="43" customFormat="1" ht="12.75" customHeight="1" x14ac:dyDescent="0.25">
      <c r="A93" s="37">
        <v>3.12</v>
      </c>
      <c r="B93" s="134" t="s">
        <v>196</v>
      </c>
      <c r="C93" s="113" t="s">
        <v>21</v>
      </c>
      <c r="D93" s="135"/>
      <c r="E93" s="122">
        <v>1</v>
      </c>
      <c r="F93" s="88">
        <v>0</v>
      </c>
      <c r="G93" s="29">
        <f t="shared" si="65"/>
        <v>0</v>
      </c>
      <c r="H93" s="41"/>
      <c r="I93" s="28">
        <f t="shared" si="66"/>
        <v>0</v>
      </c>
      <c r="J93" s="41"/>
      <c r="K93" s="28">
        <f t="shared" si="67"/>
        <v>0</v>
      </c>
      <c r="L93" s="30">
        <f t="shared" si="68"/>
        <v>0</v>
      </c>
      <c r="N93" s="44"/>
    </row>
    <row r="94" spans="1:14" s="43" customFormat="1" ht="12.75" customHeight="1" x14ac:dyDescent="0.25">
      <c r="A94" s="22">
        <v>4</v>
      </c>
      <c r="B94" s="47" t="s">
        <v>110</v>
      </c>
      <c r="C94" s="33"/>
      <c r="D94" s="49"/>
      <c r="E94" s="49"/>
      <c r="F94" s="49"/>
      <c r="G94" s="49"/>
      <c r="H94" s="49"/>
      <c r="I94" s="49"/>
      <c r="J94" s="49"/>
      <c r="K94" s="49"/>
      <c r="L94" s="138"/>
      <c r="N94" s="44"/>
    </row>
    <row r="95" spans="1:14" s="43" customFormat="1" ht="40.5" customHeight="1" x14ac:dyDescent="0.25">
      <c r="A95" s="37">
        <v>4.0999999999999996</v>
      </c>
      <c r="B95" s="58" t="s">
        <v>111</v>
      </c>
      <c r="C95" s="63" t="s">
        <v>20</v>
      </c>
      <c r="D95" s="39"/>
      <c r="E95" s="40">
        <v>1</v>
      </c>
      <c r="F95" s="42"/>
      <c r="G95" s="29">
        <f t="shared" ref="G95:G96" si="69">F95*E95</f>
        <v>0</v>
      </c>
      <c r="H95" s="88">
        <v>0</v>
      </c>
      <c r="I95" s="29">
        <f>H95*E95</f>
        <v>0</v>
      </c>
      <c r="J95" s="89">
        <v>0</v>
      </c>
      <c r="K95" s="29">
        <f>J95*E95</f>
        <v>0</v>
      </c>
      <c r="L95" s="125">
        <f t="shared" ref="L95:L96" si="70">K95+I95+G95</f>
        <v>0</v>
      </c>
      <c r="N95" s="44"/>
    </row>
    <row r="96" spans="1:14" ht="17.25" customHeight="1" x14ac:dyDescent="0.25">
      <c r="A96" s="24">
        <v>5</v>
      </c>
      <c r="B96" s="25" t="s">
        <v>288</v>
      </c>
      <c r="C96" s="26" t="s">
        <v>20</v>
      </c>
      <c r="D96" s="64"/>
      <c r="E96" s="27">
        <v>1</v>
      </c>
      <c r="F96" s="89">
        <v>0</v>
      </c>
      <c r="G96" s="29">
        <f t="shared" si="69"/>
        <v>0</v>
      </c>
      <c r="H96" s="88">
        <v>0</v>
      </c>
      <c r="I96" s="29">
        <f t="shared" ref="I96" si="71">H96*E96</f>
        <v>0</v>
      </c>
      <c r="J96" s="89">
        <v>0</v>
      </c>
      <c r="K96" s="29">
        <f t="shared" ref="K96" si="72">J96*E96</f>
        <v>0</v>
      </c>
      <c r="L96" s="30">
        <f t="shared" si="70"/>
        <v>0</v>
      </c>
      <c r="M96" s="21"/>
    </row>
    <row r="97" spans="1:13" s="72" customFormat="1" x14ac:dyDescent="0.25">
      <c r="A97" s="22"/>
      <c r="B97" s="48" t="s">
        <v>7</v>
      </c>
      <c r="C97" s="69"/>
      <c r="D97" s="69"/>
      <c r="E97" s="49"/>
      <c r="F97" s="49"/>
      <c r="G97" s="70">
        <f>SUM(G12:G96)</f>
        <v>0</v>
      </c>
      <c r="H97" s="49"/>
      <c r="I97" s="70">
        <f>SUM(I12:I96)</f>
        <v>0</v>
      </c>
      <c r="J97" s="49"/>
      <c r="K97" s="70">
        <f>SUM(K12:K96)</f>
        <v>0</v>
      </c>
      <c r="L97" s="71">
        <f>SUM(L12:L96)</f>
        <v>0</v>
      </c>
    </row>
    <row r="98" spans="1:13" s="12" customFormat="1" x14ac:dyDescent="0.25">
      <c r="A98" s="73"/>
      <c r="B98" s="74" t="s">
        <v>18</v>
      </c>
      <c r="C98" s="90">
        <v>0</v>
      </c>
      <c r="D98" s="75"/>
      <c r="E98" s="76"/>
      <c r="F98" s="76"/>
      <c r="G98" s="76"/>
      <c r="H98" s="76"/>
      <c r="I98" s="76"/>
      <c r="J98" s="76"/>
      <c r="K98" s="76"/>
      <c r="L98" s="77">
        <f>C98*G97</f>
        <v>0</v>
      </c>
    </row>
    <row r="99" spans="1:13" s="12" customFormat="1" x14ac:dyDescent="0.25">
      <c r="A99" s="22"/>
      <c r="B99" s="48" t="s">
        <v>7</v>
      </c>
      <c r="C99" s="78"/>
      <c r="D99" s="78"/>
      <c r="E99" s="49"/>
      <c r="F99" s="49"/>
      <c r="G99" s="49"/>
      <c r="H99" s="49"/>
      <c r="I99" s="49"/>
      <c r="J99" s="49"/>
      <c r="K99" s="49"/>
      <c r="L99" s="71">
        <f>L98+L97</f>
        <v>0</v>
      </c>
    </row>
    <row r="100" spans="1:13" s="12" customFormat="1" x14ac:dyDescent="0.25">
      <c r="A100" s="73"/>
      <c r="B100" s="79" t="s">
        <v>11</v>
      </c>
      <c r="C100" s="90">
        <v>0</v>
      </c>
      <c r="D100" s="75"/>
      <c r="E100" s="76"/>
      <c r="F100" s="76"/>
      <c r="G100" s="76"/>
      <c r="H100" s="76"/>
      <c r="I100" s="76"/>
      <c r="J100" s="76"/>
      <c r="K100" s="76"/>
      <c r="L100" s="77">
        <f>L99*C100</f>
        <v>0</v>
      </c>
    </row>
    <row r="101" spans="1:13" s="12" customFormat="1" x14ac:dyDescent="0.25">
      <c r="A101" s="22"/>
      <c r="B101" s="48" t="s">
        <v>7</v>
      </c>
      <c r="C101" s="78"/>
      <c r="D101" s="78"/>
      <c r="E101" s="49"/>
      <c r="F101" s="49"/>
      <c r="G101" s="49"/>
      <c r="H101" s="49"/>
      <c r="I101" s="49"/>
      <c r="J101" s="49"/>
      <c r="K101" s="49"/>
      <c r="L101" s="71">
        <f>L100+L99</f>
        <v>0</v>
      </c>
    </row>
    <row r="102" spans="1:13" s="12" customFormat="1" x14ac:dyDescent="0.25">
      <c r="A102" s="73"/>
      <c r="B102" s="79" t="s">
        <v>12</v>
      </c>
      <c r="C102" s="90">
        <v>0</v>
      </c>
      <c r="D102" s="75"/>
      <c r="E102" s="76"/>
      <c r="F102" s="76"/>
      <c r="G102" s="76"/>
      <c r="H102" s="76"/>
      <c r="I102" s="76"/>
      <c r="J102" s="76"/>
      <c r="K102" s="76"/>
      <c r="L102" s="77">
        <f>L101*C102</f>
        <v>0</v>
      </c>
    </row>
    <row r="103" spans="1:13" s="12" customFormat="1" x14ac:dyDescent="0.25">
      <c r="A103" s="22"/>
      <c r="B103" s="48" t="s">
        <v>7</v>
      </c>
      <c r="C103" s="78"/>
      <c r="D103" s="78"/>
      <c r="E103" s="49"/>
      <c r="F103" s="49"/>
      <c r="G103" s="49"/>
      <c r="H103" s="49"/>
      <c r="I103" s="49"/>
      <c r="J103" s="49"/>
      <c r="K103" s="49"/>
      <c r="L103" s="71">
        <f>L101+L102</f>
        <v>0</v>
      </c>
    </row>
    <row r="104" spans="1:13" s="12" customFormat="1" x14ac:dyDescent="0.25">
      <c r="A104" s="73"/>
      <c r="B104" s="79" t="s">
        <v>13</v>
      </c>
      <c r="C104" s="90">
        <v>0</v>
      </c>
      <c r="D104" s="75"/>
      <c r="E104" s="76"/>
      <c r="F104" s="76"/>
      <c r="G104" s="76"/>
      <c r="H104" s="76"/>
      <c r="I104" s="76"/>
      <c r="J104" s="76"/>
      <c r="K104" s="76"/>
      <c r="L104" s="77">
        <f>L103*C104</f>
        <v>0</v>
      </c>
    </row>
    <row r="105" spans="1:13" s="12" customFormat="1" x14ac:dyDescent="0.25">
      <c r="A105" s="22"/>
      <c r="B105" s="48" t="s">
        <v>7</v>
      </c>
      <c r="C105" s="78"/>
      <c r="D105" s="78"/>
      <c r="E105" s="49"/>
      <c r="F105" s="49"/>
      <c r="G105" s="49"/>
      <c r="H105" s="49"/>
      <c r="I105" s="49"/>
      <c r="J105" s="49"/>
      <c r="K105" s="49"/>
      <c r="L105" s="71">
        <f>L103+L104</f>
        <v>0</v>
      </c>
    </row>
    <row r="106" spans="1:13" s="12" customFormat="1" x14ac:dyDescent="0.25">
      <c r="A106" s="73"/>
      <c r="B106" s="79" t="s">
        <v>14</v>
      </c>
      <c r="C106" s="90">
        <v>0</v>
      </c>
      <c r="D106" s="75"/>
      <c r="E106" s="76"/>
      <c r="F106" s="76"/>
      <c r="G106" s="76"/>
      <c r="H106" s="76"/>
      <c r="I106" s="76"/>
      <c r="J106" s="76"/>
      <c r="K106" s="76"/>
      <c r="L106" s="77">
        <f>L105*C106</f>
        <v>0</v>
      </c>
    </row>
    <row r="107" spans="1:13" s="12" customFormat="1" x14ac:dyDescent="0.25">
      <c r="A107" s="22"/>
      <c r="B107" s="48" t="s">
        <v>7</v>
      </c>
      <c r="C107" s="80"/>
      <c r="D107" s="80"/>
      <c r="E107" s="49"/>
      <c r="F107" s="49"/>
      <c r="G107" s="49"/>
      <c r="H107" s="49"/>
      <c r="I107" s="49"/>
      <c r="J107" s="49"/>
      <c r="K107" s="49"/>
      <c r="L107" s="71">
        <f>L105+L106</f>
        <v>0</v>
      </c>
    </row>
    <row r="108" spans="1:13" s="12" customFormat="1" x14ac:dyDescent="0.25">
      <c r="A108" s="73"/>
      <c r="B108" s="79" t="s">
        <v>19</v>
      </c>
      <c r="C108" s="90">
        <v>0</v>
      </c>
      <c r="D108" s="75"/>
      <c r="E108" s="76"/>
      <c r="F108" s="76"/>
      <c r="G108" s="76"/>
      <c r="H108" s="76"/>
      <c r="I108" s="76"/>
      <c r="J108" s="76"/>
      <c r="K108" s="76"/>
      <c r="L108" s="77">
        <f>L107*C108</f>
        <v>0</v>
      </c>
    </row>
    <row r="109" spans="1:13" s="12" customFormat="1" ht="12.75" thickBot="1" x14ac:dyDescent="0.3">
      <c r="A109" s="81"/>
      <c r="B109" s="82" t="s">
        <v>7</v>
      </c>
      <c r="C109" s="83"/>
      <c r="D109" s="83"/>
      <c r="E109" s="84"/>
      <c r="F109" s="84"/>
      <c r="G109" s="84"/>
      <c r="H109" s="84"/>
      <c r="I109" s="84"/>
      <c r="J109" s="84"/>
      <c r="K109" s="84"/>
      <c r="L109" s="85">
        <f>L107+L108</f>
        <v>0</v>
      </c>
    </row>
    <row r="110" spans="1:13" x14ac:dyDescent="0.2">
      <c r="L110" s="21"/>
      <c r="M110" s="21"/>
    </row>
    <row r="111" spans="1:13" x14ac:dyDescent="0.2">
      <c r="L111" s="21"/>
      <c r="M111" s="21"/>
    </row>
    <row r="112" spans="1:13" x14ac:dyDescent="0.2">
      <c r="K112" s="86"/>
      <c r="L112" s="87"/>
      <c r="M112" s="21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</sheetData>
  <sheetProtection algorithmName="SHA-512" hashValue="3z0BV4TWaR2UfpBhpOnshYLUsjjD27nQvZaBhtq7AKjJHrSZzo0ihhBgSmI0gEK3pa6WPOgj/iiYeT/5ovj/Bg==" saltValue="VKlodkVA/1RT37HF/Xsn6g==" spinCount="100000" sheet="1" objects="1" scenarios="1"/>
  <mergeCells count="8">
    <mergeCell ref="J6:K6"/>
    <mergeCell ref="L6:L7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54"/>
  <sheetViews>
    <sheetView zoomScaleNormal="100" workbookViewId="0">
      <selection activeCell="O11" sqref="O11"/>
    </sheetView>
  </sheetViews>
  <sheetFormatPr defaultColWidth="8.85546875" defaultRowHeight="12" x14ac:dyDescent="0.2"/>
  <cols>
    <col min="1" max="1" width="8.85546875" style="2"/>
    <col min="2" max="2" width="55" style="2" customWidth="1"/>
    <col min="3" max="3" width="13.710937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3" ht="31.5" customHeight="1" x14ac:dyDescent="0.2"/>
    <row r="3" spans="1:13" ht="15.75" customHeight="1" x14ac:dyDescent="0.2"/>
    <row r="5" spans="1:13" ht="12.75" thickBot="1" x14ac:dyDescent="0.25"/>
    <row r="6" spans="1:13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3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3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39">
        <v>12</v>
      </c>
    </row>
    <row r="9" spans="1:13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3" ht="23.25" customHeight="1" thickBot="1" x14ac:dyDescent="0.25">
      <c r="A10" s="15"/>
      <c r="B10" s="16" t="s">
        <v>199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3" ht="24" x14ac:dyDescent="0.2">
      <c r="A11" s="22"/>
      <c r="B11" s="23" t="s">
        <v>200</v>
      </c>
      <c r="C11" s="220"/>
      <c r="D11" s="221"/>
      <c r="E11" s="221"/>
      <c r="F11" s="221"/>
      <c r="G11" s="221"/>
      <c r="H11" s="221"/>
      <c r="I11" s="221"/>
      <c r="J11" s="221"/>
      <c r="K11" s="221"/>
      <c r="L11" s="222"/>
      <c r="M11" s="21"/>
    </row>
    <row r="12" spans="1:13" s="57" customFormat="1" ht="13.5" customHeight="1" x14ac:dyDescent="0.2">
      <c r="A12" s="91">
        <v>1</v>
      </c>
      <c r="B12" s="92" t="s">
        <v>155</v>
      </c>
      <c r="C12" s="93" t="s">
        <v>62</v>
      </c>
      <c r="D12" s="18"/>
      <c r="E12" s="27">
        <v>13</v>
      </c>
      <c r="F12" s="28"/>
      <c r="G12" s="29">
        <f t="shared" ref="G12:G18" si="0">F12*E12</f>
        <v>0</v>
      </c>
      <c r="H12" s="88">
        <v>0</v>
      </c>
      <c r="I12" s="28">
        <f t="shared" ref="I12:I14" si="1">H12*E12</f>
        <v>0</v>
      </c>
      <c r="J12" s="88">
        <v>0</v>
      </c>
      <c r="K12" s="29">
        <f t="shared" ref="K12:K18" si="2">J12*E12</f>
        <v>0</v>
      </c>
      <c r="L12" s="30">
        <f t="shared" ref="L12:L18" si="3">K12+I12+G12</f>
        <v>0</v>
      </c>
      <c r="M12" s="94"/>
    </row>
    <row r="13" spans="1:13" s="57" customFormat="1" ht="15" customHeight="1" x14ac:dyDescent="0.2">
      <c r="A13" s="91">
        <v>2</v>
      </c>
      <c r="B13" s="92" t="s">
        <v>161</v>
      </c>
      <c r="C13" s="95" t="s">
        <v>15</v>
      </c>
      <c r="D13" s="18"/>
      <c r="E13" s="27">
        <f>6.5*3.25</f>
        <v>21.125</v>
      </c>
      <c r="F13" s="28"/>
      <c r="G13" s="29">
        <f t="shared" si="0"/>
        <v>0</v>
      </c>
      <c r="H13" s="88">
        <v>0</v>
      </c>
      <c r="I13" s="28">
        <f t="shared" si="1"/>
        <v>0</v>
      </c>
      <c r="J13" s="88">
        <v>0</v>
      </c>
      <c r="K13" s="29">
        <f t="shared" si="2"/>
        <v>0</v>
      </c>
      <c r="L13" s="30">
        <f t="shared" si="3"/>
        <v>0</v>
      </c>
      <c r="M13" s="94"/>
    </row>
    <row r="14" spans="1:13" ht="24" x14ac:dyDescent="0.2">
      <c r="A14" s="24">
        <v>3</v>
      </c>
      <c r="B14" s="25" t="s">
        <v>154</v>
      </c>
      <c r="C14" s="95" t="s">
        <v>16</v>
      </c>
      <c r="D14" s="26">
        <v>1.28</v>
      </c>
      <c r="E14" s="27">
        <f>E13*0.6*D14</f>
        <v>16.224</v>
      </c>
      <c r="F14" s="28"/>
      <c r="G14" s="29">
        <f t="shared" si="0"/>
        <v>0</v>
      </c>
      <c r="H14" s="88">
        <v>0</v>
      </c>
      <c r="I14" s="28">
        <f t="shared" si="1"/>
        <v>0</v>
      </c>
      <c r="J14" s="88">
        <v>0</v>
      </c>
      <c r="K14" s="29">
        <f t="shared" si="2"/>
        <v>0</v>
      </c>
      <c r="L14" s="30">
        <f t="shared" si="3"/>
        <v>0</v>
      </c>
      <c r="M14" s="21"/>
    </row>
    <row r="15" spans="1:13" ht="15" customHeight="1" x14ac:dyDescent="0.2">
      <c r="A15" s="24">
        <v>4</v>
      </c>
      <c r="B15" s="25" t="s">
        <v>41</v>
      </c>
      <c r="C15" s="26" t="s">
        <v>16</v>
      </c>
      <c r="D15" s="26">
        <v>1.28</v>
      </c>
      <c r="E15" s="27">
        <f>E13*0.05*D15</f>
        <v>1.3520000000000001</v>
      </c>
      <c r="F15" s="28"/>
      <c r="G15" s="29">
        <f t="shared" si="0"/>
        <v>0</v>
      </c>
      <c r="H15" s="88">
        <v>0</v>
      </c>
      <c r="I15" s="28">
        <f>H15*E15</f>
        <v>0</v>
      </c>
      <c r="J15" s="29"/>
      <c r="K15" s="29">
        <f t="shared" si="2"/>
        <v>0</v>
      </c>
      <c r="L15" s="30">
        <f t="shared" si="3"/>
        <v>0</v>
      </c>
      <c r="M15" s="21"/>
    </row>
    <row r="16" spans="1:13" ht="24.75" customHeight="1" x14ac:dyDescent="0.2">
      <c r="A16" s="24">
        <v>5</v>
      </c>
      <c r="B16" s="25" t="s">
        <v>203</v>
      </c>
      <c r="C16" s="31" t="s">
        <v>35</v>
      </c>
      <c r="D16" s="26">
        <v>1.95</v>
      </c>
      <c r="E16" s="27">
        <f>(E13*0.1+E14+E15)*D16</f>
        <v>38.392575000000001</v>
      </c>
      <c r="F16" s="28"/>
      <c r="G16" s="29">
        <f t="shared" si="0"/>
        <v>0</v>
      </c>
      <c r="H16" s="88">
        <v>0</v>
      </c>
      <c r="I16" s="28">
        <f t="shared" ref="I16:I18" si="4">H16*E16</f>
        <v>0</v>
      </c>
      <c r="J16" s="88">
        <v>0</v>
      </c>
      <c r="K16" s="29">
        <f t="shared" si="2"/>
        <v>0</v>
      </c>
      <c r="L16" s="30">
        <f t="shared" si="3"/>
        <v>0</v>
      </c>
      <c r="M16" s="21"/>
    </row>
    <row r="17" spans="1:14" ht="12.75" x14ac:dyDescent="0.2">
      <c r="A17" s="24">
        <v>6</v>
      </c>
      <c r="B17" s="25" t="s">
        <v>43</v>
      </c>
      <c r="C17" s="31" t="s">
        <v>15</v>
      </c>
      <c r="D17" s="26"/>
      <c r="E17" s="27">
        <f>E13</f>
        <v>21.125</v>
      </c>
      <c r="F17" s="28"/>
      <c r="G17" s="29">
        <f t="shared" si="0"/>
        <v>0</v>
      </c>
      <c r="H17" s="88">
        <v>0</v>
      </c>
      <c r="I17" s="28">
        <f t="shared" si="4"/>
        <v>0</v>
      </c>
      <c r="J17" s="88">
        <v>0</v>
      </c>
      <c r="K17" s="29">
        <f t="shared" si="2"/>
        <v>0</v>
      </c>
      <c r="L17" s="30">
        <f t="shared" si="3"/>
        <v>0</v>
      </c>
      <c r="N17" s="21"/>
    </row>
    <row r="18" spans="1:14" ht="12.75" x14ac:dyDescent="0.2">
      <c r="A18" s="24">
        <v>7</v>
      </c>
      <c r="B18" s="25" t="s">
        <v>202</v>
      </c>
      <c r="C18" s="31" t="s">
        <v>16</v>
      </c>
      <c r="D18" s="26"/>
      <c r="E18" s="27">
        <f>E17*0.35*1.25</f>
        <v>9.2421875</v>
      </c>
      <c r="F18" s="88">
        <v>0</v>
      </c>
      <c r="G18" s="29">
        <f t="shared" si="0"/>
        <v>0</v>
      </c>
      <c r="H18" s="88">
        <v>0</v>
      </c>
      <c r="I18" s="28">
        <f t="shared" si="4"/>
        <v>0</v>
      </c>
      <c r="J18" s="88">
        <v>0</v>
      </c>
      <c r="K18" s="29">
        <f t="shared" si="2"/>
        <v>0</v>
      </c>
      <c r="L18" s="30">
        <f t="shared" si="3"/>
        <v>0</v>
      </c>
      <c r="N18" s="21"/>
    </row>
    <row r="19" spans="1:14" ht="25.5" customHeight="1" x14ac:dyDescent="0.2">
      <c r="A19" s="24">
        <v>8</v>
      </c>
      <c r="B19" s="25" t="s">
        <v>201</v>
      </c>
      <c r="C19" s="39" t="s">
        <v>16</v>
      </c>
      <c r="D19" s="26"/>
      <c r="E19" s="27">
        <f>E17*0.1*1.25</f>
        <v>2.6406250000000004</v>
      </c>
      <c r="F19" s="88">
        <v>0</v>
      </c>
      <c r="G19" s="29">
        <f>F19*E19</f>
        <v>0</v>
      </c>
      <c r="H19" s="88">
        <v>0</v>
      </c>
      <c r="I19" s="28">
        <f t="shared" ref="I19:I20" si="5">H19*E19</f>
        <v>0</v>
      </c>
      <c r="J19" s="88">
        <v>0</v>
      </c>
      <c r="K19" s="28">
        <f>J19*E19</f>
        <v>0</v>
      </c>
      <c r="L19" s="30">
        <f t="shared" ref="L19:L20" si="6">K19+I19+G19</f>
        <v>0</v>
      </c>
      <c r="N19" s="21"/>
    </row>
    <row r="20" spans="1:14" ht="39.75" customHeight="1" x14ac:dyDescent="0.2">
      <c r="A20" s="45">
        <v>9</v>
      </c>
      <c r="B20" s="38" t="s">
        <v>204</v>
      </c>
      <c r="C20" s="39" t="s">
        <v>20</v>
      </c>
      <c r="D20" s="26"/>
      <c r="E20" s="140">
        <v>1</v>
      </c>
      <c r="F20" s="29"/>
      <c r="G20" s="29">
        <f>F20*E20</f>
        <v>0</v>
      </c>
      <c r="H20" s="88">
        <v>0</v>
      </c>
      <c r="I20" s="28">
        <f t="shared" si="5"/>
        <v>0</v>
      </c>
      <c r="J20" s="88">
        <v>0</v>
      </c>
      <c r="K20" s="28">
        <f>J20*E20</f>
        <v>0</v>
      </c>
      <c r="L20" s="30">
        <f t="shared" si="6"/>
        <v>0</v>
      </c>
      <c r="N20" s="21"/>
    </row>
    <row r="21" spans="1:14" ht="24.75" customHeight="1" x14ac:dyDescent="0.2">
      <c r="A21" s="22">
        <v>10</v>
      </c>
      <c r="B21" s="47" t="s">
        <v>282</v>
      </c>
      <c r="C21" s="48" t="s">
        <v>15</v>
      </c>
      <c r="D21" s="48"/>
      <c r="E21" s="49">
        <v>21.12</v>
      </c>
      <c r="F21" s="49"/>
      <c r="G21" s="49"/>
      <c r="H21" s="49"/>
      <c r="I21" s="49"/>
      <c r="J21" s="49"/>
      <c r="K21" s="49"/>
      <c r="L21" s="119"/>
      <c r="M21" s="21"/>
    </row>
    <row r="22" spans="1:14" ht="12.75" x14ac:dyDescent="0.2">
      <c r="A22" s="51">
        <v>10.1</v>
      </c>
      <c r="B22" s="38" t="s">
        <v>46</v>
      </c>
      <c r="C22" s="39" t="s">
        <v>16</v>
      </c>
      <c r="D22" s="39"/>
      <c r="E22" s="27">
        <f>6.5*3.25*0.25</f>
        <v>5.28125</v>
      </c>
      <c r="F22" s="28"/>
      <c r="G22" s="29">
        <f t="shared" ref="G22:G26" si="7">F22*E22</f>
        <v>0</v>
      </c>
      <c r="H22" s="88">
        <v>0</v>
      </c>
      <c r="I22" s="28">
        <f>H22*E22</f>
        <v>0</v>
      </c>
      <c r="J22" s="28"/>
      <c r="K22" s="28">
        <f>J22*E22</f>
        <v>0</v>
      </c>
      <c r="L22" s="30">
        <f>K22+I22+G22</f>
        <v>0</v>
      </c>
      <c r="M22" s="21"/>
    </row>
    <row r="23" spans="1:14" ht="12.75" x14ac:dyDescent="0.2">
      <c r="A23" s="51">
        <v>10.199999999999999</v>
      </c>
      <c r="B23" s="38" t="s">
        <v>47</v>
      </c>
      <c r="C23" s="39" t="s">
        <v>16</v>
      </c>
      <c r="D23" s="39"/>
      <c r="E23" s="27">
        <f>E22</f>
        <v>5.28125</v>
      </c>
      <c r="F23" s="28"/>
      <c r="G23" s="29">
        <f t="shared" si="7"/>
        <v>0</v>
      </c>
      <c r="H23" s="29"/>
      <c r="I23" s="28">
        <f t="shared" ref="I23:I28" si="8">H23*E23</f>
        <v>0</v>
      </c>
      <c r="J23" s="88">
        <v>0</v>
      </c>
      <c r="K23" s="28">
        <f>J23*E23</f>
        <v>0</v>
      </c>
      <c r="L23" s="30">
        <f t="shared" ref="L23:L28" si="9">K23+I23+G23</f>
        <v>0</v>
      </c>
      <c r="N23" s="21"/>
    </row>
    <row r="24" spans="1:14" ht="12.75" x14ac:dyDescent="0.2">
      <c r="A24" s="51">
        <v>10.3</v>
      </c>
      <c r="B24" s="38" t="s">
        <v>48</v>
      </c>
      <c r="C24" s="39" t="s">
        <v>16</v>
      </c>
      <c r="D24" s="39">
        <v>1.02</v>
      </c>
      <c r="E24" s="27">
        <f>E23*D24</f>
        <v>5.3868749999999999</v>
      </c>
      <c r="F24" s="88">
        <v>0</v>
      </c>
      <c r="G24" s="29">
        <f t="shared" si="7"/>
        <v>0</v>
      </c>
      <c r="H24" s="28"/>
      <c r="I24" s="28">
        <f t="shared" si="8"/>
        <v>0</v>
      </c>
      <c r="J24" s="29"/>
      <c r="K24" s="28">
        <f t="shared" ref="K24:K28" si="10">J24*E24</f>
        <v>0</v>
      </c>
      <c r="L24" s="30">
        <f t="shared" si="9"/>
        <v>0</v>
      </c>
      <c r="N24" s="21"/>
    </row>
    <row r="25" spans="1:14" ht="12.75" x14ac:dyDescent="0.2">
      <c r="A25" s="51">
        <v>10.4</v>
      </c>
      <c r="B25" s="38" t="s">
        <v>162</v>
      </c>
      <c r="C25" s="39" t="s">
        <v>49</v>
      </c>
      <c r="D25" s="39"/>
      <c r="E25" s="52">
        <f>385*1.21*1.03/1000</f>
        <v>0.47982549999999996</v>
      </c>
      <c r="F25" s="88">
        <v>0</v>
      </c>
      <c r="G25" s="29">
        <f t="shared" si="7"/>
        <v>0</v>
      </c>
      <c r="H25" s="28"/>
      <c r="I25" s="28">
        <f t="shared" si="8"/>
        <v>0</v>
      </c>
      <c r="J25" s="28"/>
      <c r="K25" s="28">
        <f t="shared" si="10"/>
        <v>0</v>
      </c>
      <c r="L25" s="30">
        <f t="shared" si="9"/>
        <v>0</v>
      </c>
      <c r="N25" s="3"/>
    </row>
    <row r="26" spans="1:14" ht="12.75" x14ac:dyDescent="0.2">
      <c r="A26" s="51">
        <v>10.5</v>
      </c>
      <c r="B26" s="38" t="s">
        <v>64</v>
      </c>
      <c r="C26" s="39" t="s">
        <v>49</v>
      </c>
      <c r="D26" s="39"/>
      <c r="E26" s="52">
        <f>95*0.395*1.03/1000</f>
        <v>3.8650750000000005E-2</v>
      </c>
      <c r="F26" s="88">
        <v>0</v>
      </c>
      <c r="G26" s="29">
        <f t="shared" si="7"/>
        <v>0</v>
      </c>
      <c r="H26" s="28"/>
      <c r="I26" s="28">
        <f t="shared" si="8"/>
        <v>0</v>
      </c>
      <c r="J26" s="28"/>
      <c r="K26" s="28">
        <f t="shared" si="10"/>
        <v>0</v>
      </c>
      <c r="L26" s="30">
        <f t="shared" si="9"/>
        <v>0</v>
      </c>
      <c r="N26" s="3"/>
    </row>
    <row r="27" spans="1:14" ht="13.5" customHeight="1" x14ac:dyDescent="0.2">
      <c r="A27" s="51">
        <v>10.6</v>
      </c>
      <c r="B27" s="38" t="s">
        <v>163</v>
      </c>
      <c r="C27" s="39" t="s">
        <v>10</v>
      </c>
      <c r="D27" s="39"/>
      <c r="E27" s="27">
        <v>1</v>
      </c>
      <c r="F27" s="88">
        <v>0</v>
      </c>
      <c r="G27" s="29">
        <f>F27*E27</f>
        <v>0</v>
      </c>
      <c r="H27" s="28"/>
      <c r="I27" s="28">
        <f t="shared" si="8"/>
        <v>0</v>
      </c>
      <c r="J27" s="28"/>
      <c r="K27" s="28">
        <f t="shared" si="10"/>
        <v>0</v>
      </c>
      <c r="L27" s="30">
        <f t="shared" si="9"/>
        <v>0</v>
      </c>
      <c r="N27" s="21"/>
    </row>
    <row r="28" spans="1:14" ht="17.25" customHeight="1" x14ac:dyDescent="0.25">
      <c r="A28" s="24">
        <v>11</v>
      </c>
      <c r="B28" s="25" t="s">
        <v>288</v>
      </c>
      <c r="C28" s="26" t="s">
        <v>20</v>
      </c>
      <c r="D28" s="64"/>
      <c r="E28" s="27">
        <v>1</v>
      </c>
      <c r="F28" s="89">
        <v>0</v>
      </c>
      <c r="G28" s="29">
        <f t="shared" ref="G28" si="11">F28*E28</f>
        <v>0</v>
      </c>
      <c r="H28" s="88">
        <v>0</v>
      </c>
      <c r="I28" s="29">
        <f t="shared" si="8"/>
        <v>0</v>
      </c>
      <c r="J28" s="89">
        <v>0</v>
      </c>
      <c r="K28" s="29">
        <f t="shared" si="10"/>
        <v>0</v>
      </c>
      <c r="L28" s="30">
        <f t="shared" si="9"/>
        <v>0</v>
      </c>
      <c r="M28" s="21"/>
    </row>
    <row r="29" spans="1:14" s="72" customFormat="1" x14ac:dyDescent="0.25">
      <c r="A29" s="22"/>
      <c r="B29" s="48" t="s">
        <v>7</v>
      </c>
      <c r="C29" s="69"/>
      <c r="D29" s="69"/>
      <c r="E29" s="49"/>
      <c r="F29" s="49"/>
      <c r="G29" s="70">
        <f>SUM(G12:G28)</f>
        <v>0</v>
      </c>
      <c r="H29" s="49"/>
      <c r="I29" s="70">
        <f>SUM(I12:I28)</f>
        <v>0</v>
      </c>
      <c r="J29" s="49"/>
      <c r="K29" s="70">
        <f>SUM(K12:K28)</f>
        <v>0</v>
      </c>
      <c r="L29" s="71">
        <f>SUM(L12:L28)</f>
        <v>0</v>
      </c>
    </row>
    <row r="30" spans="1:14" s="12" customFormat="1" x14ac:dyDescent="0.25">
      <c r="A30" s="73"/>
      <c r="B30" s="74" t="s">
        <v>18</v>
      </c>
      <c r="C30" s="90">
        <v>0</v>
      </c>
      <c r="D30" s="75"/>
      <c r="E30" s="76"/>
      <c r="F30" s="76"/>
      <c r="G30" s="76"/>
      <c r="H30" s="76"/>
      <c r="I30" s="76"/>
      <c r="J30" s="76"/>
      <c r="K30" s="76"/>
      <c r="L30" s="77">
        <f>C30*G29</f>
        <v>0</v>
      </c>
    </row>
    <row r="31" spans="1:14" s="12" customFormat="1" x14ac:dyDescent="0.25">
      <c r="A31" s="22"/>
      <c r="B31" s="48" t="s">
        <v>7</v>
      </c>
      <c r="C31" s="78"/>
      <c r="D31" s="78"/>
      <c r="E31" s="49"/>
      <c r="F31" s="49"/>
      <c r="G31" s="49"/>
      <c r="H31" s="49"/>
      <c r="I31" s="49"/>
      <c r="J31" s="49"/>
      <c r="K31" s="49"/>
      <c r="L31" s="71">
        <f>L30+L29</f>
        <v>0</v>
      </c>
    </row>
    <row r="32" spans="1:14" s="12" customFormat="1" x14ac:dyDescent="0.25">
      <c r="A32" s="73"/>
      <c r="B32" s="79" t="s">
        <v>11</v>
      </c>
      <c r="C32" s="90">
        <v>0</v>
      </c>
      <c r="D32" s="75"/>
      <c r="E32" s="76"/>
      <c r="F32" s="76"/>
      <c r="G32" s="76"/>
      <c r="H32" s="76"/>
      <c r="I32" s="76"/>
      <c r="J32" s="76"/>
      <c r="K32" s="76"/>
      <c r="L32" s="77">
        <f>L31*C32</f>
        <v>0</v>
      </c>
    </row>
    <row r="33" spans="1:13" s="12" customFormat="1" x14ac:dyDescent="0.25">
      <c r="A33" s="22"/>
      <c r="B33" s="48" t="s">
        <v>7</v>
      </c>
      <c r="C33" s="78"/>
      <c r="D33" s="78"/>
      <c r="E33" s="49"/>
      <c r="F33" s="49"/>
      <c r="G33" s="49"/>
      <c r="H33" s="49"/>
      <c r="I33" s="49"/>
      <c r="J33" s="49"/>
      <c r="K33" s="49"/>
      <c r="L33" s="71">
        <f>L32+L31</f>
        <v>0</v>
      </c>
    </row>
    <row r="34" spans="1:13" s="12" customFormat="1" x14ac:dyDescent="0.25">
      <c r="A34" s="73"/>
      <c r="B34" s="79" t="s">
        <v>12</v>
      </c>
      <c r="C34" s="90">
        <v>0</v>
      </c>
      <c r="D34" s="75"/>
      <c r="E34" s="76"/>
      <c r="F34" s="76"/>
      <c r="G34" s="76"/>
      <c r="H34" s="76"/>
      <c r="I34" s="76"/>
      <c r="J34" s="76"/>
      <c r="K34" s="76"/>
      <c r="L34" s="77">
        <f>L33*C34</f>
        <v>0</v>
      </c>
    </row>
    <row r="35" spans="1:13" s="12" customFormat="1" x14ac:dyDescent="0.25">
      <c r="A35" s="22"/>
      <c r="B35" s="48" t="s">
        <v>7</v>
      </c>
      <c r="C35" s="78"/>
      <c r="D35" s="78"/>
      <c r="E35" s="49"/>
      <c r="F35" s="49"/>
      <c r="G35" s="49"/>
      <c r="H35" s="49"/>
      <c r="I35" s="49"/>
      <c r="J35" s="49"/>
      <c r="K35" s="49"/>
      <c r="L35" s="71">
        <f>L33+L34</f>
        <v>0</v>
      </c>
    </row>
    <row r="36" spans="1:13" s="12" customFormat="1" x14ac:dyDescent="0.25">
      <c r="A36" s="73"/>
      <c r="B36" s="79" t="s">
        <v>13</v>
      </c>
      <c r="C36" s="90">
        <v>0</v>
      </c>
      <c r="D36" s="75"/>
      <c r="E36" s="76"/>
      <c r="F36" s="76"/>
      <c r="G36" s="76"/>
      <c r="H36" s="76"/>
      <c r="I36" s="76"/>
      <c r="J36" s="76"/>
      <c r="K36" s="76"/>
      <c r="L36" s="77">
        <f>L35*C36</f>
        <v>0</v>
      </c>
    </row>
    <row r="37" spans="1:13" s="12" customFormat="1" x14ac:dyDescent="0.25">
      <c r="A37" s="22"/>
      <c r="B37" s="48" t="s">
        <v>7</v>
      </c>
      <c r="C37" s="78"/>
      <c r="D37" s="78"/>
      <c r="E37" s="49"/>
      <c r="F37" s="49"/>
      <c r="G37" s="49"/>
      <c r="H37" s="49"/>
      <c r="I37" s="49"/>
      <c r="J37" s="49"/>
      <c r="K37" s="49"/>
      <c r="L37" s="71">
        <f>L35+L36</f>
        <v>0</v>
      </c>
    </row>
    <row r="38" spans="1:13" s="12" customFormat="1" x14ac:dyDescent="0.25">
      <c r="A38" s="73"/>
      <c r="B38" s="79" t="s">
        <v>14</v>
      </c>
      <c r="C38" s="90">
        <v>0</v>
      </c>
      <c r="D38" s="75"/>
      <c r="E38" s="76"/>
      <c r="F38" s="76"/>
      <c r="G38" s="76"/>
      <c r="H38" s="76"/>
      <c r="I38" s="76"/>
      <c r="J38" s="76"/>
      <c r="K38" s="76"/>
      <c r="L38" s="77">
        <f>L37*C38</f>
        <v>0</v>
      </c>
    </row>
    <row r="39" spans="1:13" s="12" customFormat="1" x14ac:dyDescent="0.25">
      <c r="A39" s="22"/>
      <c r="B39" s="48" t="s">
        <v>7</v>
      </c>
      <c r="C39" s="80"/>
      <c r="D39" s="80"/>
      <c r="E39" s="49"/>
      <c r="F39" s="49"/>
      <c r="G39" s="49"/>
      <c r="H39" s="49"/>
      <c r="I39" s="49"/>
      <c r="J39" s="49"/>
      <c r="K39" s="49"/>
      <c r="L39" s="71">
        <f>L37+L38</f>
        <v>0</v>
      </c>
    </row>
    <row r="40" spans="1:13" s="12" customFormat="1" x14ac:dyDescent="0.25">
      <c r="A40" s="73"/>
      <c r="B40" s="79" t="s">
        <v>19</v>
      </c>
      <c r="C40" s="90">
        <v>0</v>
      </c>
      <c r="D40" s="75"/>
      <c r="E40" s="76"/>
      <c r="F40" s="76"/>
      <c r="G40" s="76"/>
      <c r="H40" s="76"/>
      <c r="I40" s="76"/>
      <c r="J40" s="76"/>
      <c r="K40" s="76"/>
      <c r="L40" s="77">
        <f>L39*C40</f>
        <v>0</v>
      </c>
    </row>
    <row r="41" spans="1:13" s="12" customFormat="1" ht="12.75" thickBot="1" x14ac:dyDescent="0.3">
      <c r="A41" s="81"/>
      <c r="B41" s="82" t="s">
        <v>7</v>
      </c>
      <c r="C41" s="83"/>
      <c r="D41" s="83"/>
      <c r="E41" s="84"/>
      <c r="F41" s="84"/>
      <c r="G41" s="84"/>
      <c r="H41" s="84"/>
      <c r="I41" s="84"/>
      <c r="J41" s="84"/>
      <c r="K41" s="84"/>
      <c r="L41" s="85">
        <f>L39+L40</f>
        <v>0</v>
      </c>
    </row>
    <row r="42" spans="1:13" x14ac:dyDescent="0.2">
      <c r="L42" s="21"/>
      <c r="M42" s="21"/>
    </row>
    <row r="43" spans="1:13" x14ac:dyDescent="0.2">
      <c r="L43" s="21"/>
      <c r="M43" s="21"/>
    </row>
    <row r="44" spans="1:13" x14ac:dyDescent="0.2">
      <c r="K44" s="86"/>
      <c r="L44" s="87"/>
      <c r="M44" s="21"/>
    </row>
    <row r="46" spans="1:13" x14ac:dyDescent="0.2">
      <c r="E46" s="2"/>
    </row>
    <row r="47" spans="1:13" x14ac:dyDescent="0.2">
      <c r="E47" s="2"/>
    </row>
    <row r="48" spans="1:13" x14ac:dyDescent="0.2">
      <c r="E48" s="2"/>
    </row>
    <row r="49" spans="5:5" x14ac:dyDescent="0.2">
      <c r="E49" s="2"/>
    </row>
    <row r="50" spans="5:5" x14ac:dyDescent="0.2">
      <c r="E50" s="2"/>
    </row>
    <row r="51" spans="5:5" x14ac:dyDescent="0.2">
      <c r="E51" s="2"/>
    </row>
    <row r="52" spans="5:5" x14ac:dyDescent="0.2">
      <c r="E52" s="2"/>
    </row>
    <row r="53" spans="5:5" x14ac:dyDescent="0.2">
      <c r="E53" s="2"/>
    </row>
    <row r="54" spans="5:5" x14ac:dyDescent="0.2">
      <c r="E54" s="2"/>
    </row>
  </sheetData>
  <sheetProtection algorithmName="SHA-512" hashValue="8bKWuzv8+tNFqrPEC3RZl0A0WYTRDJnK27SPnOLzzIuob6qFqN5T3YMs5lu2B/UnfUtCSC/pnUrZA7xpMmLc+g==" saltValue="EMlpl8UooLypmU10xdZzQw==" spinCount="100000" sheet="1" objects="1" scenarios="1"/>
  <mergeCells count="9">
    <mergeCell ref="J6:K6"/>
    <mergeCell ref="L6:L7"/>
    <mergeCell ref="C11:L11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85"/>
  <sheetViews>
    <sheetView zoomScaleNormal="100" workbookViewId="0">
      <selection activeCell="N16" sqref="N16"/>
    </sheetView>
  </sheetViews>
  <sheetFormatPr defaultColWidth="8.85546875" defaultRowHeight="12" x14ac:dyDescent="0.2"/>
  <cols>
    <col min="1" max="1" width="8.85546875" style="2"/>
    <col min="2" max="2" width="55.42578125" style="2" customWidth="1"/>
    <col min="3" max="3" width="13.2851562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4" ht="34.5" customHeight="1" x14ac:dyDescent="0.2"/>
    <row r="5" spans="1:14" ht="12.75" thickBot="1" x14ac:dyDescent="0.25"/>
    <row r="6" spans="1:14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4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4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1">
        <v>12</v>
      </c>
    </row>
    <row r="9" spans="1:14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4" ht="23.25" customHeight="1" thickBot="1" x14ac:dyDescent="0.25">
      <c r="A10" s="15"/>
      <c r="B10" s="16" t="s">
        <v>206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4" ht="12.75" x14ac:dyDescent="0.2">
      <c r="A11" s="22">
        <v>1</v>
      </c>
      <c r="B11" s="47" t="s">
        <v>183</v>
      </c>
      <c r="C11" s="33" t="s">
        <v>181</v>
      </c>
      <c r="D11" s="33"/>
      <c r="E11" s="111">
        <f>E18+E17</f>
        <v>5.41</v>
      </c>
      <c r="F11" s="49"/>
      <c r="G11" s="49"/>
      <c r="H11" s="49"/>
      <c r="I11" s="49"/>
      <c r="J11" s="49"/>
      <c r="K11" s="49"/>
      <c r="L11" s="50"/>
      <c r="M11" s="21"/>
    </row>
    <row r="12" spans="1:14" s="43" customFormat="1" ht="12.75" x14ac:dyDescent="0.25">
      <c r="A12" s="37">
        <v>1.1000000000000001</v>
      </c>
      <c r="B12" s="112" t="s">
        <v>167</v>
      </c>
      <c r="C12" s="113" t="s">
        <v>181</v>
      </c>
      <c r="D12" s="39"/>
      <c r="E12" s="114">
        <f>E11</f>
        <v>5.41</v>
      </c>
      <c r="F12" s="41"/>
      <c r="G12" s="29">
        <f t="shared" ref="G12:G22" si="0">F12*E12</f>
        <v>0</v>
      </c>
      <c r="H12" s="88">
        <v>0</v>
      </c>
      <c r="I12" s="28">
        <f>H12*E12</f>
        <v>0</v>
      </c>
      <c r="J12" s="42"/>
      <c r="K12" s="28">
        <f>J12*E12</f>
        <v>0</v>
      </c>
      <c r="L12" s="30">
        <f t="shared" ref="L12:L44" si="1">K12+I12+G12</f>
        <v>0</v>
      </c>
      <c r="N12" s="44"/>
    </row>
    <row r="13" spans="1:14" s="43" customFormat="1" ht="12.75" x14ac:dyDescent="0.25">
      <c r="A13" s="37">
        <v>1.2</v>
      </c>
      <c r="B13" s="115" t="s">
        <v>184</v>
      </c>
      <c r="C13" s="113" t="s">
        <v>21</v>
      </c>
      <c r="D13" s="39"/>
      <c r="E13" s="114">
        <v>1</v>
      </c>
      <c r="F13" s="42"/>
      <c r="G13" s="29">
        <f t="shared" si="0"/>
        <v>0</v>
      </c>
      <c r="H13" s="41"/>
      <c r="I13" s="28">
        <f t="shared" ref="I13:I22" si="2">H13*E13</f>
        <v>0</v>
      </c>
      <c r="J13" s="88">
        <v>0</v>
      </c>
      <c r="K13" s="28">
        <f t="shared" ref="K13:K14" si="3">J13*E13</f>
        <v>0</v>
      </c>
      <c r="L13" s="30">
        <f t="shared" si="1"/>
        <v>0</v>
      </c>
      <c r="N13" s="44"/>
    </row>
    <row r="14" spans="1:14" s="43" customFormat="1" ht="12.75" x14ac:dyDescent="0.25">
      <c r="A14" s="37">
        <v>1.3</v>
      </c>
      <c r="B14" s="115" t="s">
        <v>185</v>
      </c>
      <c r="C14" s="113" t="s">
        <v>21</v>
      </c>
      <c r="D14" s="39"/>
      <c r="E14" s="114">
        <v>1</v>
      </c>
      <c r="F14" s="42"/>
      <c r="G14" s="29">
        <f t="shared" si="0"/>
        <v>0</v>
      </c>
      <c r="H14" s="41"/>
      <c r="I14" s="28">
        <f t="shared" si="2"/>
        <v>0</v>
      </c>
      <c r="J14" s="88">
        <v>0</v>
      </c>
      <c r="K14" s="28">
        <f t="shared" si="3"/>
        <v>0</v>
      </c>
      <c r="L14" s="30">
        <f t="shared" si="1"/>
        <v>0</v>
      </c>
      <c r="N14" s="44"/>
    </row>
    <row r="15" spans="1:14" s="43" customFormat="1" ht="12.75" customHeight="1" x14ac:dyDescent="0.25">
      <c r="A15" s="37">
        <v>1.4</v>
      </c>
      <c r="B15" s="115" t="s">
        <v>175</v>
      </c>
      <c r="C15" s="113" t="s">
        <v>10</v>
      </c>
      <c r="D15" s="39"/>
      <c r="E15" s="114">
        <v>1</v>
      </c>
      <c r="F15" s="42"/>
      <c r="G15" s="29">
        <f t="shared" si="0"/>
        <v>0</v>
      </c>
      <c r="H15" s="41"/>
      <c r="I15" s="28">
        <f t="shared" si="2"/>
        <v>0</v>
      </c>
      <c r="J15" s="88">
        <v>0</v>
      </c>
      <c r="K15" s="28">
        <f>J15*E15</f>
        <v>0</v>
      </c>
      <c r="L15" s="30">
        <f t="shared" si="1"/>
        <v>0</v>
      </c>
      <c r="N15" s="44"/>
    </row>
    <row r="16" spans="1:14" s="43" customFormat="1" ht="12.75" customHeight="1" x14ac:dyDescent="0.25">
      <c r="A16" s="37">
        <v>1.5</v>
      </c>
      <c r="B16" s="112" t="s">
        <v>169</v>
      </c>
      <c r="C16" s="116"/>
      <c r="D16" s="116"/>
      <c r="E16" s="116"/>
      <c r="F16" s="42"/>
      <c r="G16" s="29"/>
      <c r="H16" s="41"/>
      <c r="I16" s="28"/>
      <c r="J16" s="29"/>
      <c r="K16" s="28"/>
      <c r="L16" s="30"/>
      <c r="N16" s="44"/>
    </row>
    <row r="17" spans="1:14" s="43" customFormat="1" ht="12.75" customHeight="1" x14ac:dyDescent="0.25">
      <c r="A17" s="37">
        <v>1.6</v>
      </c>
      <c r="B17" s="115" t="s">
        <v>176</v>
      </c>
      <c r="C17" s="113" t="s">
        <v>181</v>
      </c>
      <c r="D17" s="39"/>
      <c r="E17" s="114">
        <v>0.52</v>
      </c>
      <c r="F17" s="88">
        <v>0</v>
      </c>
      <c r="G17" s="29">
        <f t="shared" si="0"/>
        <v>0</v>
      </c>
      <c r="H17" s="41"/>
      <c r="I17" s="28">
        <f t="shared" si="2"/>
        <v>0</v>
      </c>
      <c r="J17" s="41"/>
      <c r="K17" s="28">
        <f t="shared" ref="K17:K22" si="4">J17*E17</f>
        <v>0</v>
      </c>
      <c r="L17" s="30">
        <f t="shared" si="1"/>
        <v>0</v>
      </c>
      <c r="N17" s="44"/>
    </row>
    <row r="18" spans="1:14" s="43" customFormat="1" ht="12.75" customHeight="1" x14ac:dyDescent="0.25">
      <c r="A18" s="37">
        <v>1.7</v>
      </c>
      <c r="B18" s="115" t="s">
        <v>177</v>
      </c>
      <c r="C18" s="113" t="s">
        <v>181</v>
      </c>
      <c r="D18" s="39"/>
      <c r="E18" s="114">
        <v>4.8899999999999997</v>
      </c>
      <c r="F18" s="88">
        <v>0</v>
      </c>
      <c r="G18" s="29">
        <f t="shared" si="0"/>
        <v>0</v>
      </c>
      <c r="H18" s="41"/>
      <c r="I18" s="28">
        <f t="shared" si="2"/>
        <v>0</v>
      </c>
      <c r="J18" s="41"/>
      <c r="K18" s="28">
        <f t="shared" si="4"/>
        <v>0</v>
      </c>
      <c r="L18" s="30">
        <f t="shared" si="1"/>
        <v>0</v>
      </c>
      <c r="N18" s="44"/>
    </row>
    <row r="19" spans="1:14" s="43" customFormat="1" ht="12.75" customHeight="1" x14ac:dyDescent="0.25">
      <c r="A19" s="37">
        <v>1.8</v>
      </c>
      <c r="B19" s="115" t="s">
        <v>178</v>
      </c>
      <c r="C19" s="113" t="s">
        <v>181</v>
      </c>
      <c r="D19" s="39"/>
      <c r="E19" s="114">
        <v>3.1E-2</v>
      </c>
      <c r="F19" s="88">
        <v>0</v>
      </c>
      <c r="G19" s="29">
        <f t="shared" si="0"/>
        <v>0</v>
      </c>
      <c r="H19" s="41"/>
      <c r="I19" s="28">
        <f t="shared" si="2"/>
        <v>0</v>
      </c>
      <c r="J19" s="41"/>
      <c r="K19" s="28">
        <f t="shared" si="4"/>
        <v>0</v>
      </c>
      <c r="L19" s="30">
        <f t="shared" si="1"/>
        <v>0</v>
      </c>
      <c r="N19" s="44"/>
    </row>
    <row r="20" spans="1:14" s="43" customFormat="1" ht="12.75" customHeight="1" x14ac:dyDescent="0.25">
      <c r="A20" s="37">
        <v>1.9</v>
      </c>
      <c r="B20" s="115" t="s">
        <v>179</v>
      </c>
      <c r="C20" s="113" t="s">
        <v>9</v>
      </c>
      <c r="D20" s="39">
        <v>8.5</v>
      </c>
      <c r="E20" s="114">
        <f>E11*8.5</f>
        <v>45.984999999999999</v>
      </c>
      <c r="F20" s="88">
        <v>0</v>
      </c>
      <c r="G20" s="29">
        <f t="shared" si="0"/>
        <v>0</v>
      </c>
      <c r="H20" s="41"/>
      <c r="I20" s="28">
        <f t="shared" si="2"/>
        <v>0</v>
      </c>
      <c r="J20" s="41"/>
      <c r="K20" s="28">
        <f t="shared" si="4"/>
        <v>0</v>
      </c>
      <c r="L20" s="30">
        <f t="shared" si="1"/>
        <v>0</v>
      </c>
      <c r="N20" s="44"/>
    </row>
    <row r="21" spans="1:14" s="43" customFormat="1" ht="12.75" customHeight="1" x14ac:dyDescent="0.25">
      <c r="A21" s="59">
        <v>1.1000000000000001</v>
      </c>
      <c r="B21" s="115" t="s">
        <v>180</v>
      </c>
      <c r="C21" s="113" t="s">
        <v>9</v>
      </c>
      <c r="D21" s="39"/>
      <c r="E21" s="114">
        <f>E11*13.2</f>
        <v>71.411999999999992</v>
      </c>
      <c r="F21" s="88">
        <v>0</v>
      </c>
      <c r="G21" s="29">
        <f t="shared" si="0"/>
        <v>0</v>
      </c>
      <c r="H21" s="41"/>
      <c r="I21" s="28">
        <f t="shared" si="2"/>
        <v>0</v>
      </c>
      <c r="J21" s="41"/>
      <c r="K21" s="28">
        <f t="shared" si="4"/>
        <v>0</v>
      </c>
      <c r="L21" s="30">
        <f t="shared" si="1"/>
        <v>0</v>
      </c>
      <c r="N21" s="44"/>
    </row>
    <row r="22" spans="1:14" s="43" customFormat="1" ht="12.75" customHeight="1" x14ac:dyDescent="0.25">
      <c r="A22" s="37">
        <v>1.1100000000000001</v>
      </c>
      <c r="B22" s="115" t="s">
        <v>163</v>
      </c>
      <c r="C22" s="113" t="s">
        <v>10</v>
      </c>
      <c r="D22" s="39"/>
      <c r="E22" s="117">
        <v>1</v>
      </c>
      <c r="F22" s="88">
        <v>0</v>
      </c>
      <c r="G22" s="29">
        <f t="shared" si="0"/>
        <v>0</v>
      </c>
      <c r="H22" s="41"/>
      <c r="I22" s="28">
        <f t="shared" si="2"/>
        <v>0</v>
      </c>
      <c r="J22" s="41"/>
      <c r="K22" s="28">
        <f t="shared" si="4"/>
        <v>0</v>
      </c>
      <c r="L22" s="30">
        <f t="shared" si="1"/>
        <v>0</v>
      </c>
      <c r="N22" s="44"/>
    </row>
    <row r="23" spans="1:14" ht="12.75" x14ac:dyDescent="0.2">
      <c r="A23" s="22">
        <v>2</v>
      </c>
      <c r="B23" s="47" t="s">
        <v>166</v>
      </c>
      <c r="C23" s="33" t="s">
        <v>15</v>
      </c>
      <c r="D23" s="33"/>
      <c r="E23" s="118">
        <f>6.4*22.5</f>
        <v>144</v>
      </c>
      <c r="F23" s="49"/>
      <c r="G23" s="49"/>
      <c r="H23" s="49"/>
      <c r="I23" s="49"/>
      <c r="J23" s="49"/>
      <c r="K23" s="49"/>
      <c r="L23" s="119"/>
      <c r="M23" s="21"/>
    </row>
    <row r="24" spans="1:14" s="43" customFormat="1" ht="12.75" customHeight="1" x14ac:dyDescent="0.25">
      <c r="A24" s="37">
        <v>2.1</v>
      </c>
      <c r="B24" s="120" t="s">
        <v>167</v>
      </c>
      <c r="C24" s="121" t="str">
        <f>C23</f>
        <v>კვ.მ</v>
      </c>
      <c r="D24" s="39"/>
      <c r="E24" s="122">
        <f>E23</f>
        <v>144</v>
      </c>
      <c r="F24" s="42"/>
      <c r="G24" s="29">
        <f t="shared" ref="G24:G35" si="5">F24*E24</f>
        <v>0</v>
      </c>
      <c r="H24" s="88">
        <v>0</v>
      </c>
      <c r="I24" s="28">
        <f>H24*E24</f>
        <v>0</v>
      </c>
      <c r="J24" s="41"/>
      <c r="K24" s="28">
        <f>J24*E24</f>
        <v>0</v>
      </c>
      <c r="L24" s="30">
        <f t="shared" si="1"/>
        <v>0</v>
      </c>
      <c r="N24" s="44"/>
    </row>
    <row r="25" spans="1:14" s="43" customFormat="1" ht="12.75" x14ac:dyDescent="0.25">
      <c r="A25" s="37">
        <v>2.2000000000000002</v>
      </c>
      <c r="B25" s="115" t="s">
        <v>184</v>
      </c>
      <c r="C25" s="113" t="s">
        <v>21</v>
      </c>
      <c r="D25" s="39"/>
      <c r="E25" s="114">
        <v>1</v>
      </c>
      <c r="F25" s="42"/>
      <c r="G25" s="29">
        <f t="shared" si="5"/>
        <v>0</v>
      </c>
      <c r="H25" s="41"/>
      <c r="I25" s="28">
        <f t="shared" ref="I25:I26" si="6">H25*E25</f>
        <v>0</v>
      </c>
      <c r="J25" s="88">
        <v>0</v>
      </c>
      <c r="K25" s="28">
        <f t="shared" ref="K25:K26" si="7">J25*E25</f>
        <v>0</v>
      </c>
      <c r="L25" s="30">
        <f t="shared" ref="L25:L26" si="8">K25+I25+G25</f>
        <v>0</v>
      </c>
      <c r="N25" s="44"/>
    </row>
    <row r="26" spans="1:14" s="43" customFormat="1" ht="12.75" x14ac:dyDescent="0.25">
      <c r="A26" s="37">
        <v>2.2999999999999998</v>
      </c>
      <c r="B26" s="115" t="s">
        <v>185</v>
      </c>
      <c r="C26" s="113" t="s">
        <v>21</v>
      </c>
      <c r="D26" s="39"/>
      <c r="E26" s="114">
        <v>1</v>
      </c>
      <c r="F26" s="42"/>
      <c r="G26" s="29">
        <f t="shared" si="5"/>
        <v>0</v>
      </c>
      <c r="H26" s="41"/>
      <c r="I26" s="28">
        <f t="shared" si="6"/>
        <v>0</v>
      </c>
      <c r="J26" s="88">
        <v>0</v>
      </c>
      <c r="K26" s="28">
        <f t="shared" si="7"/>
        <v>0</v>
      </c>
      <c r="L26" s="30">
        <f t="shared" si="8"/>
        <v>0</v>
      </c>
      <c r="N26" s="44"/>
    </row>
    <row r="27" spans="1:14" s="43" customFormat="1" ht="12.75" customHeight="1" x14ac:dyDescent="0.25">
      <c r="A27" s="37">
        <v>2.4</v>
      </c>
      <c r="B27" s="123" t="s">
        <v>209</v>
      </c>
      <c r="C27" s="121" t="str">
        <f>C24</f>
        <v>კვ.მ</v>
      </c>
      <c r="D27" s="39"/>
      <c r="E27" s="122">
        <f>E23</f>
        <v>144</v>
      </c>
      <c r="F27" s="42"/>
      <c r="G27" s="29">
        <f t="shared" si="5"/>
        <v>0</v>
      </c>
      <c r="H27" s="41"/>
      <c r="I27" s="28">
        <f t="shared" ref="I27:I35" si="9">H27*E27</f>
        <v>0</v>
      </c>
      <c r="J27" s="88">
        <v>0</v>
      </c>
      <c r="K27" s="28">
        <f>J27*E27</f>
        <v>0</v>
      </c>
      <c r="L27" s="30">
        <f t="shared" si="1"/>
        <v>0</v>
      </c>
      <c r="N27" s="44"/>
    </row>
    <row r="28" spans="1:14" s="43" customFormat="1" ht="12.75" customHeight="1" x14ac:dyDescent="0.25">
      <c r="A28" s="37">
        <v>2.5</v>
      </c>
      <c r="B28" s="120" t="s">
        <v>169</v>
      </c>
      <c r="C28" s="121"/>
      <c r="D28" s="39"/>
      <c r="E28" s="124"/>
      <c r="F28" s="29"/>
      <c r="G28" s="29"/>
      <c r="H28" s="42"/>
      <c r="I28" s="29"/>
      <c r="J28" s="42"/>
      <c r="K28" s="29"/>
      <c r="L28" s="125"/>
      <c r="N28" s="44"/>
    </row>
    <row r="29" spans="1:14" s="43" customFormat="1" ht="12.75" customHeight="1" x14ac:dyDescent="0.25">
      <c r="A29" s="37">
        <v>2.6</v>
      </c>
      <c r="B29" s="123" t="s">
        <v>174</v>
      </c>
      <c r="C29" s="121">
        <f>C28</f>
        <v>0</v>
      </c>
      <c r="D29" s="39">
        <v>1.02</v>
      </c>
      <c r="E29" s="122">
        <f>E23*1.02</f>
        <v>146.88</v>
      </c>
      <c r="F29" s="88">
        <v>0</v>
      </c>
      <c r="G29" s="29">
        <f t="shared" si="5"/>
        <v>0</v>
      </c>
      <c r="H29" s="41"/>
      <c r="I29" s="28">
        <f t="shared" si="9"/>
        <v>0</v>
      </c>
      <c r="J29" s="41"/>
      <c r="K29" s="28">
        <f t="shared" ref="K29:K35" si="10">J29*E29</f>
        <v>0</v>
      </c>
      <c r="L29" s="30">
        <f t="shared" si="1"/>
        <v>0</v>
      </c>
      <c r="N29" s="44"/>
    </row>
    <row r="30" spans="1:14" s="43" customFormat="1" ht="12.75" customHeight="1" x14ac:dyDescent="0.25">
      <c r="A30" s="37">
        <v>2.7</v>
      </c>
      <c r="B30" s="123" t="s">
        <v>171</v>
      </c>
      <c r="C30" s="121" t="s">
        <v>62</v>
      </c>
      <c r="D30" s="39">
        <v>1.2</v>
      </c>
      <c r="E30" s="122">
        <f>22.5*2+5.4+5.4*D30</f>
        <v>56.879999999999995</v>
      </c>
      <c r="F30" s="88">
        <v>0</v>
      </c>
      <c r="G30" s="29">
        <f t="shared" si="5"/>
        <v>0</v>
      </c>
      <c r="H30" s="41"/>
      <c r="I30" s="28">
        <f t="shared" si="9"/>
        <v>0</v>
      </c>
      <c r="J30" s="41"/>
      <c r="K30" s="28">
        <f t="shared" si="10"/>
        <v>0</v>
      </c>
      <c r="L30" s="30">
        <f t="shared" si="1"/>
        <v>0</v>
      </c>
      <c r="N30" s="44"/>
    </row>
    <row r="31" spans="1:14" s="43" customFormat="1" ht="26.25" customHeight="1" x14ac:dyDescent="0.25">
      <c r="A31" s="37">
        <v>2.8</v>
      </c>
      <c r="B31" s="123" t="s">
        <v>303</v>
      </c>
      <c r="C31" s="121" t="s">
        <v>62</v>
      </c>
      <c r="D31" s="39">
        <v>1.2</v>
      </c>
      <c r="E31" s="122">
        <f>18.5+6.4+6.4*D31</f>
        <v>32.58</v>
      </c>
      <c r="F31" s="88">
        <v>0</v>
      </c>
      <c r="G31" s="29">
        <f t="shared" si="5"/>
        <v>0</v>
      </c>
      <c r="H31" s="41"/>
      <c r="I31" s="28">
        <f t="shared" si="9"/>
        <v>0</v>
      </c>
      <c r="J31" s="41"/>
      <c r="K31" s="28">
        <f t="shared" si="10"/>
        <v>0</v>
      </c>
      <c r="L31" s="30">
        <f t="shared" si="1"/>
        <v>0</v>
      </c>
      <c r="N31" s="44"/>
    </row>
    <row r="32" spans="1:14" s="43" customFormat="1" ht="24.75" customHeight="1" x14ac:dyDescent="0.25">
      <c r="A32" s="37">
        <v>2.9</v>
      </c>
      <c r="B32" s="123" t="s">
        <v>306</v>
      </c>
      <c r="C32" s="121" t="s">
        <v>8</v>
      </c>
      <c r="D32" s="39"/>
      <c r="E32" s="122">
        <v>2</v>
      </c>
      <c r="F32" s="88">
        <v>0</v>
      </c>
      <c r="G32" s="29">
        <f t="shared" si="5"/>
        <v>0</v>
      </c>
      <c r="H32" s="41"/>
      <c r="I32" s="28">
        <f t="shared" si="9"/>
        <v>0</v>
      </c>
      <c r="J32" s="41"/>
      <c r="K32" s="28">
        <f t="shared" si="10"/>
        <v>0</v>
      </c>
      <c r="L32" s="30">
        <f t="shared" si="1"/>
        <v>0</v>
      </c>
      <c r="N32" s="44"/>
    </row>
    <row r="33" spans="1:14" s="43" customFormat="1" ht="12.75" customHeight="1" x14ac:dyDescent="0.25">
      <c r="A33" s="59">
        <v>2.1</v>
      </c>
      <c r="B33" s="123" t="s">
        <v>172</v>
      </c>
      <c r="C33" s="121" t="s">
        <v>8</v>
      </c>
      <c r="D33" s="39">
        <v>4</v>
      </c>
      <c r="E33" s="122">
        <f>E23*4</f>
        <v>576</v>
      </c>
      <c r="F33" s="88">
        <v>0</v>
      </c>
      <c r="G33" s="29">
        <f t="shared" si="5"/>
        <v>0</v>
      </c>
      <c r="H33" s="41"/>
      <c r="I33" s="28">
        <f t="shared" si="9"/>
        <v>0</v>
      </c>
      <c r="J33" s="41"/>
      <c r="K33" s="28">
        <f t="shared" si="10"/>
        <v>0</v>
      </c>
      <c r="L33" s="30">
        <f t="shared" si="1"/>
        <v>0</v>
      </c>
      <c r="N33" s="44"/>
    </row>
    <row r="34" spans="1:14" s="43" customFormat="1" ht="12.75" customHeight="1" x14ac:dyDescent="0.25">
      <c r="A34" s="37">
        <v>2.11</v>
      </c>
      <c r="B34" s="123" t="s">
        <v>173</v>
      </c>
      <c r="C34" s="121" t="s">
        <v>8</v>
      </c>
      <c r="D34" s="39">
        <v>0.06</v>
      </c>
      <c r="E34" s="122">
        <f>E23*0.06</f>
        <v>8.64</v>
      </c>
      <c r="F34" s="88">
        <v>0</v>
      </c>
      <c r="G34" s="29">
        <f t="shared" si="5"/>
        <v>0</v>
      </c>
      <c r="H34" s="41"/>
      <c r="I34" s="28">
        <f t="shared" si="9"/>
        <v>0</v>
      </c>
      <c r="J34" s="41"/>
      <c r="K34" s="28">
        <f t="shared" si="10"/>
        <v>0</v>
      </c>
      <c r="L34" s="30">
        <f t="shared" si="1"/>
        <v>0</v>
      </c>
      <c r="N34" s="44"/>
    </row>
    <row r="35" spans="1:14" s="43" customFormat="1" ht="12.75" customHeight="1" x14ac:dyDescent="0.25">
      <c r="A35" s="37">
        <v>2.12</v>
      </c>
      <c r="B35" s="123" t="s">
        <v>163</v>
      </c>
      <c r="C35" s="121" t="s">
        <v>10</v>
      </c>
      <c r="D35" s="39">
        <v>0.2</v>
      </c>
      <c r="E35" s="122">
        <f>E23*0.2</f>
        <v>28.8</v>
      </c>
      <c r="F35" s="88">
        <v>0</v>
      </c>
      <c r="G35" s="29">
        <f t="shared" si="5"/>
        <v>0</v>
      </c>
      <c r="H35" s="41"/>
      <c r="I35" s="28">
        <f t="shared" si="9"/>
        <v>0</v>
      </c>
      <c r="J35" s="41"/>
      <c r="K35" s="28">
        <f t="shared" si="10"/>
        <v>0</v>
      </c>
      <c r="L35" s="30">
        <f t="shared" si="1"/>
        <v>0</v>
      </c>
      <c r="N35" s="44"/>
    </row>
    <row r="36" spans="1:14" ht="12.75" x14ac:dyDescent="0.2">
      <c r="A36" s="22">
        <v>3</v>
      </c>
      <c r="B36" s="47" t="s">
        <v>207</v>
      </c>
      <c r="C36" s="33" t="s">
        <v>15</v>
      </c>
      <c r="D36" s="33"/>
      <c r="E36" s="126">
        <f>22.5+6.4*2*1.4</f>
        <v>40.42</v>
      </c>
      <c r="F36" s="49"/>
      <c r="G36" s="49"/>
      <c r="H36" s="49"/>
      <c r="I36" s="49"/>
      <c r="J36" s="49"/>
      <c r="K36" s="49"/>
      <c r="L36" s="119"/>
      <c r="M36" s="21"/>
    </row>
    <row r="37" spans="1:14" s="43" customFormat="1" ht="12.75" customHeight="1" x14ac:dyDescent="0.25">
      <c r="A37" s="37">
        <v>3.1</v>
      </c>
      <c r="B37" s="120" t="s">
        <v>167</v>
      </c>
      <c r="C37" s="121" t="str">
        <f>C36</f>
        <v>კვ.მ</v>
      </c>
      <c r="D37" s="122"/>
      <c r="E37" s="122">
        <f>E36</f>
        <v>40.42</v>
      </c>
      <c r="F37" s="42"/>
      <c r="G37" s="29">
        <f t="shared" ref="G37:G44" si="11">F37*E37</f>
        <v>0</v>
      </c>
      <c r="H37" s="88">
        <v>0</v>
      </c>
      <c r="I37" s="28">
        <f>H37*E37</f>
        <v>0</v>
      </c>
      <c r="J37" s="41"/>
      <c r="K37" s="28">
        <f>J37*E37</f>
        <v>0</v>
      </c>
      <c r="L37" s="30">
        <f t="shared" si="1"/>
        <v>0</v>
      </c>
      <c r="N37" s="44"/>
    </row>
    <row r="38" spans="1:14" s="43" customFormat="1" ht="12.75" customHeight="1" x14ac:dyDescent="0.25">
      <c r="A38" s="37">
        <v>3.2</v>
      </c>
      <c r="B38" s="123" t="s">
        <v>168</v>
      </c>
      <c r="C38" s="121" t="str">
        <f>C37</f>
        <v>კვ.მ</v>
      </c>
      <c r="D38" s="122"/>
      <c r="E38" s="122">
        <f>E36</f>
        <v>40.42</v>
      </c>
      <c r="F38" s="42"/>
      <c r="G38" s="29">
        <f t="shared" si="11"/>
        <v>0</v>
      </c>
      <c r="H38" s="41"/>
      <c r="I38" s="28">
        <f t="shared" ref="I38:I44" si="12">H38*E38</f>
        <v>0</v>
      </c>
      <c r="J38" s="88">
        <v>0</v>
      </c>
      <c r="K38" s="28">
        <f>J38*E38</f>
        <v>0</v>
      </c>
      <c r="L38" s="30">
        <f t="shared" si="1"/>
        <v>0</v>
      </c>
      <c r="N38" s="44"/>
    </row>
    <row r="39" spans="1:14" s="43" customFormat="1" ht="12.75" customHeight="1" x14ac:dyDescent="0.25">
      <c r="A39" s="37">
        <v>3.3</v>
      </c>
      <c r="B39" s="120" t="s">
        <v>169</v>
      </c>
      <c r="C39" s="121"/>
      <c r="D39" s="122"/>
      <c r="E39" s="124"/>
      <c r="F39" s="29"/>
      <c r="G39" s="29"/>
      <c r="H39" s="42"/>
      <c r="I39" s="29"/>
      <c r="J39" s="42"/>
      <c r="K39" s="29"/>
      <c r="L39" s="125"/>
      <c r="N39" s="44"/>
    </row>
    <row r="40" spans="1:14" s="43" customFormat="1" ht="12.75" customHeight="1" x14ac:dyDescent="0.25">
      <c r="A40" s="37">
        <v>3.4</v>
      </c>
      <c r="B40" s="123" t="s">
        <v>170</v>
      </c>
      <c r="C40" s="121" t="s">
        <v>15</v>
      </c>
      <c r="D40" s="122">
        <v>1.02</v>
      </c>
      <c r="E40" s="122">
        <f>E36*1.02</f>
        <v>41.228400000000001</v>
      </c>
      <c r="F40" s="88">
        <v>0</v>
      </c>
      <c r="G40" s="29">
        <f t="shared" si="11"/>
        <v>0</v>
      </c>
      <c r="H40" s="41"/>
      <c r="I40" s="28">
        <f t="shared" si="12"/>
        <v>0</v>
      </c>
      <c r="J40" s="41"/>
      <c r="K40" s="28">
        <f t="shared" ref="K40:K44" si="13">J40*E40</f>
        <v>0</v>
      </c>
      <c r="L40" s="30">
        <f t="shared" si="1"/>
        <v>0</v>
      </c>
      <c r="N40" s="44"/>
    </row>
    <row r="41" spans="1:14" s="43" customFormat="1" ht="12.75" customHeight="1" x14ac:dyDescent="0.25">
      <c r="A41" s="37">
        <v>3.5</v>
      </c>
      <c r="B41" s="123" t="s">
        <v>171</v>
      </c>
      <c r="C41" s="121" t="s">
        <v>62</v>
      </c>
      <c r="D41" s="122">
        <v>1.2</v>
      </c>
      <c r="E41" s="122">
        <f>22.5+6.4*2*D41</f>
        <v>37.86</v>
      </c>
      <c r="F41" s="88">
        <v>0</v>
      </c>
      <c r="G41" s="29">
        <f t="shared" si="11"/>
        <v>0</v>
      </c>
      <c r="H41" s="41"/>
      <c r="I41" s="28">
        <f t="shared" si="12"/>
        <v>0</v>
      </c>
      <c r="J41" s="41"/>
      <c r="K41" s="28">
        <f t="shared" si="13"/>
        <v>0</v>
      </c>
      <c r="L41" s="30">
        <f t="shared" si="1"/>
        <v>0</v>
      </c>
      <c r="N41" s="44"/>
    </row>
    <row r="42" spans="1:14" s="43" customFormat="1" ht="12.75" customHeight="1" x14ac:dyDescent="0.25">
      <c r="A42" s="37">
        <v>3.6</v>
      </c>
      <c r="B42" s="123" t="s">
        <v>172</v>
      </c>
      <c r="C42" s="121" t="s">
        <v>8</v>
      </c>
      <c r="D42" s="122">
        <v>4</v>
      </c>
      <c r="E42" s="122">
        <f>E36*4</f>
        <v>161.68</v>
      </c>
      <c r="F42" s="88">
        <v>0</v>
      </c>
      <c r="G42" s="29">
        <f t="shared" si="11"/>
        <v>0</v>
      </c>
      <c r="H42" s="41"/>
      <c r="I42" s="28">
        <f t="shared" si="12"/>
        <v>0</v>
      </c>
      <c r="J42" s="41"/>
      <c r="K42" s="28">
        <f t="shared" si="13"/>
        <v>0</v>
      </c>
      <c r="L42" s="30">
        <f t="shared" si="1"/>
        <v>0</v>
      </c>
      <c r="N42" s="44"/>
    </row>
    <row r="43" spans="1:14" s="43" customFormat="1" ht="12.75" customHeight="1" x14ac:dyDescent="0.25">
      <c r="A43" s="37">
        <v>3.7</v>
      </c>
      <c r="B43" s="123" t="s">
        <v>173</v>
      </c>
      <c r="C43" s="121" t="s">
        <v>8</v>
      </c>
      <c r="D43" s="122">
        <v>0.06</v>
      </c>
      <c r="E43" s="122">
        <f>E36*0.06</f>
        <v>2.4251999999999998</v>
      </c>
      <c r="F43" s="88">
        <v>0</v>
      </c>
      <c r="G43" s="29">
        <f t="shared" si="11"/>
        <v>0</v>
      </c>
      <c r="H43" s="41"/>
      <c r="I43" s="28">
        <f t="shared" si="12"/>
        <v>0</v>
      </c>
      <c r="J43" s="41"/>
      <c r="K43" s="28">
        <f t="shared" si="13"/>
        <v>0</v>
      </c>
      <c r="L43" s="30">
        <f t="shared" si="1"/>
        <v>0</v>
      </c>
      <c r="N43" s="44"/>
    </row>
    <row r="44" spans="1:14" s="43" customFormat="1" ht="12.75" customHeight="1" x14ac:dyDescent="0.25">
      <c r="A44" s="37">
        <v>3.8</v>
      </c>
      <c r="B44" s="123" t="s">
        <v>163</v>
      </c>
      <c r="C44" s="121" t="s">
        <v>10</v>
      </c>
      <c r="D44" s="122">
        <v>0.2</v>
      </c>
      <c r="E44" s="122">
        <f>E36*0.2</f>
        <v>8.0840000000000014</v>
      </c>
      <c r="F44" s="88">
        <v>0</v>
      </c>
      <c r="G44" s="29">
        <f t="shared" si="11"/>
        <v>0</v>
      </c>
      <c r="H44" s="41"/>
      <c r="I44" s="28">
        <f t="shared" si="12"/>
        <v>0</v>
      </c>
      <c r="J44" s="41"/>
      <c r="K44" s="28">
        <f t="shared" si="13"/>
        <v>0</v>
      </c>
      <c r="L44" s="30">
        <f t="shared" si="1"/>
        <v>0</v>
      </c>
      <c r="N44" s="44"/>
    </row>
    <row r="45" spans="1:14" ht="12.75" x14ac:dyDescent="0.2">
      <c r="A45" s="22">
        <v>4</v>
      </c>
      <c r="B45" s="47" t="s">
        <v>188</v>
      </c>
      <c r="C45" s="33" t="s">
        <v>8</v>
      </c>
      <c r="D45" s="33"/>
      <c r="E45" s="126">
        <v>2</v>
      </c>
      <c r="F45" s="49"/>
      <c r="G45" s="49"/>
      <c r="H45" s="49"/>
      <c r="I45" s="49"/>
      <c r="J45" s="49"/>
      <c r="K45" s="49"/>
      <c r="L45" s="119"/>
      <c r="M45" s="21"/>
    </row>
    <row r="46" spans="1:14" s="57" customFormat="1" ht="12.75" x14ac:dyDescent="0.25">
      <c r="A46" s="127">
        <v>4.0999999999999996</v>
      </c>
      <c r="B46" s="120" t="s">
        <v>167</v>
      </c>
      <c r="C46" s="128" t="s">
        <v>8</v>
      </c>
      <c r="D46" s="128"/>
      <c r="E46" s="67">
        <v>2</v>
      </c>
      <c r="F46" s="42"/>
      <c r="G46" s="29">
        <f t="shared" ref="G46:G48" si="14">F46*E46</f>
        <v>0</v>
      </c>
      <c r="H46" s="88">
        <v>0</v>
      </c>
      <c r="I46" s="28">
        <f>H46*E46</f>
        <v>0</v>
      </c>
      <c r="J46" s="41"/>
      <c r="K46" s="28">
        <f>J46*E46</f>
        <v>0</v>
      </c>
      <c r="L46" s="30">
        <f t="shared" ref="L46:L48" si="15">K46+I46+G46</f>
        <v>0</v>
      </c>
      <c r="M46" s="94"/>
    </row>
    <row r="47" spans="1:14" s="43" customFormat="1" ht="12.75" x14ac:dyDescent="0.25">
      <c r="A47" s="37">
        <v>4.2</v>
      </c>
      <c r="B47" s="115" t="s">
        <v>185</v>
      </c>
      <c r="C47" s="113" t="s">
        <v>21</v>
      </c>
      <c r="D47" s="39"/>
      <c r="E47" s="114">
        <v>1</v>
      </c>
      <c r="F47" s="42"/>
      <c r="G47" s="29">
        <f t="shared" si="14"/>
        <v>0</v>
      </c>
      <c r="H47" s="41"/>
      <c r="I47" s="28">
        <f t="shared" ref="I47:I48" si="16">H47*E47</f>
        <v>0</v>
      </c>
      <c r="J47" s="88">
        <v>0</v>
      </c>
      <c r="K47" s="28">
        <f t="shared" ref="K47" si="17">J47*E47</f>
        <v>0</v>
      </c>
      <c r="L47" s="30">
        <f t="shared" si="15"/>
        <v>0</v>
      </c>
      <c r="N47" s="44"/>
    </row>
    <row r="48" spans="1:14" s="57" customFormat="1" ht="12.75" x14ac:dyDescent="0.25">
      <c r="A48" s="127">
        <v>4.3</v>
      </c>
      <c r="B48" s="123" t="s">
        <v>168</v>
      </c>
      <c r="C48" s="113" t="s">
        <v>21</v>
      </c>
      <c r="D48" s="39"/>
      <c r="E48" s="114">
        <v>1</v>
      </c>
      <c r="F48" s="42"/>
      <c r="G48" s="29">
        <f t="shared" si="14"/>
        <v>0</v>
      </c>
      <c r="H48" s="41"/>
      <c r="I48" s="28">
        <f t="shared" si="16"/>
        <v>0</v>
      </c>
      <c r="J48" s="88">
        <v>0</v>
      </c>
      <c r="K48" s="28">
        <f>J48*E48</f>
        <v>0</v>
      </c>
      <c r="L48" s="30">
        <f t="shared" si="15"/>
        <v>0</v>
      </c>
      <c r="M48" s="94"/>
    </row>
    <row r="49" spans="1:14" s="57" customFormat="1" ht="12.75" x14ac:dyDescent="0.2">
      <c r="A49" s="37">
        <v>4.4000000000000004</v>
      </c>
      <c r="B49" s="120" t="s">
        <v>169</v>
      </c>
      <c r="C49" s="129"/>
      <c r="D49" s="129"/>
      <c r="E49" s="130"/>
      <c r="F49" s="19"/>
      <c r="G49" s="19"/>
      <c r="H49" s="19"/>
      <c r="I49" s="19"/>
      <c r="J49" s="19"/>
      <c r="K49" s="19"/>
      <c r="L49" s="131"/>
      <c r="M49" s="94"/>
    </row>
    <row r="50" spans="1:14" s="43" customFormat="1" ht="12.75" customHeight="1" x14ac:dyDescent="0.25">
      <c r="A50" s="127">
        <v>4.5</v>
      </c>
      <c r="B50" s="132" t="s">
        <v>189</v>
      </c>
      <c r="C50" s="133" t="s">
        <v>190</v>
      </c>
      <c r="D50" s="122"/>
      <c r="E50" s="122">
        <v>385</v>
      </c>
      <c r="F50" s="88">
        <v>0</v>
      </c>
      <c r="G50" s="29">
        <f t="shared" ref="G50:G57" si="18">F50*E50</f>
        <v>0</v>
      </c>
      <c r="H50" s="41"/>
      <c r="I50" s="28">
        <f t="shared" ref="I50:I57" si="19">H50*E50</f>
        <v>0</v>
      </c>
      <c r="J50" s="41"/>
      <c r="K50" s="28">
        <f t="shared" ref="K50:K57" si="20">J50*E50</f>
        <v>0</v>
      </c>
      <c r="L50" s="30">
        <f t="shared" ref="L50:L57" si="21">K50+I50+G50</f>
        <v>0</v>
      </c>
      <c r="N50" s="44"/>
    </row>
    <row r="51" spans="1:14" s="43" customFormat="1" ht="12.75" customHeight="1" x14ac:dyDescent="0.25">
      <c r="A51" s="37">
        <v>4.5999999999999996</v>
      </c>
      <c r="B51" s="132" t="s">
        <v>191</v>
      </c>
      <c r="C51" s="133" t="s">
        <v>8</v>
      </c>
      <c r="D51" s="122"/>
      <c r="E51" s="122">
        <v>1</v>
      </c>
      <c r="F51" s="88">
        <v>0</v>
      </c>
      <c r="G51" s="29">
        <f t="shared" si="18"/>
        <v>0</v>
      </c>
      <c r="H51" s="41"/>
      <c r="I51" s="28">
        <f t="shared" si="19"/>
        <v>0</v>
      </c>
      <c r="J51" s="41"/>
      <c r="K51" s="28">
        <f t="shared" si="20"/>
        <v>0</v>
      </c>
      <c r="L51" s="30">
        <f t="shared" si="21"/>
        <v>0</v>
      </c>
      <c r="N51" s="44"/>
    </row>
    <row r="52" spans="1:14" s="43" customFormat="1" ht="12.75" customHeight="1" x14ac:dyDescent="0.25">
      <c r="A52" s="127">
        <v>4.7</v>
      </c>
      <c r="B52" s="132" t="s">
        <v>197</v>
      </c>
      <c r="C52" s="133" t="s">
        <v>8</v>
      </c>
      <c r="D52" s="122"/>
      <c r="E52" s="122">
        <v>4</v>
      </c>
      <c r="F52" s="88">
        <v>0</v>
      </c>
      <c r="G52" s="29">
        <f t="shared" si="18"/>
        <v>0</v>
      </c>
      <c r="H52" s="41"/>
      <c r="I52" s="28">
        <f t="shared" si="19"/>
        <v>0</v>
      </c>
      <c r="J52" s="41"/>
      <c r="K52" s="28">
        <f t="shared" si="20"/>
        <v>0</v>
      </c>
      <c r="L52" s="30">
        <f t="shared" si="21"/>
        <v>0</v>
      </c>
      <c r="N52" s="44"/>
    </row>
    <row r="53" spans="1:14" s="43" customFormat="1" ht="12.75" customHeight="1" x14ac:dyDescent="0.25">
      <c r="A53" s="37">
        <v>4.8</v>
      </c>
      <c r="B53" s="132" t="s">
        <v>192</v>
      </c>
      <c r="C53" s="133" t="s">
        <v>8</v>
      </c>
      <c r="D53" s="122"/>
      <c r="E53" s="122">
        <v>1</v>
      </c>
      <c r="F53" s="88">
        <v>0</v>
      </c>
      <c r="G53" s="29">
        <f t="shared" si="18"/>
        <v>0</v>
      </c>
      <c r="H53" s="41"/>
      <c r="I53" s="28">
        <f t="shared" si="19"/>
        <v>0</v>
      </c>
      <c r="J53" s="41"/>
      <c r="K53" s="28">
        <f t="shared" si="20"/>
        <v>0</v>
      </c>
      <c r="L53" s="30">
        <f t="shared" si="21"/>
        <v>0</v>
      </c>
      <c r="N53" s="44"/>
    </row>
    <row r="54" spans="1:14" s="43" customFormat="1" ht="12.75" customHeight="1" x14ac:dyDescent="0.25">
      <c r="A54" s="127">
        <v>4.9000000000000004</v>
      </c>
      <c r="B54" s="132" t="s">
        <v>193</v>
      </c>
      <c r="C54" s="133" t="s">
        <v>8</v>
      </c>
      <c r="D54" s="122"/>
      <c r="E54" s="122">
        <v>1</v>
      </c>
      <c r="F54" s="88">
        <v>0</v>
      </c>
      <c r="G54" s="29">
        <f t="shared" si="18"/>
        <v>0</v>
      </c>
      <c r="H54" s="41"/>
      <c r="I54" s="28">
        <f t="shared" si="19"/>
        <v>0</v>
      </c>
      <c r="J54" s="41"/>
      <c r="K54" s="28">
        <f t="shared" si="20"/>
        <v>0</v>
      </c>
      <c r="L54" s="30">
        <f t="shared" si="21"/>
        <v>0</v>
      </c>
      <c r="N54" s="44"/>
    </row>
    <row r="55" spans="1:14" s="43" customFormat="1" ht="12.75" customHeight="1" x14ac:dyDescent="0.25">
      <c r="A55" s="59">
        <v>4.0999999999999996</v>
      </c>
      <c r="B55" s="132" t="s">
        <v>194</v>
      </c>
      <c r="C55" s="133" t="s">
        <v>8</v>
      </c>
      <c r="D55" s="122"/>
      <c r="E55" s="122">
        <v>1</v>
      </c>
      <c r="F55" s="88">
        <v>0</v>
      </c>
      <c r="G55" s="29">
        <f t="shared" si="18"/>
        <v>0</v>
      </c>
      <c r="H55" s="41"/>
      <c r="I55" s="28">
        <f t="shared" si="19"/>
        <v>0</v>
      </c>
      <c r="J55" s="41"/>
      <c r="K55" s="28">
        <f t="shared" si="20"/>
        <v>0</v>
      </c>
      <c r="L55" s="30">
        <f t="shared" si="21"/>
        <v>0</v>
      </c>
      <c r="N55" s="44"/>
    </row>
    <row r="56" spans="1:14" s="43" customFormat="1" ht="12.75" customHeight="1" x14ac:dyDescent="0.25">
      <c r="A56" s="127">
        <v>4.1100000000000003</v>
      </c>
      <c r="B56" s="132" t="s">
        <v>195</v>
      </c>
      <c r="C56" s="133" t="s">
        <v>190</v>
      </c>
      <c r="D56" s="122">
        <v>1.1000000000000001</v>
      </c>
      <c r="E56" s="122">
        <f>E50*D56</f>
        <v>423.50000000000006</v>
      </c>
      <c r="F56" s="88">
        <v>0</v>
      </c>
      <c r="G56" s="29">
        <f t="shared" si="18"/>
        <v>0</v>
      </c>
      <c r="H56" s="41"/>
      <c r="I56" s="28">
        <f t="shared" si="19"/>
        <v>0</v>
      </c>
      <c r="J56" s="41"/>
      <c r="K56" s="28">
        <f t="shared" si="20"/>
        <v>0</v>
      </c>
      <c r="L56" s="30">
        <f t="shared" si="21"/>
        <v>0</v>
      </c>
      <c r="N56" s="44"/>
    </row>
    <row r="57" spans="1:14" s="43" customFormat="1" ht="12.75" customHeight="1" x14ac:dyDescent="0.25">
      <c r="A57" s="37">
        <v>4.12</v>
      </c>
      <c r="B57" s="134" t="s">
        <v>196</v>
      </c>
      <c r="C57" s="113" t="s">
        <v>21</v>
      </c>
      <c r="D57" s="135"/>
      <c r="E57" s="122">
        <v>1</v>
      </c>
      <c r="F57" s="88">
        <v>0</v>
      </c>
      <c r="G57" s="29">
        <f t="shared" si="18"/>
        <v>0</v>
      </c>
      <c r="H57" s="41"/>
      <c r="I57" s="28">
        <f t="shared" si="19"/>
        <v>0</v>
      </c>
      <c r="J57" s="41"/>
      <c r="K57" s="28">
        <f t="shared" si="20"/>
        <v>0</v>
      </c>
      <c r="L57" s="30">
        <f t="shared" si="21"/>
        <v>0</v>
      </c>
      <c r="N57" s="44"/>
    </row>
    <row r="58" spans="1:14" s="43" customFormat="1" ht="40.5" customHeight="1" x14ac:dyDescent="0.25">
      <c r="A58" s="45">
        <v>5</v>
      </c>
      <c r="B58" s="58" t="s">
        <v>111</v>
      </c>
      <c r="C58" s="63" t="s">
        <v>20</v>
      </c>
      <c r="D58" s="39"/>
      <c r="E58" s="40">
        <v>1</v>
      </c>
      <c r="F58" s="42"/>
      <c r="G58" s="29">
        <f t="shared" ref="G58:G59" si="22">F58*E58</f>
        <v>0</v>
      </c>
      <c r="H58" s="88">
        <v>0</v>
      </c>
      <c r="I58" s="29">
        <f>H58*E58</f>
        <v>0</v>
      </c>
      <c r="J58" s="89">
        <v>0</v>
      </c>
      <c r="K58" s="29">
        <f>J58*E58</f>
        <v>0</v>
      </c>
      <c r="L58" s="125">
        <f t="shared" ref="L58:L59" si="23">K58+I58+G58</f>
        <v>0</v>
      </c>
      <c r="N58" s="44"/>
    </row>
    <row r="59" spans="1:14" ht="17.25" customHeight="1" x14ac:dyDescent="0.25">
      <c r="A59" s="24">
        <v>6</v>
      </c>
      <c r="B59" s="25" t="s">
        <v>288</v>
      </c>
      <c r="C59" s="26" t="s">
        <v>20</v>
      </c>
      <c r="D59" s="64"/>
      <c r="E59" s="27">
        <v>1</v>
      </c>
      <c r="F59" s="89">
        <v>0</v>
      </c>
      <c r="G59" s="29">
        <f t="shared" si="22"/>
        <v>0</v>
      </c>
      <c r="H59" s="88">
        <v>0</v>
      </c>
      <c r="I59" s="29">
        <f t="shared" ref="I59" si="24">H59*E59</f>
        <v>0</v>
      </c>
      <c r="J59" s="89">
        <v>0</v>
      </c>
      <c r="K59" s="29">
        <f t="shared" ref="K59" si="25">J59*E59</f>
        <v>0</v>
      </c>
      <c r="L59" s="30">
        <f t="shared" si="23"/>
        <v>0</v>
      </c>
      <c r="M59" s="21"/>
    </row>
    <row r="60" spans="1:14" s="72" customFormat="1" x14ac:dyDescent="0.25">
      <c r="A60" s="22"/>
      <c r="B60" s="48" t="s">
        <v>7</v>
      </c>
      <c r="C60" s="69"/>
      <c r="D60" s="69"/>
      <c r="E60" s="49"/>
      <c r="F60" s="49"/>
      <c r="G60" s="70">
        <f>SUM(G12:G59)</f>
        <v>0</v>
      </c>
      <c r="H60" s="49"/>
      <c r="I60" s="70">
        <f>SUM(I12:I59)</f>
        <v>0</v>
      </c>
      <c r="J60" s="49"/>
      <c r="K60" s="70">
        <f>SUM(K12:K59)</f>
        <v>0</v>
      </c>
      <c r="L60" s="71">
        <f>SUM(L12:L59)</f>
        <v>0</v>
      </c>
    </row>
    <row r="61" spans="1:14" s="12" customFormat="1" x14ac:dyDescent="0.25">
      <c r="A61" s="73"/>
      <c r="B61" s="74" t="s">
        <v>18</v>
      </c>
      <c r="C61" s="90">
        <v>0</v>
      </c>
      <c r="D61" s="75"/>
      <c r="E61" s="76"/>
      <c r="F61" s="76"/>
      <c r="G61" s="76"/>
      <c r="H61" s="76"/>
      <c r="I61" s="76"/>
      <c r="J61" s="76"/>
      <c r="K61" s="76"/>
      <c r="L61" s="77">
        <f>C61*G60</f>
        <v>0</v>
      </c>
    </row>
    <row r="62" spans="1:14" s="12" customFormat="1" x14ac:dyDescent="0.25">
      <c r="A62" s="22"/>
      <c r="B62" s="48" t="s">
        <v>7</v>
      </c>
      <c r="C62" s="78"/>
      <c r="D62" s="78"/>
      <c r="E62" s="49"/>
      <c r="F62" s="49"/>
      <c r="G62" s="49"/>
      <c r="H62" s="49"/>
      <c r="I62" s="49"/>
      <c r="J62" s="49"/>
      <c r="K62" s="49"/>
      <c r="L62" s="71">
        <f>L61+L60</f>
        <v>0</v>
      </c>
    </row>
    <row r="63" spans="1:14" s="12" customFormat="1" x14ac:dyDescent="0.25">
      <c r="A63" s="73"/>
      <c r="B63" s="79" t="s">
        <v>11</v>
      </c>
      <c r="C63" s="90">
        <v>0</v>
      </c>
      <c r="D63" s="75"/>
      <c r="E63" s="76"/>
      <c r="F63" s="76"/>
      <c r="G63" s="76"/>
      <c r="H63" s="76"/>
      <c r="I63" s="76"/>
      <c r="J63" s="76"/>
      <c r="K63" s="76"/>
      <c r="L63" s="77">
        <f>L62*C63</f>
        <v>0</v>
      </c>
    </row>
    <row r="64" spans="1:14" s="12" customFormat="1" x14ac:dyDescent="0.25">
      <c r="A64" s="22"/>
      <c r="B64" s="48" t="s">
        <v>7</v>
      </c>
      <c r="C64" s="78"/>
      <c r="D64" s="78"/>
      <c r="E64" s="49"/>
      <c r="F64" s="49"/>
      <c r="G64" s="49"/>
      <c r="H64" s="49"/>
      <c r="I64" s="49"/>
      <c r="J64" s="49"/>
      <c r="K64" s="49"/>
      <c r="L64" s="71">
        <f>L63+L62</f>
        <v>0</v>
      </c>
    </row>
    <row r="65" spans="1:13" s="12" customFormat="1" x14ac:dyDescent="0.25">
      <c r="A65" s="73"/>
      <c r="B65" s="79" t="s">
        <v>12</v>
      </c>
      <c r="C65" s="90">
        <v>0</v>
      </c>
      <c r="D65" s="75"/>
      <c r="E65" s="76"/>
      <c r="F65" s="76"/>
      <c r="G65" s="76"/>
      <c r="H65" s="76"/>
      <c r="I65" s="76"/>
      <c r="J65" s="76"/>
      <c r="K65" s="76"/>
      <c r="L65" s="77">
        <f>L64*C65</f>
        <v>0</v>
      </c>
    </row>
    <row r="66" spans="1:13" s="12" customFormat="1" x14ac:dyDescent="0.25">
      <c r="A66" s="22"/>
      <c r="B66" s="48" t="s">
        <v>7</v>
      </c>
      <c r="C66" s="78"/>
      <c r="D66" s="78"/>
      <c r="E66" s="49"/>
      <c r="F66" s="49"/>
      <c r="G66" s="49"/>
      <c r="H66" s="49"/>
      <c r="I66" s="49"/>
      <c r="J66" s="49"/>
      <c r="K66" s="49"/>
      <c r="L66" s="71">
        <f>L64+L65</f>
        <v>0</v>
      </c>
    </row>
    <row r="67" spans="1:13" s="12" customFormat="1" x14ac:dyDescent="0.25">
      <c r="A67" s="73"/>
      <c r="B67" s="79" t="s">
        <v>13</v>
      </c>
      <c r="C67" s="90">
        <v>0</v>
      </c>
      <c r="D67" s="75"/>
      <c r="E67" s="76"/>
      <c r="F67" s="76"/>
      <c r="G67" s="76"/>
      <c r="H67" s="76"/>
      <c r="I67" s="76"/>
      <c r="J67" s="76"/>
      <c r="K67" s="76"/>
      <c r="L67" s="77">
        <f>L66*C67</f>
        <v>0</v>
      </c>
    </row>
    <row r="68" spans="1:13" s="12" customFormat="1" x14ac:dyDescent="0.25">
      <c r="A68" s="22"/>
      <c r="B68" s="48" t="s">
        <v>7</v>
      </c>
      <c r="C68" s="78"/>
      <c r="D68" s="78"/>
      <c r="E68" s="49"/>
      <c r="F68" s="49"/>
      <c r="G68" s="49"/>
      <c r="H68" s="49"/>
      <c r="I68" s="49"/>
      <c r="J68" s="49"/>
      <c r="K68" s="49"/>
      <c r="L68" s="71">
        <f>L66+L67</f>
        <v>0</v>
      </c>
    </row>
    <row r="69" spans="1:13" s="12" customFormat="1" x14ac:dyDescent="0.25">
      <c r="A69" s="73"/>
      <c r="B69" s="79" t="s">
        <v>14</v>
      </c>
      <c r="C69" s="90">
        <v>0</v>
      </c>
      <c r="D69" s="75"/>
      <c r="E69" s="76"/>
      <c r="F69" s="76"/>
      <c r="G69" s="76"/>
      <c r="H69" s="76"/>
      <c r="I69" s="76"/>
      <c r="J69" s="76"/>
      <c r="K69" s="76"/>
      <c r="L69" s="77">
        <f>L68*C69</f>
        <v>0</v>
      </c>
    </row>
    <row r="70" spans="1:13" s="12" customFormat="1" x14ac:dyDescent="0.25">
      <c r="A70" s="22"/>
      <c r="B70" s="48" t="s">
        <v>7</v>
      </c>
      <c r="C70" s="80"/>
      <c r="D70" s="80"/>
      <c r="E70" s="49"/>
      <c r="F70" s="49"/>
      <c r="G70" s="49"/>
      <c r="H70" s="49"/>
      <c r="I70" s="49"/>
      <c r="J70" s="49"/>
      <c r="K70" s="49"/>
      <c r="L70" s="71">
        <f>L68+L69</f>
        <v>0</v>
      </c>
    </row>
    <row r="71" spans="1:13" s="12" customFormat="1" x14ac:dyDescent="0.25">
      <c r="A71" s="73"/>
      <c r="B71" s="79" t="s">
        <v>19</v>
      </c>
      <c r="C71" s="90">
        <v>0</v>
      </c>
      <c r="D71" s="75"/>
      <c r="E71" s="76"/>
      <c r="F71" s="76"/>
      <c r="G71" s="76"/>
      <c r="H71" s="76"/>
      <c r="I71" s="76"/>
      <c r="J71" s="76"/>
      <c r="K71" s="76"/>
      <c r="L71" s="77">
        <f>L70*C71</f>
        <v>0</v>
      </c>
    </row>
    <row r="72" spans="1:13" s="12" customFormat="1" ht="12.75" thickBot="1" x14ac:dyDescent="0.3">
      <c r="A72" s="81"/>
      <c r="B72" s="82" t="s">
        <v>7</v>
      </c>
      <c r="C72" s="83"/>
      <c r="D72" s="83"/>
      <c r="E72" s="84"/>
      <c r="F72" s="84"/>
      <c r="G72" s="84"/>
      <c r="H72" s="84"/>
      <c r="I72" s="84"/>
      <c r="J72" s="84"/>
      <c r="K72" s="84"/>
      <c r="L72" s="85">
        <f>L70+L71</f>
        <v>0</v>
      </c>
    </row>
    <row r="73" spans="1:13" x14ac:dyDescent="0.2">
      <c r="L73" s="21"/>
      <c r="M73" s="21"/>
    </row>
    <row r="74" spans="1:13" x14ac:dyDescent="0.2">
      <c r="L74" s="21"/>
      <c r="M74" s="21"/>
    </row>
    <row r="75" spans="1:13" x14ac:dyDescent="0.2">
      <c r="K75" s="86"/>
      <c r="L75" s="87"/>
      <c r="M75" s="21"/>
    </row>
    <row r="77" spans="1:13" x14ac:dyDescent="0.2">
      <c r="E77" s="2"/>
    </row>
    <row r="78" spans="1:13" x14ac:dyDescent="0.2">
      <c r="E78" s="2"/>
    </row>
    <row r="79" spans="1:13" x14ac:dyDescent="0.2">
      <c r="E79" s="2"/>
    </row>
    <row r="80" spans="1:13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</sheetData>
  <sheetProtection algorithmName="SHA-512" hashValue="JEuOPok4rf9caVavTW4IoWCwvmYGVj4lwr/2eFndEYlJ66EJGXhy2y9wgiK43E6Z1jHfbbBlMjYqTJfR1rbJdA==" saltValue="OmBKYabFAwmf2JNz/7ZQ7w==" spinCount="100000" sheet="1" objects="1" scenarios="1"/>
  <mergeCells count="8">
    <mergeCell ref="J6:K6"/>
    <mergeCell ref="L6:L7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78"/>
  <sheetViews>
    <sheetView zoomScaleNormal="100" workbookViewId="0">
      <selection activeCell="O12" sqref="O12"/>
    </sheetView>
  </sheetViews>
  <sheetFormatPr defaultColWidth="8.85546875" defaultRowHeight="12" x14ac:dyDescent="0.2"/>
  <cols>
    <col min="1" max="1" width="8.85546875" style="2"/>
    <col min="2" max="2" width="55" style="2" customWidth="1"/>
    <col min="3" max="3" width="13.570312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3" ht="30" customHeight="1" x14ac:dyDescent="0.2"/>
    <row r="5" spans="1:13" ht="12.75" thickBot="1" x14ac:dyDescent="0.25"/>
    <row r="6" spans="1:13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3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3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1">
        <v>12</v>
      </c>
    </row>
    <row r="9" spans="1:13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3" ht="23.25" customHeight="1" thickBot="1" x14ac:dyDescent="0.25">
      <c r="A10" s="15"/>
      <c r="B10" s="16" t="s">
        <v>159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3" x14ac:dyDescent="0.2">
      <c r="A11" s="22"/>
      <c r="B11" s="23" t="s">
        <v>38</v>
      </c>
      <c r="C11" s="220"/>
      <c r="D11" s="221"/>
      <c r="E11" s="221"/>
      <c r="F11" s="221"/>
      <c r="G11" s="221"/>
      <c r="H11" s="221"/>
      <c r="I11" s="221"/>
      <c r="J11" s="221"/>
      <c r="K11" s="221"/>
      <c r="L11" s="222"/>
      <c r="M11" s="21"/>
    </row>
    <row r="12" spans="1:13" s="57" customFormat="1" ht="13.5" customHeight="1" x14ac:dyDescent="0.2">
      <c r="A12" s="91">
        <v>1</v>
      </c>
      <c r="B12" s="92" t="s">
        <v>155</v>
      </c>
      <c r="C12" s="93" t="s">
        <v>62</v>
      </c>
      <c r="D12" s="18"/>
      <c r="E12" s="27">
        <f>44.7+2*(16.8+16.8+1.2+1.2)</f>
        <v>116.70000000000002</v>
      </c>
      <c r="F12" s="28"/>
      <c r="G12" s="29">
        <f t="shared" ref="G12:G18" si="0">F12*E12</f>
        <v>0</v>
      </c>
      <c r="H12" s="88">
        <v>0</v>
      </c>
      <c r="I12" s="28">
        <f t="shared" ref="I12:I14" si="1">H12*E12</f>
        <v>0</v>
      </c>
      <c r="J12" s="88">
        <v>0</v>
      </c>
      <c r="K12" s="29">
        <f t="shared" ref="K12:K18" si="2">J12*E12</f>
        <v>0</v>
      </c>
      <c r="L12" s="30">
        <f t="shared" ref="L12:L18" si="3">K12+I12+G12</f>
        <v>0</v>
      </c>
      <c r="M12" s="94"/>
    </row>
    <row r="13" spans="1:13" s="57" customFormat="1" ht="15" customHeight="1" x14ac:dyDescent="0.2">
      <c r="A13" s="91">
        <v>2</v>
      </c>
      <c r="B13" s="92" t="s">
        <v>161</v>
      </c>
      <c r="C13" s="95" t="s">
        <v>15</v>
      </c>
      <c r="D13" s="18"/>
      <c r="E13" s="27">
        <f>3*7.3*3.5+15.5*1.2*2</f>
        <v>113.85</v>
      </c>
      <c r="F13" s="28"/>
      <c r="G13" s="29">
        <f t="shared" si="0"/>
        <v>0</v>
      </c>
      <c r="H13" s="88">
        <v>0</v>
      </c>
      <c r="I13" s="28">
        <f t="shared" si="1"/>
        <v>0</v>
      </c>
      <c r="J13" s="88">
        <v>0</v>
      </c>
      <c r="K13" s="29">
        <f t="shared" si="2"/>
        <v>0</v>
      </c>
      <c r="L13" s="30">
        <f t="shared" si="3"/>
        <v>0</v>
      </c>
      <c r="M13" s="94"/>
    </row>
    <row r="14" spans="1:13" ht="24" x14ac:dyDescent="0.2">
      <c r="A14" s="24">
        <v>3</v>
      </c>
      <c r="B14" s="25" t="s">
        <v>154</v>
      </c>
      <c r="C14" s="95" t="s">
        <v>16</v>
      </c>
      <c r="D14" s="26">
        <v>1.28</v>
      </c>
      <c r="E14" s="27">
        <f>E13*0.6*D14</f>
        <v>87.436799999999991</v>
      </c>
      <c r="F14" s="28"/>
      <c r="G14" s="29">
        <f t="shared" si="0"/>
        <v>0</v>
      </c>
      <c r="H14" s="88">
        <v>0</v>
      </c>
      <c r="I14" s="28">
        <f t="shared" si="1"/>
        <v>0</v>
      </c>
      <c r="J14" s="88">
        <v>0</v>
      </c>
      <c r="K14" s="29">
        <f t="shared" si="2"/>
        <v>0</v>
      </c>
      <c r="L14" s="30">
        <f t="shared" si="3"/>
        <v>0</v>
      </c>
      <c r="M14" s="21"/>
    </row>
    <row r="15" spans="1:13" ht="15" customHeight="1" x14ac:dyDescent="0.2">
      <c r="A15" s="24">
        <v>4</v>
      </c>
      <c r="B15" s="25" t="s">
        <v>218</v>
      </c>
      <c r="C15" s="26" t="s">
        <v>16</v>
      </c>
      <c r="D15" s="26">
        <v>1.28</v>
      </c>
      <c r="E15" s="27">
        <f>E13*0.05*D15</f>
        <v>7.2864000000000004</v>
      </c>
      <c r="F15" s="28"/>
      <c r="G15" s="29">
        <f t="shared" si="0"/>
        <v>0</v>
      </c>
      <c r="H15" s="88">
        <v>0</v>
      </c>
      <c r="I15" s="28">
        <f>H15*E15</f>
        <v>0</v>
      </c>
      <c r="J15" s="29"/>
      <c r="K15" s="29">
        <f t="shared" si="2"/>
        <v>0</v>
      </c>
      <c r="L15" s="30">
        <f t="shared" si="3"/>
        <v>0</v>
      </c>
      <c r="M15" s="21"/>
    </row>
    <row r="16" spans="1:13" ht="17.25" customHeight="1" x14ac:dyDescent="0.2">
      <c r="A16" s="24">
        <v>5</v>
      </c>
      <c r="B16" s="25" t="s">
        <v>42</v>
      </c>
      <c r="C16" s="31" t="s">
        <v>35</v>
      </c>
      <c r="D16" s="26">
        <v>1.95</v>
      </c>
      <c r="E16" s="27">
        <f>(E13*0.1+E14+E15)*D16</f>
        <v>206.91099</v>
      </c>
      <c r="F16" s="28"/>
      <c r="G16" s="29">
        <f t="shared" si="0"/>
        <v>0</v>
      </c>
      <c r="H16" s="88">
        <v>0</v>
      </c>
      <c r="I16" s="28">
        <f t="shared" ref="I16:I18" si="4">H16*E16</f>
        <v>0</v>
      </c>
      <c r="J16" s="88">
        <v>0</v>
      </c>
      <c r="K16" s="29">
        <f t="shared" si="2"/>
        <v>0</v>
      </c>
      <c r="L16" s="30">
        <f t="shared" si="3"/>
        <v>0</v>
      </c>
      <c r="M16" s="21"/>
    </row>
    <row r="17" spans="1:14" ht="12.75" x14ac:dyDescent="0.2">
      <c r="A17" s="24">
        <v>6</v>
      </c>
      <c r="B17" s="25" t="s">
        <v>43</v>
      </c>
      <c r="C17" s="31" t="s">
        <v>15</v>
      </c>
      <c r="D17" s="26"/>
      <c r="E17" s="27">
        <f>E13</f>
        <v>113.85</v>
      </c>
      <c r="F17" s="28"/>
      <c r="G17" s="29">
        <f t="shared" si="0"/>
        <v>0</v>
      </c>
      <c r="H17" s="88">
        <v>0</v>
      </c>
      <c r="I17" s="28">
        <f t="shared" si="4"/>
        <v>0</v>
      </c>
      <c r="J17" s="88">
        <v>0</v>
      </c>
      <c r="K17" s="29">
        <f t="shared" si="2"/>
        <v>0</v>
      </c>
      <c r="L17" s="30">
        <f t="shared" si="3"/>
        <v>0</v>
      </c>
      <c r="N17" s="21"/>
    </row>
    <row r="18" spans="1:14" ht="12.75" x14ac:dyDescent="0.2">
      <c r="A18" s="24">
        <v>7</v>
      </c>
      <c r="B18" s="25" t="s">
        <v>156</v>
      </c>
      <c r="C18" s="31" t="s">
        <v>16</v>
      </c>
      <c r="D18" s="26"/>
      <c r="E18" s="27">
        <f>E17*0.3*1.25</f>
        <v>42.693749999999994</v>
      </c>
      <c r="F18" s="28"/>
      <c r="G18" s="29">
        <f t="shared" si="0"/>
        <v>0</v>
      </c>
      <c r="H18" s="88">
        <v>0</v>
      </c>
      <c r="I18" s="28">
        <f t="shared" si="4"/>
        <v>0</v>
      </c>
      <c r="J18" s="88">
        <v>0</v>
      </c>
      <c r="K18" s="29">
        <f t="shared" si="2"/>
        <v>0</v>
      </c>
      <c r="L18" s="30">
        <f t="shared" si="3"/>
        <v>0</v>
      </c>
      <c r="N18" s="21"/>
    </row>
    <row r="19" spans="1:14" ht="21.75" customHeight="1" x14ac:dyDescent="0.2">
      <c r="A19" s="32"/>
      <c r="B19" s="47" t="s">
        <v>110</v>
      </c>
      <c r="C19" s="225"/>
      <c r="D19" s="226"/>
      <c r="E19" s="226"/>
      <c r="F19" s="226"/>
      <c r="G19" s="226"/>
      <c r="H19" s="226"/>
      <c r="I19" s="226"/>
      <c r="J19" s="226"/>
      <c r="K19" s="226"/>
      <c r="L19" s="227"/>
      <c r="N19" s="21"/>
    </row>
    <row r="20" spans="1:14" ht="25.5" customHeight="1" x14ac:dyDescent="0.2">
      <c r="A20" s="24">
        <v>8</v>
      </c>
      <c r="B20" s="34" t="s">
        <v>157</v>
      </c>
      <c r="C20" s="35" t="s">
        <v>16</v>
      </c>
      <c r="D20" s="26"/>
      <c r="E20" s="27">
        <f>E17*0.1*1.25</f>
        <v>14.231249999999999</v>
      </c>
      <c r="F20" s="88">
        <v>0</v>
      </c>
      <c r="G20" s="29">
        <f>F20*E20</f>
        <v>0</v>
      </c>
      <c r="H20" s="88">
        <v>0</v>
      </c>
      <c r="I20" s="28">
        <f t="shared" ref="I20:I27" si="5">H20*E20</f>
        <v>0</v>
      </c>
      <c r="J20" s="88">
        <v>0</v>
      </c>
      <c r="K20" s="28">
        <f>J20*E20</f>
        <v>0</v>
      </c>
      <c r="L20" s="30">
        <f t="shared" ref="L20:L27" si="6">K20+I20+G20</f>
        <v>0</v>
      </c>
      <c r="N20" s="21"/>
    </row>
    <row r="21" spans="1:14" ht="24" x14ac:dyDescent="0.2">
      <c r="A21" s="96">
        <v>9</v>
      </c>
      <c r="B21" s="97" t="s">
        <v>158</v>
      </c>
      <c r="C21" s="98" t="s">
        <v>16</v>
      </c>
      <c r="D21" s="99"/>
      <c r="E21" s="100">
        <f>E17*0.1</f>
        <v>11.385</v>
      </c>
      <c r="F21" s="99"/>
      <c r="G21" s="101"/>
      <c r="H21" s="99"/>
      <c r="I21" s="101"/>
      <c r="J21" s="99"/>
      <c r="K21" s="101"/>
      <c r="L21" s="141"/>
      <c r="N21" s="21"/>
    </row>
    <row r="22" spans="1:14" s="43" customFormat="1" ht="12.75" x14ac:dyDescent="0.25">
      <c r="A22" s="37">
        <v>9.1</v>
      </c>
      <c r="B22" s="38" t="s">
        <v>46</v>
      </c>
      <c r="C22" s="39" t="s">
        <v>15</v>
      </c>
      <c r="D22" s="39"/>
      <c r="E22" s="40">
        <f>E17</f>
        <v>113.85</v>
      </c>
      <c r="F22" s="41"/>
      <c r="G22" s="29">
        <f t="shared" ref="G22:G27" si="7">F22*E22</f>
        <v>0</v>
      </c>
      <c r="H22" s="88">
        <v>0</v>
      </c>
      <c r="I22" s="28">
        <f t="shared" si="5"/>
        <v>0</v>
      </c>
      <c r="J22" s="42"/>
      <c r="K22" s="28">
        <f t="shared" ref="K22:K27" si="8">J22*E22</f>
        <v>0</v>
      </c>
      <c r="L22" s="30">
        <f t="shared" si="6"/>
        <v>0</v>
      </c>
      <c r="N22" s="44"/>
    </row>
    <row r="23" spans="1:14" s="43" customFormat="1" ht="12.75" x14ac:dyDescent="0.25">
      <c r="A23" s="37">
        <v>9.1999999999999993</v>
      </c>
      <c r="B23" s="38" t="s">
        <v>47</v>
      </c>
      <c r="C23" s="39" t="s">
        <v>16</v>
      </c>
      <c r="D23" s="39"/>
      <c r="E23" s="40">
        <f>E22*0.1</f>
        <v>11.385</v>
      </c>
      <c r="F23" s="41"/>
      <c r="G23" s="29">
        <f t="shared" si="7"/>
        <v>0</v>
      </c>
      <c r="H23" s="41"/>
      <c r="I23" s="28">
        <f t="shared" si="5"/>
        <v>0</v>
      </c>
      <c r="J23" s="88">
        <v>0</v>
      </c>
      <c r="K23" s="28">
        <f t="shared" si="8"/>
        <v>0</v>
      </c>
      <c r="L23" s="30">
        <f t="shared" si="6"/>
        <v>0</v>
      </c>
      <c r="N23" s="44"/>
    </row>
    <row r="24" spans="1:14" s="106" customFormat="1" ht="12.75" x14ac:dyDescent="0.25">
      <c r="A24" s="103"/>
      <c r="B24" s="104" t="s">
        <v>169</v>
      </c>
      <c r="C24" s="105"/>
      <c r="D24" s="105"/>
      <c r="E24" s="60"/>
      <c r="F24" s="42"/>
      <c r="G24" s="29"/>
      <c r="H24" s="42"/>
      <c r="I24" s="29"/>
      <c r="J24" s="29"/>
      <c r="K24" s="29"/>
      <c r="L24" s="125"/>
      <c r="N24" s="107"/>
    </row>
    <row r="25" spans="1:14" s="43" customFormat="1" ht="12.75" x14ac:dyDescent="0.25">
      <c r="A25" s="37">
        <v>9.3000000000000007</v>
      </c>
      <c r="B25" s="38" t="s">
        <v>325</v>
      </c>
      <c r="C25" s="39" t="s">
        <v>16</v>
      </c>
      <c r="D25" s="39">
        <v>1.02</v>
      </c>
      <c r="E25" s="40">
        <f>E22*0.1*D25</f>
        <v>11.6127</v>
      </c>
      <c r="F25" s="88">
        <v>0</v>
      </c>
      <c r="G25" s="29">
        <f t="shared" si="7"/>
        <v>0</v>
      </c>
      <c r="H25" s="89">
        <v>0</v>
      </c>
      <c r="I25" s="28">
        <f t="shared" si="5"/>
        <v>0</v>
      </c>
      <c r="J25" s="89">
        <v>0</v>
      </c>
      <c r="K25" s="28">
        <f t="shared" si="8"/>
        <v>0</v>
      </c>
      <c r="L25" s="30">
        <f t="shared" si="6"/>
        <v>0</v>
      </c>
      <c r="N25" s="44"/>
    </row>
    <row r="26" spans="1:14" ht="26.25" customHeight="1" x14ac:dyDescent="0.2">
      <c r="A26" s="24">
        <v>10</v>
      </c>
      <c r="B26" s="34" t="s">
        <v>160</v>
      </c>
      <c r="C26" s="35" t="s">
        <v>15</v>
      </c>
      <c r="D26" s="26">
        <v>1.2</v>
      </c>
      <c r="E26" s="108">
        <f>(E17+E12*0.25)*1.2</f>
        <v>171.63</v>
      </c>
      <c r="F26" s="88">
        <v>0</v>
      </c>
      <c r="G26" s="29">
        <f t="shared" si="7"/>
        <v>0</v>
      </c>
      <c r="H26" s="88">
        <v>0</v>
      </c>
      <c r="I26" s="28">
        <f t="shared" si="5"/>
        <v>0</v>
      </c>
      <c r="J26" s="88">
        <v>0</v>
      </c>
      <c r="K26" s="28">
        <f t="shared" si="8"/>
        <v>0</v>
      </c>
      <c r="L26" s="30">
        <f t="shared" si="6"/>
        <v>0</v>
      </c>
      <c r="N26" s="21"/>
    </row>
    <row r="27" spans="1:14" ht="42" customHeight="1" x14ac:dyDescent="0.2">
      <c r="A27" s="45">
        <v>11</v>
      </c>
      <c r="B27" s="46" t="s">
        <v>205</v>
      </c>
      <c r="C27" s="35" t="s">
        <v>20</v>
      </c>
      <c r="D27" s="26"/>
      <c r="E27" s="108">
        <v>1</v>
      </c>
      <c r="F27" s="29"/>
      <c r="G27" s="29">
        <f t="shared" si="7"/>
        <v>0</v>
      </c>
      <c r="H27" s="88">
        <v>0</v>
      </c>
      <c r="I27" s="28">
        <f t="shared" si="5"/>
        <v>0</v>
      </c>
      <c r="J27" s="88">
        <v>0</v>
      </c>
      <c r="K27" s="28">
        <f t="shared" si="8"/>
        <v>0</v>
      </c>
      <c r="L27" s="30">
        <f t="shared" si="6"/>
        <v>0</v>
      </c>
      <c r="N27" s="21"/>
    </row>
    <row r="28" spans="1:14" ht="24.75" customHeight="1" x14ac:dyDescent="0.2">
      <c r="A28" s="22">
        <v>12</v>
      </c>
      <c r="B28" s="47" t="s">
        <v>283</v>
      </c>
      <c r="C28" s="48" t="s">
        <v>8</v>
      </c>
      <c r="D28" s="48"/>
      <c r="E28" s="49">
        <v>3</v>
      </c>
      <c r="F28" s="49"/>
      <c r="G28" s="49"/>
      <c r="H28" s="49"/>
      <c r="I28" s="49"/>
      <c r="J28" s="49"/>
      <c r="K28" s="49"/>
      <c r="L28" s="119"/>
      <c r="M28" s="21"/>
    </row>
    <row r="29" spans="1:14" ht="12.75" x14ac:dyDescent="0.2">
      <c r="A29" s="51">
        <v>12.1</v>
      </c>
      <c r="B29" s="38" t="s">
        <v>46</v>
      </c>
      <c r="C29" s="39" t="s">
        <v>16</v>
      </c>
      <c r="D29" s="39"/>
      <c r="E29" s="27">
        <f>3*7.2*3.75*0.25</f>
        <v>20.25</v>
      </c>
      <c r="F29" s="28"/>
      <c r="G29" s="29">
        <f t="shared" ref="G29:G38" si="9">F29*E29</f>
        <v>0</v>
      </c>
      <c r="H29" s="88">
        <v>0</v>
      </c>
      <c r="I29" s="28">
        <f>H29*E29</f>
        <v>0</v>
      </c>
      <c r="J29" s="28"/>
      <c r="K29" s="28">
        <f>J29*E29</f>
        <v>0</v>
      </c>
      <c r="L29" s="30">
        <f>K29+I29+G29</f>
        <v>0</v>
      </c>
      <c r="M29" s="21"/>
    </row>
    <row r="30" spans="1:14" ht="12.75" x14ac:dyDescent="0.2">
      <c r="A30" s="51">
        <v>12.2</v>
      </c>
      <c r="B30" s="38" t="s">
        <v>47</v>
      </c>
      <c r="C30" s="39" t="s">
        <v>16</v>
      </c>
      <c r="D30" s="39"/>
      <c r="E30" s="27">
        <f>E29</f>
        <v>20.25</v>
      </c>
      <c r="F30" s="28"/>
      <c r="G30" s="29">
        <f t="shared" si="9"/>
        <v>0</v>
      </c>
      <c r="H30" s="29"/>
      <c r="I30" s="28">
        <f t="shared" ref="I30:I39" si="10">H30*E30</f>
        <v>0</v>
      </c>
      <c r="J30" s="88">
        <v>0</v>
      </c>
      <c r="K30" s="28">
        <f>J30*E30</f>
        <v>0</v>
      </c>
      <c r="L30" s="30">
        <f t="shared" ref="L30:L39" si="11">K30+I30+G30</f>
        <v>0</v>
      </c>
      <c r="N30" s="21"/>
    </row>
    <row r="31" spans="1:14" ht="12.75" x14ac:dyDescent="0.2">
      <c r="A31" s="51">
        <v>12.3</v>
      </c>
      <c r="B31" s="38" t="s">
        <v>97</v>
      </c>
      <c r="C31" s="39" t="s">
        <v>15</v>
      </c>
      <c r="D31" s="39"/>
      <c r="E31" s="27">
        <f>3*7.2*3.75</f>
        <v>81</v>
      </c>
      <c r="F31" s="28"/>
      <c r="G31" s="29">
        <f t="shared" si="9"/>
        <v>0</v>
      </c>
      <c r="H31" s="88">
        <v>0</v>
      </c>
      <c r="I31" s="28">
        <f>H31*E31</f>
        <v>0</v>
      </c>
      <c r="J31" s="29"/>
      <c r="K31" s="28">
        <f>J31*E31</f>
        <v>0</v>
      </c>
      <c r="L31" s="30">
        <f>K31+I31+G31</f>
        <v>0</v>
      </c>
      <c r="N31" s="21"/>
    </row>
    <row r="32" spans="1:14" ht="12.75" x14ac:dyDescent="0.2">
      <c r="A32" s="51">
        <v>12.4</v>
      </c>
      <c r="B32" s="38" t="s">
        <v>211</v>
      </c>
      <c r="C32" s="39" t="s">
        <v>62</v>
      </c>
      <c r="D32" s="26"/>
      <c r="E32" s="27">
        <v>25.2</v>
      </c>
      <c r="F32" s="28"/>
      <c r="G32" s="29">
        <f t="shared" si="9"/>
        <v>0</v>
      </c>
      <c r="H32" s="88">
        <v>0</v>
      </c>
      <c r="I32" s="28">
        <f>H32*E32</f>
        <v>0</v>
      </c>
      <c r="J32" s="29"/>
      <c r="K32" s="28">
        <f>J32*E32</f>
        <v>0</v>
      </c>
      <c r="L32" s="30">
        <f>K32+I32+G32</f>
        <v>0</v>
      </c>
      <c r="N32" s="21"/>
    </row>
    <row r="33" spans="1:14" ht="12.75" x14ac:dyDescent="0.2">
      <c r="A33" s="51">
        <v>12.5</v>
      </c>
      <c r="B33" s="38" t="s">
        <v>210</v>
      </c>
      <c r="C33" s="39" t="s">
        <v>21</v>
      </c>
      <c r="D33" s="26"/>
      <c r="E33" s="27">
        <v>1</v>
      </c>
      <c r="F33" s="28"/>
      <c r="G33" s="29">
        <f t="shared" si="9"/>
        <v>0</v>
      </c>
      <c r="H33" s="29"/>
      <c r="I33" s="28">
        <f t="shared" ref="I33" si="12">H33*E33</f>
        <v>0</v>
      </c>
      <c r="J33" s="88">
        <v>0</v>
      </c>
      <c r="K33" s="28">
        <f>J33*E33</f>
        <v>0</v>
      </c>
      <c r="L33" s="30">
        <f t="shared" ref="L33" si="13">K33+I33+G33</f>
        <v>0</v>
      </c>
      <c r="N33" s="21"/>
    </row>
    <row r="34" spans="1:14" ht="12.75" x14ac:dyDescent="0.2">
      <c r="A34" s="51"/>
      <c r="B34" s="38" t="s">
        <v>169</v>
      </c>
      <c r="C34" s="39"/>
      <c r="D34" s="39"/>
      <c r="E34" s="27"/>
      <c r="F34" s="28"/>
      <c r="G34" s="29"/>
      <c r="H34" s="29"/>
      <c r="I34" s="28"/>
      <c r="J34" s="29"/>
      <c r="K34" s="28"/>
      <c r="L34" s="30"/>
      <c r="N34" s="21"/>
    </row>
    <row r="35" spans="1:14" ht="12.75" x14ac:dyDescent="0.2">
      <c r="A35" s="51">
        <v>12.6</v>
      </c>
      <c r="B35" s="38" t="s">
        <v>48</v>
      </c>
      <c r="C35" s="39" t="s">
        <v>16</v>
      </c>
      <c r="D35" s="39">
        <v>1.02</v>
      </c>
      <c r="E35" s="27">
        <f>E30*D35</f>
        <v>20.655000000000001</v>
      </c>
      <c r="F35" s="88">
        <v>0</v>
      </c>
      <c r="G35" s="29">
        <f t="shared" si="9"/>
        <v>0</v>
      </c>
      <c r="H35" s="28"/>
      <c r="I35" s="28">
        <f t="shared" si="10"/>
        <v>0</v>
      </c>
      <c r="J35" s="29"/>
      <c r="K35" s="28">
        <f t="shared" ref="K35:K39" si="14">J35*E35</f>
        <v>0</v>
      </c>
      <c r="L35" s="30">
        <f t="shared" si="11"/>
        <v>0</v>
      </c>
      <c r="N35" s="21"/>
    </row>
    <row r="36" spans="1:14" ht="12.75" x14ac:dyDescent="0.2">
      <c r="A36" s="51">
        <v>12.7</v>
      </c>
      <c r="B36" s="38" t="s">
        <v>162</v>
      </c>
      <c r="C36" s="39" t="s">
        <v>49</v>
      </c>
      <c r="D36" s="39"/>
      <c r="E36" s="27">
        <f>1625*1.21*1.03/1000</f>
        <v>2.0252374999999998</v>
      </c>
      <c r="F36" s="88">
        <v>0</v>
      </c>
      <c r="G36" s="29">
        <f t="shared" si="9"/>
        <v>0</v>
      </c>
      <c r="H36" s="28"/>
      <c r="I36" s="28">
        <f t="shared" si="10"/>
        <v>0</v>
      </c>
      <c r="J36" s="28"/>
      <c r="K36" s="28">
        <f t="shared" si="14"/>
        <v>0</v>
      </c>
      <c r="L36" s="30">
        <f t="shared" si="11"/>
        <v>0</v>
      </c>
      <c r="N36" s="3"/>
    </row>
    <row r="37" spans="1:14" ht="12.75" x14ac:dyDescent="0.2">
      <c r="A37" s="51">
        <v>12.8</v>
      </c>
      <c r="B37" s="38" t="s">
        <v>64</v>
      </c>
      <c r="C37" s="39" t="s">
        <v>49</v>
      </c>
      <c r="D37" s="39"/>
      <c r="E37" s="27">
        <f>234*0.395*1.03/1000</f>
        <v>9.5202900000000007E-2</v>
      </c>
      <c r="F37" s="88">
        <v>0</v>
      </c>
      <c r="G37" s="29">
        <f t="shared" si="9"/>
        <v>0</v>
      </c>
      <c r="H37" s="28"/>
      <c r="I37" s="28">
        <f t="shared" si="10"/>
        <v>0</v>
      </c>
      <c r="J37" s="28"/>
      <c r="K37" s="28">
        <f t="shared" si="14"/>
        <v>0</v>
      </c>
      <c r="L37" s="30">
        <f t="shared" si="11"/>
        <v>0</v>
      </c>
      <c r="N37" s="3"/>
    </row>
    <row r="38" spans="1:14" ht="12.75" x14ac:dyDescent="0.2">
      <c r="A38" s="51">
        <v>12.9</v>
      </c>
      <c r="B38" s="38" t="s">
        <v>212</v>
      </c>
      <c r="C38" s="39" t="s">
        <v>8</v>
      </c>
      <c r="D38" s="26"/>
      <c r="E38" s="52">
        <v>15</v>
      </c>
      <c r="F38" s="88">
        <v>0</v>
      </c>
      <c r="G38" s="29">
        <f t="shared" si="9"/>
        <v>0</v>
      </c>
      <c r="H38" s="28"/>
      <c r="I38" s="28">
        <f t="shared" si="10"/>
        <v>0</v>
      </c>
      <c r="J38" s="28"/>
      <c r="K38" s="28">
        <f t="shared" si="14"/>
        <v>0</v>
      </c>
      <c r="L38" s="30">
        <f t="shared" si="11"/>
        <v>0</v>
      </c>
      <c r="N38" s="21"/>
    </row>
    <row r="39" spans="1:14" ht="13.5" customHeight="1" x14ac:dyDescent="0.2">
      <c r="A39" s="109">
        <v>12.1</v>
      </c>
      <c r="B39" s="38" t="s">
        <v>163</v>
      </c>
      <c r="C39" s="39" t="s">
        <v>10</v>
      </c>
      <c r="D39" s="39"/>
      <c r="E39" s="27">
        <v>1</v>
      </c>
      <c r="F39" s="88">
        <v>0</v>
      </c>
      <c r="G39" s="29">
        <f>F39*E39</f>
        <v>0</v>
      </c>
      <c r="H39" s="28"/>
      <c r="I39" s="28">
        <f t="shared" si="10"/>
        <v>0</v>
      </c>
      <c r="J39" s="28"/>
      <c r="K39" s="28">
        <f t="shared" si="14"/>
        <v>0</v>
      </c>
      <c r="L39" s="30">
        <f t="shared" si="11"/>
        <v>0</v>
      </c>
      <c r="N39" s="21"/>
    </row>
    <row r="40" spans="1:14" ht="26.25" customHeight="1" x14ac:dyDescent="0.2">
      <c r="A40" s="22">
        <v>13</v>
      </c>
      <c r="B40" s="47" t="s">
        <v>284</v>
      </c>
      <c r="C40" s="33" t="s">
        <v>8</v>
      </c>
      <c r="D40" s="33"/>
      <c r="E40" s="49">
        <v>2</v>
      </c>
      <c r="F40" s="49"/>
      <c r="G40" s="49"/>
      <c r="H40" s="49"/>
      <c r="I40" s="49"/>
      <c r="J40" s="49"/>
      <c r="K40" s="49"/>
      <c r="L40" s="119"/>
      <c r="M40" s="21"/>
    </row>
    <row r="41" spans="1:14" ht="12.75" x14ac:dyDescent="0.2">
      <c r="A41" s="51">
        <v>13.1</v>
      </c>
      <c r="B41" s="38" t="s">
        <v>46</v>
      </c>
      <c r="C41" s="39" t="s">
        <v>16</v>
      </c>
      <c r="D41" s="26"/>
      <c r="E41" s="27">
        <f>15.5*1.9*2*0.25</f>
        <v>14.725</v>
      </c>
      <c r="F41" s="28"/>
      <c r="G41" s="29">
        <f t="shared" ref="G41:G52" si="15">F41*E41</f>
        <v>0</v>
      </c>
      <c r="H41" s="88">
        <v>0</v>
      </c>
      <c r="I41" s="28">
        <f>H41*E41</f>
        <v>0</v>
      </c>
      <c r="J41" s="29"/>
      <c r="K41" s="28">
        <f>J41*E41</f>
        <v>0</v>
      </c>
      <c r="L41" s="30">
        <f>K41+I41+G41</f>
        <v>0</v>
      </c>
      <c r="M41" s="21"/>
    </row>
    <row r="42" spans="1:14" ht="12.75" x14ac:dyDescent="0.2">
      <c r="A42" s="51">
        <v>13.2</v>
      </c>
      <c r="B42" s="38" t="s">
        <v>47</v>
      </c>
      <c r="C42" s="39" t="s">
        <v>16</v>
      </c>
      <c r="D42" s="26"/>
      <c r="E42" s="27">
        <f>E41</f>
        <v>14.725</v>
      </c>
      <c r="F42" s="28"/>
      <c r="G42" s="29">
        <f t="shared" si="15"/>
        <v>0</v>
      </c>
      <c r="H42" s="29"/>
      <c r="I42" s="28">
        <f t="shared" ref="I42:I52" si="16">H42*E42</f>
        <v>0</v>
      </c>
      <c r="J42" s="88">
        <v>0</v>
      </c>
      <c r="K42" s="28">
        <f>J42*E42</f>
        <v>0</v>
      </c>
      <c r="L42" s="30">
        <f t="shared" ref="L42:L52" si="17">K42+I42+G42</f>
        <v>0</v>
      </c>
      <c r="N42" s="21"/>
    </row>
    <row r="43" spans="1:14" ht="12.75" x14ac:dyDescent="0.2">
      <c r="A43" s="51">
        <v>12.3</v>
      </c>
      <c r="B43" s="38" t="s">
        <v>97</v>
      </c>
      <c r="C43" s="39" t="s">
        <v>15</v>
      </c>
      <c r="D43" s="39"/>
      <c r="E43" s="27">
        <f>145.5*1.9*2</f>
        <v>552.9</v>
      </c>
      <c r="F43" s="28"/>
      <c r="G43" s="29">
        <f t="shared" si="15"/>
        <v>0</v>
      </c>
      <c r="H43" s="88">
        <v>0</v>
      </c>
      <c r="I43" s="28">
        <f>H43*E43</f>
        <v>0</v>
      </c>
      <c r="J43" s="29"/>
      <c r="K43" s="28">
        <f>J43*E43</f>
        <v>0</v>
      </c>
      <c r="L43" s="30">
        <f>K43+I43+G43</f>
        <v>0</v>
      </c>
      <c r="N43" s="21"/>
    </row>
    <row r="44" spans="1:14" ht="12.75" x14ac:dyDescent="0.2">
      <c r="A44" s="51">
        <v>13.4</v>
      </c>
      <c r="B44" s="38" t="s">
        <v>211</v>
      </c>
      <c r="C44" s="39" t="s">
        <v>62</v>
      </c>
      <c r="D44" s="26"/>
      <c r="E44" s="27">
        <v>22</v>
      </c>
      <c r="F44" s="28"/>
      <c r="G44" s="29">
        <f t="shared" si="15"/>
        <v>0</v>
      </c>
      <c r="H44" s="88">
        <v>0</v>
      </c>
      <c r="I44" s="28">
        <f>H44*E44</f>
        <v>0</v>
      </c>
      <c r="J44" s="29"/>
      <c r="K44" s="28">
        <f>J44*E44</f>
        <v>0</v>
      </c>
      <c r="L44" s="30">
        <f>K44+I44+G44</f>
        <v>0</v>
      </c>
      <c r="N44" s="21"/>
    </row>
    <row r="45" spans="1:14" ht="12.75" x14ac:dyDescent="0.2">
      <c r="A45" s="51">
        <v>13.5</v>
      </c>
      <c r="B45" s="38" t="s">
        <v>210</v>
      </c>
      <c r="C45" s="39" t="s">
        <v>21</v>
      </c>
      <c r="D45" s="26"/>
      <c r="E45" s="27">
        <v>1</v>
      </c>
      <c r="F45" s="28"/>
      <c r="G45" s="29">
        <f t="shared" si="15"/>
        <v>0</v>
      </c>
      <c r="H45" s="29"/>
      <c r="I45" s="28">
        <f t="shared" ref="I45" si="18">H45*E45</f>
        <v>0</v>
      </c>
      <c r="J45" s="88">
        <v>0</v>
      </c>
      <c r="K45" s="28">
        <f>J45*E45</f>
        <v>0</v>
      </c>
      <c r="L45" s="30">
        <f t="shared" ref="L45" si="19">K45+I45+G45</f>
        <v>0</v>
      </c>
      <c r="N45" s="21"/>
    </row>
    <row r="46" spans="1:14" ht="12.75" x14ac:dyDescent="0.2">
      <c r="A46" s="51"/>
      <c r="B46" s="38" t="s">
        <v>169</v>
      </c>
      <c r="C46" s="39"/>
      <c r="D46" s="26"/>
      <c r="E46" s="27"/>
      <c r="F46" s="28"/>
      <c r="G46" s="29"/>
      <c r="H46" s="29"/>
      <c r="I46" s="28"/>
      <c r="J46" s="29"/>
      <c r="K46" s="28"/>
      <c r="L46" s="30"/>
      <c r="N46" s="21"/>
    </row>
    <row r="47" spans="1:14" ht="12.75" x14ac:dyDescent="0.2">
      <c r="A47" s="51">
        <v>13.6</v>
      </c>
      <c r="B47" s="38" t="s">
        <v>48</v>
      </c>
      <c r="C47" s="39" t="s">
        <v>16</v>
      </c>
      <c r="D47" s="26">
        <v>1.02</v>
      </c>
      <c r="E47" s="27">
        <f>E41*D47</f>
        <v>15.019500000000001</v>
      </c>
      <c r="F47" s="88">
        <v>0</v>
      </c>
      <c r="G47" s="29">
        <f t="shared" si="15"/>
        <v>0</v>
      </c>
      <c r="H47" s="29"/>
      <c r="I47" s="28">
        <f t="shared" si="16"/>
        <v>0</v>
      </c>
      <c r="J47" s="29"/>
      <c r="K47" s="28">
        <f t="shared" ref="K47:K52" si="20">J47*E47</f>
        <v>0</v>
      </c>
      <c r="L47" s="30">
        <f t="shared" si="17"/>
        <v>0</v>
      </c>
      <c r="N47" s="3"/>
    </row>
    <row r="48" spans="1:14" ht="12.75" x14ac:dyDescent="0.2">
      <c r="A48" s="51">
        <v>13.7</v>
      </c>
      <c r="B48" s="38" t="s">
        <v>162</v>
      </c>
      <c r="C48" s="39" t="s">
        <v>49</v>
      </c>
      <c r="D48" s="26"/>
      <c r="E48" s="52">
        <f>904*1.21*1.03/1000</f>
        <v>1.1266551999999999</v>
      </c>
      <c r="F48" s="88">
        <v>0</v>
      </c>
      <c r="G48" s="29">
        <f t="shared" si="15"/>
        <v>0</v>
      </c>
      <c r="H48" s="28"/>
      <c r="I48" s="28">
        <f t="shared" si="16"/>
        <v>0</v>
      </c>
      <c r="J48" s="28"/>
      <c r="K48" s="28">
        <f t="shared" si="20"/>
        <v>0</v>
      </c>
      <c r="L48" s="30">
        <f t="shared" si="17"/>
        <v>0</v>
      </c>
      <c r="N48" s="21"/>
    </row>
    <row r="49" spans="1:14" ht="12.75" x14ac:dyDescent="0.2">
      <c r="A49" s="51">
        <v>13.8</v>
      </c>
      <c r="B49" s="38" t="s">
        <v>64</v>
      </c>
      <c r="C49" s="39" t="s">
        <v>49</v>
      </c>
      <c r="D49" s="26"/>
      <c r="E49" s="52">
        <f>145*0.395*1.03/1000</f>
        <v>5.8993250000000011E-2</v>
      </c>
      <c r="F49" s="88">
        <v>0</v>
      </c>
      <c r="G49" s="29">
        <f>F49*E49</f>
        <v>0</v>
      </c>
      <c r="H49" s="28"/>
      <c r="I49" s="28">
        <f>H49*E49</f>
        <v>0</v>
      </c>
      <c r="J49" s="28"/>
      <c r="K49" s="28">
        <f>J49*E49</f>
        <v>0</v>
      </c>
      <c r="L49" s="30">
        <f>K49+I49+G49</f>
        <v>0</v>
      </c>
      <c r="N49" s="21"/>
    </row>
    <row r="50" spans="1:14" ht="12.75" x14ac:dyDescent="0.2">
      <c r="A50" s="51">
        <v>13.9</v>
      </c>
      <c r="B50" s="38" t="s">
        <v>212</v>
      </c>
      <c r="C50" s="39" t="s">
        <v>8</v>
      </c>
      <c r="D50" s="26"/>
      <c r="E50" s="52">
        <v>10</v>
      </c>
      <c r="F50" s="88">
        <v>0</v>
      </c>
      <c r="G50" s="29">
        <f t="shared" ref="G50" si="21">F50*E50</f>
        <v>0</v>
      </c>
      <c r="H50" s="28"/>
      <c r="I50" s="28">
        <f t="shared" ref="I50" si="22">H50*E50</f>
        <v>0</v>
      </c>
      <c r="J50" s="28"/>
      <c r="K50" s="28">
        <f t="shared" ref="K50" si="23">J50*E50</f>
        <v>0</v>
      </c>
      <c r="L50" s="30">
        <f t="shared" ref="L50" si="24">K50+I50+G50</f>
        <v>0</v>
      </c>
      <c r="N50" s="21"/>
    </row>
    <row r="51" spans="1:14" ht="12.75" x14ac:dyDescent="0.2">
      <c r="A51" s="109">
        <v>13.1</v>
      </c>
      <c r="B51" s="38" t="s">
        <v>163</v>
      </c>
      <c r="C51" s="39" t="s">
        <v>10</v>
      </c>
      <c r="D51" s="26"/>
      <c r="E51" s="53">
        <v>1</v>
      </c>
      <c r="F51" s="88">
        <v>0</v>
      </c>
      <c r="G51" s="29">
        <f t="shared" si="15"/>
        <v>0</v>
      </c>
      <c r="H51" s="28"/>
      <c r="I51" s="28">
        <f t="shared" si="16"/>
        <v>0</v>
      </c>
      <c r="J51" s="28"/>
      <c r="K51" s="28">
        <f t="shared" si="20"/>
        <v>0</v>
      </c>
      <c r="L51" s="30">
        <f t="shared" si="17"/>
        <v>0</v>
      </c>
      <c r="M51" s="21"/>
      <c r="N51" s="21"/>
    </row>
    <row r="52" spans="1:14" ht="17.25" customHeight="1" x14ac:dyDescent="0.25">
      <c r="A52" s="24">
        <v>14</v>
      </c>
      <c r="B52" s="25" t="s">
        <v>288</v>
      </c>
      <c r="C52" s="26" t="s">
        <v>20</v>
      </c>
      <c r="D52" s="64"/>
      <c r="E52" s="27">
        <v>1</v>
      </c>
      <c r="F52" s="89">
        <v>0</v>
      </c>
      <c r="G52" s="29">
        <f t="shared" si="15"/>
        <v>0</v>
      </c>
      <c r="H52" s="88">
        <v>0</v>
      </c>
      <c r="I52" s="29">
        <f t="shared" si="16"/>
        <v>0</v>
      </c>
      <c r="J52" s="89">
        <v>0</v>
      </c>
      <c r="K52" s="29">
        <f t="shared" si="20"/>
        <v>0</v>
      </c>
      <c r="L52" s="30">
        <f t="shared" si="17"/>
        <v>0</v>
      </c>
      <c r="M52" s="21"/>
    </row>
    <row r="53" spans="1:14" s="72" customFormat="1" x14ac:dyDescent="0.25">
      <c r="A53" s="22"/>
      <c r="B53" s="48" t="s">
        <v>7</v>
      </c>
      <c r="C53" s="69"/>
      <c r="D53" s="69"/>
      <c r="E53" s="49"/>
      <c r="F53" s="49"/>
      <c r="G53" s="70">
        <f>SUM(G12:G52)</f>
        <v>0</v>
      </c>
      <c r="H53" s="49"/>
      <c r="I53" s="70">
        <f>SUM(I12:I52)</f>
        <v>0</v>
      </c>
      <c r="J53" s="49"/>
      <c r="K53" s="70">
        <f>SUM(K12:K52)</f>
        <v>0</v>
      </c>
      <c r="L53" s="71">
        <f>SUM(L12:L52)</f>
        <v>0</v>
      </c>
    </row>
    <row r="54" spans="1:14" s="12" customFormat="1" x14ac:dyDescent="0.25">
      <c r="A54" s="73"/>
      <c r="B54" s="74" t="s">
        <v>18</v>
      </c>
      <c r="C54" s="90">
        <v>0</v>
      </c>
      <c r="D54" s="75"/>
      <c r="E54" s="76"/>
      <c r="F54" s="76"/>
      <c r="G54" s="76"/>
      <c r="H54" s="76"/>
      <c r="I54" s="76"/>
      <c r="J54" s="76"/>
      <c r="K54" s="76"/>
      <c r="L54" s="77">
        <f>C54*G53</f>
        <v>0</v>
      </c>
    </row>
    <row r="55" spans="1:14" s="12" customFormat="1" x14ac:dyDescent="0.25">
      <c r="A55" s="22"/>
      <c r="B55" s="48" t="s">
        <v>7</v>
      </c>
      <c r="C55" s="78"/>
      <c r="D55" s="78"/>
      <c r="E55" s="49"/>
      <c r="F55" s="49"/>
      <c r="G55" s="49"/>
      <c r="H55" s="49"/>
      <c r="I55" s="49"/>
      <c r="J55" s="49"/>
      <c r="K55" s="49"/>
      <c r="L55" s="71">
        <f>L54+L53</f>
        <v>0</v>
      </c>
    </row>
    <row r="56" spans="1:14" s="12" customFormat="1" x14ac:dyDescent="0.25">
      <c r="A56" s="73"/>
      <c r="B56" s="79" t="s">
        <v>11</v>
      </c>
      <c r="C56" s="90">
        <v>0</v>
      </c>
      <c r="D56" s="75"/>
      <c r="E56" s="76"/>
      <c r="F56" s="76"/>
      <c r="G56" s="76"/>
      <c r="H56" s="76"/>
      <c r="I56" s="76"/>
      <c r="J56" s="76"/>
      <c r="K56" s="76"/>
      <c r="L56" s="77">
        <f>L55*C56</f>
        <v>0</v>
      </c>
    </row>
    <row r="57" spans="1:14" s="12" customFormat="1" x14ac:dyDescent="0.25">
      <c r="A57" s="22"/>
      <c r="B57" s="48" t="s">
        <v>7</v>
      </c>
      <c r="C57" s="78"/>
      <c r="D57" s="78"/>
      <c r="E57" s="49"/>
      <c r="F57" s="49"/>
      <c r="G57" s="49"/>
      <c r="H57" s="49"/>
      <c r="I57" s="49"/>
      <c r="J57" s="49"/>
      <c r="K57" s="49"/>
      <c r="L57" s="71">
        <f>L56+L55</f>
        <v>0</v>
      </c>
    </row>
    <row r="58" spans="1:14" s="12" customFormat="1" x14ac:dyDescent="0.25">
      <c r="A58" s="73"/>
      <c r="B58" s="79" t="s">
        <v>12</v>
      </c>
      <c r="C58" s="90">
        <v>0</v>
      </c>
      <c r="D58" s="75"/>
      <c r="E58" s="76"/>
      <c r="F58" s="76"/>
      <c r="G58" s="76"/>
      <c r="H58" s="76"/>
      <c r="I58" s="76"/>
      <c r="J58" s="76"/>
      <c r="K58" s="76"/>
      <c r="L58" s="77">
        <f>L57*C58</f>
        <v>0</v>
      </c>
    </row>
    <row r="59" spans="1:14" s="12" customFormat="1" x14ac:dyDescent="0.25">
      <c r="A59" s="22"/>
      <c r="B59" s="48" t="s">
        <v>7</v>
      </c>
      <c r="C59" s="78"/>
      <c r="D59" s="78"/>
      <c r="E59" s="49"/>
      <c r="F59" s="49"/>
      <c r="G59" s="49"/>
      <c r="H59" s="49"/>
      <c r="I59" s="49"/>
      <c r="J59" s="49"/>
      <c r="K59" s="49"/>
      <c r="L59" s="71">
        <f>L57+L58</f>
        <v>0</v>
      </c>
    </row>
    <row r="60" spans="1:14" s="12" customFormat="1" x14ac:dyDescent="0.25">
      <c r="A60" s="73"/>
      <c r="B60" s="79" t="s">
        <v>13</v>
      </c>
      <c r="C60" s="90">
        <v>0</v>
      </c>
      <c r="D60" s="75"/>
      <c r="E60" s="76"/>
      <c r="F60" s="76"/>
      <c r="G60" s="76"/>
      <c r="H60" s="76"/>
      <c r="I60" s="76"/>
      <c r="J60" s="76"/>
      <c r="K60" s="76"/>
      <c r="L60" s="77">
        <f>L59*C60</f>
        <v>0</v>
      </c>
    </row>
    <row r="61" spans="1:14" s="12" customFormat="1" x14ac:dyDescent="0.25">
      <c r="A61" s="22"/>
      <c r="B61" s="48" t="s">
        <v>7</v>
      </c>
      <c r="C61" s="78"/>
      <c r="D61" s="78"/>
      <c r="E61" s="49"/>
      <c r="F61" s="49"/>
      <c r="G61" s="49"/>
      <c r="H61" s="49"/>
      <c r="I61" s="49"/>
      <c r="J61" s="49"/>
      <c r="K61" s="49"/>
      <c r="L61" s="71">
        <f>L59+L60</f>
        <v>0</v>
      </c>
    </row>
    <row r="62" spans="1:14" s="12" customFormat="1" x14ac:dyDescent="0.25">
      <c r="A62" s="73"/>
      <c r="B62" s="79" t="s">
        <v>14</v>
      </c>
      <c r="C62" s="90">
        <v>0</v>
      </c>
      <c r="D62" s="75"/>
      <c r="E62" s="76"/>
      <c r="F62" s="76"/>
      <c r="G62" s="76"/>
      <c r="H62" s="76"/>
      <c r="I62" s="76"/>
      <c r="J62" s="76"/>
      <c r="K62" s="76"/>
      <c r="L62" s="77">
        <f>L61*C62</f>
        <v>0</v>
      </c>
    </row>
    <row r="63" spans="1:14" s="12" customFormat="1" x14ac:dyDescent="0.25">
      <c r="A63" s="22"/>
      <c r="B63" s="48" t="s">
        <v>7</v>
      </c>
      <c r="C63" s="80"/>
      <c r="D63" s="80"/>
      <c r="E63" s="49"/>
      <c r="F63" s="49"/>
      <c r="G63" s="49"/>
      <c r="H63" s="49"/>
      <c r="I63" s="49"/>
      <c r="J63" s="49"/>
      <c r="K63" s="49"/>
      <c r="L63" s="71">
        <f>L61+L62</f>
        <v>0</v>
      </c>
    </row>
    <row r="64" spans="1:14" s="12" customFormat="1" x14ac:dyDescent="0.25">
      <c r="A64" s="73"/>
      <c r="B64" s="79" t="s">
        <v>19</v>
      </c>
      <c r="C64" s="90">
        <v>0</v>
      </c>
      <c r="D64" s="75"/>
      <c r="E64" s="76"/>
      <c r="F64" s="76"/>
      <c r="G64" s="76"/>
      <c r="H64" s="76"/>
      <c r="I64" s="76"/>
      <c r="J64" s="76"/>
      <c r="K64" s="76"/>
      <c r="L64" s="77">
        <f>L63*C64</f>
        <v>0</v>
      </c>
    </row>
    <row r="65" spans="1:13" s="12" customFormat="1" ht="12.75" thickBot="1" x14ac:dyDescent="0.3">
      <c r="A65" s="81"/>
      <c r="B65" s="82" t="s">
        <v>7</v>
      </c>
      <c r="C65" s="83"/>
      <c r="D65" s="83"/>
      <c r="E65" s="84"/>
      <c r="F65" s="84"/>
      <c r="G65" s="84"/>
      <c r="H65" s="84"/>
      <c r="I65" s="84"/>
      <c r="J65" s="84"/>
      <c r="K65" s="84"/>
      <c r="L65" s="85">
        <f>L63+L64</f>
        <v>0</v>
      </c>
    </row>
    <row r="66" spans="1:13" x14ac:dyDescent="0.2">
      <c r="L66" s="21"/>
      <c r="M66" s="21"/>
    </row>
    <row r="67" spans="1:13" x14ac:dyDescent="0.2">
      <c r="L67" s="21"/>
      <c r="M67" s="21"/>
    </row>
    <row r="68" spans="1:13" x14ac:dyDescent="0.2">
      <c r="K68" s="86"/>
      <c r="L68" s="87"/>
      <c r="M68" s="21"/>
    </row>
    <row r="70" spans="1:13" x14ac:dyDescent="0.2">
      <c r="E70" s="2"/>
    </row>
    <row r="71" spans="1:13" x14ac:dyDescent="0.2">
      <c r="E71" s="2"/>
    </row>
    <row r="72" spans="1:13" x14ac:dyDescent="0.2">
      <c r="E72" s="2"/>
    </row>
    <row r="73" spans="1:13" x14ac:dyDescent="0.2">
      <c r="E73" s="2"/>
    </row>
    <row r="74" spans="1:13" x14ac:dyDescent="0.2">
      <c r="E74" s="2"/>
    </row>
    <row r="75" spans="1:13" x14ac:dyDescent="0.2">
      <c r="E75" s="2"/>
    </row>
    <row r="76" spans="1:13" x14ac:dyDescent="0.2">
      <c r="E76" s="2"/>
    </row>
    <row r="77" spans="1:13" x14ac:dyDescent="0.2">
      <c r="E77" s="2"/>
    </row>
    <row r="78" spans="1:13" x14ac:dyDescent="0.2">
      <c r="E78" s="2"/>
    </row>
  </sheetData>
  <sheetProtection algorithmName="SHA-512" hashValue="VKlNgUJYAs1I12ckqM9zC4EHU8Vk2Nkfs8uU4mSmivamBvuAqP2vhgXK4IMn4+nJMqeSsUnNpFTyMJCAwNld0w==" saltValue="BY+7QohrmKtOm8/ez/jV7A==" spinCount="100000" sheet="1" objects="1" scenarios="1"/>
  <mergeCells count="10">
    <mergeCell ref="J6:K6"/>
    <mergeCell ref="L6:L7"/>
    <mergeCell ref="C11:L11"/>
    <mergeCell ref="C19:L19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N106"/>
  <sheetViews>
    <sheetView zoomScaleNormal="100" workbookViewId="0">
      <selection activeCell="O13" sqref="O13"/>
    </sheetView>
  </sheetViews>
  <sheetFormatPr defaultColWidth="8.85546875" defaultRowHeight="12" x14ac:dyDescent="0.2"/>
  <cols>
    <col min="1" max="1" width="8.85546875" style="2"/>
    <col min="2" max="2" width="55" style="2" customWidth="1"/>
    <col min="3" max="3" width="13.28515625" style="2" customWidth="1"/>
    <col min="4" max="4" width="16" style="2" customWidth="1"/>
    <col min="5" max="5" width="14.42578125" style="3" customWidth="1"/>
    <col min="6" max="6" width="11" style="2" customWidth="1"/>
    <col min="7" max="7" width="13.5703125" style="2" bestFit="1" customWidth="1"/>
    <col min="8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2" spans="1:13" ht="29.25" customHeight="1" x14ac:dyDescent="0.2"/>
    <row r="5" spans="1:13" ht="12.75" thickBot="1" x14ac:dyDescent="0.25"/>
    <row r="6" spans="1:13" s="4" customFormat="1" ht="12" customHeight="1" x14ac:dyDescent="0.25">
      <c r="A6" s="207" t="s">
        <v>0</v>
      </c>
      <c r="B6" s="209" t="s">
        <v>1</v>
      </c>
      <c r="C6" s="209" t="s">
        <v>23</v>
      </c>
      <c r="D6" s="211" t="s">
        <v>22</v>
      </c>
      <c r="E6" s="211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3" s="4" customFormat="1" ht="24" customHeight="1" x14ac:dyDescent="0.25">
      <c r="A7" s="208"/>
      <c r="B7" s="210"/>
      <c r="C7" s="210"/>
      <c r="D7" s="5" t="s">
        <v>36</v>
      </c>
      <c r="E7" s="6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3" s="12" customFormat="1" x14ac:dyDescent="0.25">
      <c r="A8" s="8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1">
        <v>12</v>
      </c>
    </row>
    <row r="9" spans="1:13" s="12" customFormat="1" ht="12.75" thickBo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1"/>
    </row>
    <row r="10" spans="1:13" ht="23.25" customHeight="1" thickBot="1" x14ac:dyDescent="0.25">
      <c r="A10" s="15"/>
      <c r="B10" s="16" t="s">
        <v>213</v>
      </c>
      <c r="C10" s="17"/>
      <c r="D10" s="18"/>
      <c r="E10" s="19"/>
      <c r="F10" s="19"/>
      <c r="G10" s="19"/>
      <c r="H10" s="19"/>
      <c r="I10" s="19"/>
      <c r="J10" s="19"/>
      <c r="K10" s="19"/>
      <c r="L10" s="20"/>
      <c r="M10" s="21"/>
    </row>
    <row r="11" spans="1:13" x14ac:dyDescent="0.2">
      <c r="A11" s="22"/>
      <c r="B11" s="23" t="s">
        <v>216</v>
      </c>
      <c r="C11" s="220"/>
      <c r="D11" s="221"/>
      <c r="E11" s="221"/>
      <c r="F11" s="221"/>
      <c r="G11" s="221"/>
      <c r="H11" s="221"/>
      <c r="I11" s="221"/>
      <c r="J11" s="221"/>
      <c r="K11" s="221"/>
      <c r="L11" s="222"/>
      <c r="M11" s="21"/>
    </row>
    <row r="12" spans="1:13" s="151" customFormat="1" ht="29.25" customHeight="1" x14ac:dyDescent="0.2">
      <c r="A12" s="142">
        <v>1</v>
      </c>
      <c r="B12" s="143" t="s">
        <v>214</v>
      </c>
      <c r="C12" s="144" t="s">
        <v>62</v>
      </c>
      <c r="D12" s="145"/>
      <c r="E12" s="146">
        <v>225</v>
      </c>
      <c r="F12" s="147"/>
      <c r="G12" s="148"/>
      <c r="H12" s="147"/>
      <c r="I12" s="147"/>
      <c r="J12" s="148"/>
      <c r="K12" s="148"/>
      <c r="L12" s="149"/>
      <c r="M12" s="150"/>
    </row>
    <row r="13" spans="1:13" s="157" customFormat="1" ht="17.25" customHeight="1" x14ac:dyDescent="0.2">
      <c r="A13" s="127">
        <v>1.1000000000000001</v>
      </c>
      <c r="B13" s="92" t="s">
        <v>46</v>
      </c>
      <c r="C13" s="93" t="s">
        <v>62</v>
      </c>
      <c r="D13" s="152"/>
      <c r="E13" s="140">
        <f>E12</f>
        <v>225</v>
      </c>
      <c r="F13" s="153">
        <v>0</v>
      </c>
      <c r="G13" s="154">
        <f t="shared" ref="G13:G25" si="0">F13*E13</f>
        <v>0</v>
      </c>
      <c r="H13" s="179">
        <v>0</v>
      </c>
      <c r="I13" s="153">
        <f t="shared" ref="I13:I25" si="1">H13*E13</f>
        <v>0</v>
      </c>
      <c r="J13" s="154">
        <v>0</v>
      </c>
      <c r="K13" s="154">
        <f t="shared" ref="K13:K25" si="2">J13*E13</f>
        <v>0</v>
      </c>
      <c r="L13" s="155">
        <f t="shared" ref="L13:L25" si="3">K13+I13+G13</f>
        <v>0</v>
      </c>
      <c r="M13" s="156"/>
    </row>
    <row r="14" spans="1:13" s="151" customFormat="1" ht="15" customHeight="1" x14ac:dyDescent="0.2">
      <c r="A14" s="142">
        <v>2</v>
      </c>
      <c r="B14" s="143" t="s">
        <v>219</v>
      </c>
      <c r="C14" s="158" t="s">
        <v>15</v>
      </c>
      <c r="D14" s="145"/>
      <c r="E14" s="146">
        <v>558</v>
      </c>
      <c r="F14" s="147"/>
      <c r="G14" s="148"/>
      <c r="H14" s="147"/>
      <c r="I14" s="147"/>
      <c r="J14" s="148"/>
      <c r="K14" s="148"/>
      <c r="L14" s="149"/>
      <c r="M14" s="150"/>
    </row>
    <row r="15" spans="1:13" s="157" customFormat="1" ht="17.25" customHeight="1" x14ac:dyDescent="0.2">
      <c r="A15" s="127">
        <v>2.1</v>
      </c>
      <c r="B15" s="92" t="s">
        <v>46</v>
      </c>
      <c r="C15" s="93" t="s">
        <v>15</v>
      </c>
      <c r="D15" s="152"/>
      <c r="E15" s="140">
        <f>E14</f>
        <v>558</v>
      </c>
      <c r="F15" s="153">
        <v>0</v>
      </c>
      <c r="G15" s="154">
        <f t="shared" si="0"/>
        <v>0</v>
      </c>
      <c r="H15" s="179">
        <v>0</v>
      </c>
      <c r="I15" s="153">
        <f t="shared" si="1"/>
        <v>0</v>
      </c>
      <c r="J15" s="154">
        <v>0</v>
      </c>
      <c r="K15" s="154">
        <f t="shared" si="2"/>
        <v>0</v>
      </c>
      <c r="L15" s="155">
        <f t="shared" si="3"/>
        <v>0</v>
      </c>
      <c r="M15" s="156"/>
    </row>
    <row r="16" spans="1:13" s="157" customFormat="1" ht="18.75" customHeight="1" x14ac:dyDescent="0.2">
      <c r="A16" s="127">
        <v>2.2000000000000002</v>
      </c>
      <c r="B16" s="92" t="s">
        <v>168</v>
      </c>
      <c r="C16" s="93" t="s">
        <v>10</v>
      </c>
      <c r="D16" s="152"/>
      <c r="E16" s="140">
        <v>1</v>
      </c>
      <c r="F16" s="153">
        <v>0</v>
      </c>
      <c r="G16" s="154">
        <f t="shared" si="0"/>
        <v>0</v>
      </c>
      <c r="H16" s="153"/>
      <c r="I16" s="153">
        <f t="shared" si="1"/>
        <v>0</v>
      </c>
      <c r="J16" s="179">
        <v>0</v>
      </c>
      <c r="K16" s="154">
        <f t="shared" si="2"/>
        <v>0</v>
      </c>
      <c r="L16" s="155">
        <f t="shared" si="3"/>
        <v>0</v>
      </c>
      <c r="M16" s="156"/>
    </row>
    <row r="17" spans="1:14" s="161" customFormat="1" x14ac:dyDescent="0.2">
      <c r="A17" s="142">
        <v>3</v>
      </c>
      <c r="B17" s="159" t="s">
        <v>241</v>
      </c>
      <c r="C17" s="158" t="s">
        <v>16</v>
      </c>
      <c r="D17" s="129">
        <v>1.28</v>
      </c>
      <c r="E17" s="146">
        <f>E14*0.4*D17</f>
        <v>285.69600000000003</v>
      </c>
      <c r="F17" s="147"/>
      <c r="G17" s="148"/>
      <c r="H17" s="147"/>
      <c r="I17" s="147"/>
      <c r="J17" s="148"/>
      <c r="K17" s="148"/>
      <c r="L17" s="149"/>
      <c r="M17" s="160"/>
    </row>
    <row r="18" spans="1:14" ht="15.75" customHeight="1" x14ac:dyDescent="0.2">
      <c r="A18" s="162">
        <v>3.1</v>
      </c>
      <c r="B18" s="25" t="s">
        <v>46</v>
      </c>
      <c r="C18" s="95" t="s">
        <v>16</v>
      </c>
      <c r="D18" s="26"/>
      <c r="E18" s="27">
        <f>E17</f>
        <v>285.69600000000003</v>
      </c>
      <c r="F18" s="147">
        <v>0</v>
      </c>
      <c r="G18" s="148">
        <f t="shared" si="0"/>
        <v>0</v>
      </c>
      <c r="H18" s="178">
        <v>0</v>
      </c>
      <c r="I18" s="147">
        <f t="shared" si="1"/>
        <v>0</v>
      </c>
      <c r="J18" s="148">
        <v>0</v>
      </c>
      <c r="K18" s="148">
        <f t="shared" si="2"/>
        <v>0</v>
      </c>
      <c r="L18" s="155">
        <f t="shared" si="3"/>
        <v>0</v>
      </c>
      <c r="M18" s="21"/>
    </row>
    <row r="19" spans="1:14" ht="17.25" customHeight="1" x14ac:dyDescent="0.2">
      <c r="A19" s="162">
        <v>3.2</v>
      </c>
      <c r="B19" s="25" t="s">
        <v>217</v>
      </c>
      <c r="C19" s="95" t="s">
        <v>16</v>
      </c>
      <c r="D19" s="26"/>
      <c r="E19" s="27">
        <f>E17</f>
        <v>285.69600000000003</v>
      </c>
      <c r="F19" s="147">
        <v>0</v>
      </c>
      <c r="G19" s="148">
        <f t="shared" si="0"/>
        <v>0</v>
      </c>
      <c r="H19" s="147"/>
      <c r="I19" s="147">
        <f t="shared" si="1"/>
        <v>0</v>
      </c>
      <c r="J19" s="178">
        <v>0</v>
      </c>
      <c r="K19" s="148">
        <f t="shared" si="2"/>
        <v>0</v>
      </c>
      <c r="L19" s="155">
        <f t="shared" si="3"/>
        <v>0</v>
      </c>
      <c r="M19" s="21"/>
    </row>
    <row r="20" spans="1:14" ht="12.75" customHeight="1" x14ac:dyDescent="0.2">
      <c r="A20" s="162">
        <v>3.3</v>
      </c>
      <c r="B20" s="25" t="s">
        <v>215</v>
      </c>
      <c r="C20" s="95" t="s">
        <v>10</v>
      </c>
      <c r="D20" s="26"/>
      <c r="E20" s="27">
        <v>1</v>
      </c>
      <c r="F20" s="147">
        <v>0</v>
      </c>
      <c r="G20" s="148">
        <f t="shared" si="0"/>
        <v>0</v>
      </c>
      <c r="H20" s="147"/>
      <c r="I20" s="147">
        <f t="shared" si="1"/>
        <v>0</v>
      </c>
      <c r="J20" s="178">
        <v>0</v>
      </c>
      <c r="K20" s="148">
        <f t="shared" si="2"/>
        <v>0</v>
      </c>
      <c r="L20" s="155">
        <f t="shared" si="3"/>
        <v>0</v>
      </c>
      <c r="M20" s="21"/>
    </row>
    <row r="21" spans="1:14" ht="15" customHeight="1" x14ac:dyDescent="0.2">
      <c r="A21" s="142">
        <v>4</v>
      </c>
      <c r="B21" s="159" t="s">
        <v>218</v>
      </c>
      <c r="C21" s="129" t="s">
        <v>16</v>
      </c>
      <c r="D21" s="129">
        <v>1.28</v>
      </c>
      <c r="E21" s="146">
        <f>E14*0.05*D21</f>
        <v>35.712000000000003</v>
      </c>
      <c r="F21" s="147"/>
      <c r="G21" s="148"/>
      <c r="H21" s="147"/>
      <c r="I21" s="147"/>
      <c r="J21" s="148"/>
      <c r="K21" s="148"/>
      <c r="L21" s="155"/>
      <c r="M21" s="21"/>
    </row>
    <row r="22" spans="1:14" ht="12.75" customHeight="1" x14ac:dyDescent="0.2">
      <c r="A22" s="162">
        <v>4.0999999999999996</v>
      </c>
      <c r="B22" s="25" t="s">
        <v>46</v>
      </c>
      <c r="C22" s="95" t="s">
        <v>16</v>
      </c>
      <c r="D22" s="26">
        <v>1.28</v>
      </c>
      <c r="E22" s="27">
        <f>E21</f>
        <v>35.712000000000003</v>
      </c>
      <c r="F22" s="147">
        <v>0</v>
      </c>
      <c r="G22" s="148">
        <f t="shared" si="0"/>
        <v>0</v>
      </c>
      <c r="H22" s="178">
        <v>0</v>
      </c>
      <c r="I22" s="147">
        <f t="shared" si="1"/>
        <v>0</v>
      </c>
      <c r="J22" s="148">
        <v>0</v>
      </c>
      <c r="K22" s="148">
        <f t="shared" si="2"/>
        <v>0</v>
      </c>
      <c r="L22" s="155">
        <f t="shared" si="3"/>
        <v>0</v>
      </c>
      <c r="M22" s="21"/>
    </row>
    <row r="23" spans="1:14" ht="24" customHeight="1" x14ac:dyDescent="0.2">
      <c r="A23" s="24">
        <v>5</v>
      </c>
      <c r="B23" s="34" t="s">
        <v>220</v>
      </c>
      <c r="C23" s="163" t="s">
        <v>35</v>
      </c>
      <c r="D23" s="74">
        <v>1.95</v>
      </c>
      <c r="E23" s="164">
        <f>(E14*0.1+E17+E21)*D23</f>
        <v>735.55560000000003</v>
      </c>
      <c r="F23" s="147"/>
      <c r="G23" s="148">
        <f t="shared" si="0"/>
        <v>0</v>
      </c>
      <c r="H23" s="147"/>
      <c r="I23" s="147"/>
      <c r="J23" s="148"/>
      <c r="K23" s="148"/>
      <c r="L23" s="155"/>
      <c r="M23" s="21"/>
    </row>
    <row r="24" spans="1:14" ht="15" customHeight="1" x14ac:dyDescent="0.2">
      <c r="A24" s="162">
        <v>5.0999999999999996</v>
      </c>
      <c r="B24" s="25" t="s">
        <v>46</v>
      </c>
      <c r="C24" s="95" t="s">
        <v>35</v>
      </c>
      <c r="D24" s="26"/>
      <c r="E24" s="27">
        <f>E23</f>
        <v>735.55560000000003</v>
      </c>
      <c r="F24" s="147">
        <v>0</v>
      </c>
      <c r="G24" s="148">
        <f t="shared" si="0"/>
        <v>0</v>
      </c>
      <c r="H24" s="178">
        <v>0</v>
      </c>
      <c r="I24" s="147">
        <f t="shared" si="1"/>
        <v>0</v>
      </c>
      <c r="J24" s="148">
        <v>0</v>
      </c>
      <c r="K24" s="148">
        <f t="shared" si="2"/>
        <v>0</v>
      </c>
      <c r="L24" s="155">
        <f t="shared" si="3"/>
        <v>0</v>
      </c>
      <c r="M24" s="21"/>
    </row>
    <row r="25" spans="1:14" ht="15.75" customHeight="1" x14ac:dyDescent="0.2">
      <c r="A25" s="162">
        <v>5.2</v>
      </c>
      <c r="B25" s="25" t="s">
        <v>222</v>
      </c>
      <c r="C25" s="26" t="s">
        <v>35</v>
      </c>
      <c r="D25" s="74"/>
      <c r="E25" s="140">
        <f>E23</f>
        <v>735.55560000000003</v>
      </c>
      <c r="F25" s="147">
        <v>0</v>
      </c>
      <c r="G25" s="148">
        <f t="shared" si="0"/>
        <v>0</v>
      </c>
      <c r="H25" s="147"/>
      <c r="I25" s="147">
        <f t="shared" si="1"/>
        <v>0</v>
      </c>
      <c r="J25" s="178">
        <v>0</v>
      </c>
      <c r="K25" s="148">
        <f t="shared" si="2"/>
        <v>0</v>
      </c>
      <c r="L25" s="155">
        <f t="shared" si="3"/>
        <v>0</v>
      </c>
      <c r="M25" s="21"/>
    </row>
    <row r="26" spans="1:14" ht="21.75" customHeight="1" x14ac:dyDescent="0.2">
      <c r="A26" s="32"/>
      <c r="B26" s="47" t="s">
        <v>110</v>
      </c>
      <c r="C26" s="225"/>
      <c r="D26" s="226"/>
      <c r="E26" s="226"/>
      <c r="F26" s="226"/>
      <c r="G26" s="226"/>
      <c r="H26" s="226"/>
      <c r="I26" s="226"/>
      <c r="J26" s="226"/>
      <c r="K26" s="226"/>
      <c r="L26" s="227"/>
      <c r="N26" s="21"/>
    </row>
    <row r="27" spans="1:14" ht="12.75" x14ac:dyDescent="0.2">
      <c r="A27" s="24">
        <v>6</v>
      </c>
      <c r="B27" s="34" t="s">
        <v>221</v>
      </c>
      <c r="C27" s="163" t="s">
        <v>15</v>
      </c>
      <c r="D27" s="74"/>
      <c r="E27" s="164">
        <f>E14</f>
        <v>558</v>
      </c>
      <c r="F27" s="147"/>
      <c r="G27" s="148"/>
      <c r="H27" s="147"/>
      <c r="I27" s="147"/>
      <c r="J27" s="148"/>
      <c r="K27" s="148"/>
      <c r="L27" s="165"/>
      <c r="N27" s="21"/>
    </row>
    <row r="28" spans="1:14" ht="12.75" x14ac:dyDescent="0.2">
      <c r="A28" s="162">
        <v>6.1</v>
      </c>
      <c r="B28" s="25" t="s">
        <v>223</v>
      </c>
      <c r="C28" s="31" t="s">
        <v>21</v>
      </c>
      <c r="D28" s="26"/>
      <c r="E28" s="27">
        <v>1</v>
      </c>
      <c r="F28" s="28">
        <v>0</v>
      </c>
      <c r="G28" s="29">
        <f t="shared" ref="G28:G41" si="4">F28*E28</f>
        <v>0</v>
      </c>
      <c r="H28" s="28">
        <v>0</v>
      </c>
      <c r="I28" s="28">
        <f t="shared" ref="I28:I41" si="5">H28*E28</f>
        <v>0</v>
      </c>
      <c r="J28" s="88">
        <v>0</v>
      </c>
      <c r="K28" s="29">
        <f t="shared" ref="K28:K41" si="6">J28*E28</f>
        <v>0</v>
      </c>
      <c r="L28" s="30">
        <f t="shared" ref="L28:L41" si="7">K28+I28+G28</f>
        <v>0</v>
      </c>
      <c r="N28" s="21"/>
    </row>
    <row r="29" spans="1:14" s="166" customFormat="1" ht="21" customHeight="1" x14ac:dyDescent="0.2">
      <c r="A29" s="24">
        <v>7</v>
      </c>
      <c r="B29" s="34" t="s">
        <v>232</v>
      </c>
      <c r="C29" s="163" t="s">
        <v>15</v>
      </c>
      <c r="D29" s="74"/>
      <c r="E29" s="164">
        <f>E14</f>
        <v>558</v>
      </c>
      <c r="F29" s="147">
        <v>0</v>
      </c>
      <c r="G29" s="148">
        <f t="shared" si="4"/>
        <v>0</v>
      </c>
      <c r="H29" s="178">
        <v>0</v>
      </c>
      <c r="I29" s="147">
        <f t="shared" si="5"/>
        <v>0</v>
      </c>
      <c r="J29" s="178">
        <v>0</v>
      </c>
      <c r="K29" s="148">
        <f t="shared" si="6"/>
        <v>0</v>
      </c>
      <c r="L29" s="165">
        <f t="shared" si="7"/>
        <v>0</v>
      </c>
      <c r="N29" s="167"/>
    </row>
    <row r="30" spans="1:14" ht="24" x14ac:dyDescent="0.2">
      <c r="A30" s="24">
        <v>8</v>
      </c>
      <c r="B30" s="34" t="s">
        <v>228</v>
      </c>
      <c r="C30" s="163" t="s">
        <v>16</v>
      </c>
      <c r="D30" s="74"/>
      <c r="E30" s="164">
        <f>E27*0.3</f>
        <v>167.4</v>
      </c>
      <c r="F30" s="147"/>
      <c r="G30" s="148"/>
      <c r="H30" s="147"/>
      <c r="I30" s="147"/>
      <c r="J30" s="148"/>
      <c r="K30" s="148"/>
      <c r="L30" s="165"/>
      <c r="N30" s="21"/>
    </row>
    <row r="31" spans="1:14" ht="12.75" x14ac:dyDescent="0.2">
      <c r="A31" s="162">
        <v>8.1</v>
      </c>
      <c r="B31" s="25" t="s">
        <v>46</v>
      </c>
      <c r="C31" s="31" t="s">
        <v>16</v>
      </c>
      <c r="D31" s="26"/>
      <c r="E31" s="27">
        <f>E30</f>
        <v>167.4</v>
      </c>
      <c r="F31" s="28">
        <v>0</v>
      </c>
      <c r="G31" s="29">
        <f t="shared" si="4"/>
        <v>0</v>
      </c>
      <c r="H31" s="88">
        <v>0</v>
      </c>
      <c r="I31" s="28">
        <f t="shared" si="5"/>
        <v>0</v>
      </c>
      <c r="J31" s="29">
        <v>0</v>
      </c>
      <c r="K31" s="29">
        <f t="shared" si="6"/>
        <v>0</v>
      </c>
      <c r="L31" s="30">
        <f t="shared" si="7"/>
        <v>0</v>
      </c>
      <c r="N31" s="21"/>
    </row>
    <row r="32" spans="1:14" ht="12.75" x14ac:dyDescent="0.2">
      <c r="A32" s="162">
        <v>8.1999999999999993</v>
      </c>
      <c r="B32" s="25" t="s">
        <v>233</v>
      </c>
      <c r="C32" s="31" t="s">
        <v>21</v>
      </c>
      <c r="D32" s="26"/>
      <c r="E32" s="27">
        <v>1</v>
      </c>
      <c r="F32" s="28">
        <v>0</v>
      </c>
      <c r="G32" s="29">
        <f t="shared" si="4"/>
        <v>0</v>
      </c>
      <c r="H32" s="28">
        <v>0</v>
      </c>
      <c r="I32" s="28">
        <f t="shared" si="5"/>
        <v>0</v>
      </c>
      <c r="J32" s="88">
        <v>0</v>
      </c>
      <c r="K32" s="29">
        <f t="shared" si="6"/>
        <v>0</v>
      </c>
      <c r="L32" s="30">
        <f t="shared" si="7"/>
        <v>0</v>
      </c>
      <c r="N32" s="21"/>
    </row>
    <row r="33" spans="1:14" ht="12.75" x14ac:dyDescent="0.2">
      <c r="A33" s="162">
        <v>8.3000000000000007</v>
      </c>
      <c r="B33" s="25" t="s">
        <v>227</v>
      </c>
      <c r="C33" s="31" t="s">
        <v>21</v>
      </c>
      <c r="D33" s="26"/>
      <c r="E33" s="27">
        <v>1</v>
      </c>
      <c r="F33" s="28">
        <v>0</v>
      </c>
      <c r="G33" s="29">
        <f t="shared" si="4"/>
        <v>0</v>
      </c>
      <c r="H33" s="28">
        <v>0</v>
      </c>
      <c r="I33" s="28">
        <f t="shared" si="5"/>
        <v>0</v>
      </c>
      <c r="J33" s="88">
        <v>0</v>
      </c>
      <c r="K33" s="29">
        <f t="shared" si="6"/>
        <v>0</v>
      </c>
      <c r="L33" s="30">
        <f t="shared" si="7"/>
        <v>0</v>
      </c>
      <c r="N33" s="21"/>
    </row>
    <row r="34" spans="1:14" ht="12.75" x14ac:dyDescent="0.2">
      <c r="A34" s="162">
        <v>8.4</v>
      </c>
      <c r="B34" s="25" t="s">
        <v>230</v>
      </c>
      <c r="C34" s="31" t="s">
        <v>21</v>
      </c>
      <c r="D34" s="26"/>
      <c r="E34" s="27">
        <v>1</v>
      </c>
      <c r="F34" s="28">
        <v>0</v>
      </c>
      <c r="G34" s="29">
        <f t="shared" si="4"/>
        <v>0</v>
      </c>
      <c r="H34" s="28">
        <v>0</v>
      </c>
      <c r="I34" s="28">
        <f t="shared" si="5"/>
        <v>0</v>
      </c>
      <c r="J34" s="88">
        <v>0</v>
      </c>
      <c r="K34" s="29">
        <f t="shared" si="6"/>
        <v>0</v>
      </c>
      <c r="L34" s="30">
        <f t="shared" si="7"/>
        <v>0</v>
      </c>
      <c r="N34" s="21"/>
    </row>
    <row r="35" spans="1:14" ht="12.75" x14ac:dyDescent="0.2">
      <c r="A35" s="162">
        <v>8.5</v>
      </c>
      <c r="B35" s="25" t="s">
        <v>226</v>
      </c>
      <c r="C35" s="31" t="s">
        <v>21</v>
      </c>
      <c r="D35" s="26"/>
      <c r="E35" s="27">
        <v>1</v>
      </c>
      <c r="F35" s="28">
        <v>0</v>
      </c>
      <c r="G35" s="29">
        <f t="shared" si="4"/>
        <v>0</v>
      </c>
      <c r="H35" s="28">
        <v>0</v>
      </c>
      <c r="I35" s="28">
        <f t="shared" si="5"/>
        <v>0</v>
      </c>
      <c r="J35" s="88">
        <v>0</v>
      </c>
      <c r="K35" s="29">
        <f t="shared" si="6"/>
        <v>0</v>
      </c>
      <c r="L35" s="30">
        <f t="shared" si="7"/>
        <v>0</v>
      </c>
      <c r="N35" s="21"/>
    </row>
    <row r="36" spans="1:14" ht="12.75" x14ac:dyDescent="0.2">
      <c r="A36" s="162">
        <v>8.6</v>
      </c>
      <c r="B36" s="25" t="s">
        <v>222</v>
      </c>
      <c r="C36" s="31" t="s">
        <v>21</v>
      </c>
      <c r="D36" s="26"/>
      <c r="E36" s="27">
        <v>1</v>
      </c>
      <c r="F36" s="28">
        <v>0</v>
      </c>
      <c r="G36" s="29">
        <f t="shared" si="4"/>
        <v>0</v>
      </c>
      <c r="H36" s="28">
        <v>0</v>
      </c>
      <c r="I36" s="28">
        <f t="shared" si="5"/>
        <v>0</v>
      </c>
      <c r="J36" s="88">
        <v>0</v>
      </c>
      <c r="K36" s="29">
        <f t="shared" si="6"/>
        <v>0</v>
      </c>
      <c r="L36" s="30">
        <f t="shared" si="7"/>
        <v>0</v>
      </c>
      <c r="N36" s="21"/>
    </row>
    <row r="37" spans="1:14" ht="12.75" x14ac:dyDescent="0.2">
      <c r="A37" s="162">
        <v>8.6999999999999993</v>
      </c>
      <c r="B37" s="25" t="s">
        <v>209</v>
      </c>
      <c r="C37" s="31" t="s">
        <v>21</v>
      </c>
      <c r="D37" s="26"/>
      <c r="E37" s="27">
        <v>1</v>
      </c>
      <c r="F37" s="28">
        <v>0</v>
      </c>
      <c r="G37" s="29">
        <f t="shared" si="4"/>
        <v>0</v>
      </c>
      <c r="H37" s="28">
        <v>0</v>
      </c>
      <c r="I37" s="28">
        <f t="shared" si="5"/>
        <v>0</v>
      </c>
      <c r="J37" s="88">
        <v>0</v>
      </c>
      <c r="K37" s="29">
        <f t="shared" si="6"/>
        <v>0</v>
      </c>
      <c r="L37" s="30">
        <f t="shared" si="7"/>
        <v>0</v>
      </c>
      <c r="N37" s="21"/>
    </row>
    <row r="38" spans="1:14" ht="12.75" x14ac:dyDescent="0.2">
      <c r="A38" s="162"/>
      <c r="B38" s="25" t="s">
        <v>169</v>
      </c>
      <c r="C38" s="61"/>
      <c r="D38" s="168"/>
      <c r="E38" s="52"/>
      <c r="F38" s="28"/>
      <c r="G38" s="29"/>
      <c r="H38" s="28"/>
      <c r="I38" s="28"/>
      <c r="J38" s="29"/>
      <c r="K38" s="29"/>
      <c r="L38" s="30"/>
      <c r="N38" s="21"/>
    </row>
    <row r="39" spans="1:14" ht="12.75" x14ac:dyDescent="0.2">
      <c r="A39" s="162">
        <v>8.8000000000000007</v>
      </c>
      <c r="B39" s="25" t="s">
        <v>224</v>
      </c>
      <c r="C39" s="31" t="s">
        <v>16</v>
      </c>
      <c r="D39" s="26">
        <v>1.25</v>
      </c>
      <c r="E39" s="27">
        <f>E30*D39-80*0.25</f>
        <v>189.25</v>
      </c>
      <c r="F39" s="88">
        <v>0</v>
      </c>
      <c r="G39" s="29">
        <f t="shared" si="4"/>
        <v>0</v>
      </c>
      <c r="H39" s="28">
        <v>0</v>
      </c>
      <c r="I39" s="28">
        <f t="shared" si="5"/>
        <v>0</v>
      </c>
      <c r="J39" s="29">
        <v>0</v>
      </c>
      <c r="K39" s="29">
        <f t="shared" si="6"/>
        <v>0</v>
      </c>
      <c r="L39" s="30">
        <f t="shared" si="7"/>
        <v>0</v>
      </c>
      <c r="N39" s="21"/>
    </row>
    <row r="40" spans="1:14" ht="12.75" x14ac:dyDescent="0.2">
      <c r="A40" s="162">
        <v>8.9</v>
      </c>
      <c r="B40" s="25" t="s">
        <v>229</v>
      </c>
      <c r="C40" s="31" t="s">
        <v>16</v>
      </c>
      <c r="D40" s="26">
        <v>1.26</v>
      </c>
      <c r="E40" s="27">
        <f>E31*D40</f>
        <v>210.92400000000001</v>
      </c>
      <c r="F40" s="88">
        <v>0</v>
      </c>
      <c r="G40" s="29">
        <f t="shared" si="4"/>
        <v>0</v>
      </c>
      <c r="H40" s="28">
        <v>0</v>
      </c>
      <c r="I40" s="28">
        <f t="shared" si="5"/>
        <v>0</v>
      </c>
      <c r="J40" s="29">
        <v>0</v>
      </c>
      <c r="K40" s="29">
        <f t="shared" si="6"/>
        <v>0</v>
      </c>
      <c r="L40" s="30">
        <f t="shared" si="7"/>
        <v>0</v>
      </c>
      <c r="N40" s="21"/>
    </row>
    <row r="41" spans="1:14" ht="12.75" x14ac:dyDescent="0.2">
      <c r="A41" s="169">
        <v>8.1</v>
      </c>
      <c r="B41" s="25" t="s">
        <v>225</v>
      </c>
      <c r="C41" s="31" t="s">
        <v>16</v>
      </c>
      <c r="D41" s="26">
        <v>7.0000000000000007E-2</v>
      </c>
      <c r="E41" s="27">
        <f>E30*D41</f>
        <v>11.718000000000002</v>
      </c>
      <c r="F41" s="88">
        <v>0</v>
      </c>
      <c r="G41" s="29">
        <f t="shared" si="4"/>
        <v>0</v>
      </c>
      <c r="H41" s="28">
        <v>0</v>
      </c>
      <c r="I41" s="28">
        <f t="shared" si="5"/>
        <v>0</v>
      </c>
      <c r="J41" s="29">
        <v>0</v>
      </c>
      <c r="K41" s="29">
        <f t="shared" si="6"/>
        <v>0</v>
      </c>
      <c r="L41" s="30">
        <f t="shared" si="7"/>
        <v>0</v>
      </c>
      <c r="N41" s="21"/>
    </row>
    <row r="42" spans="1:14" ht="12.75" x14ac:dyDescent="0.2">
      <c r="A42" s="162">
        <v>8.11</v>
      </c>
      <c r="B42" s="25" t="s">
        <v>239</v>
      </c>
      <c r="C42" s="31" t="s">
        <v>10</v>
      </c>
      <c r="D42" s="26"/>
      <c r="E42" s="27">
        <v>1</v>
      </c>
      <c r="F42" s="88">
        <v>0</v>
      </c>
      <c r="G42" s="29">
        <v>0</v>
      </c>
      <c r="H42" s="29">
        <v>0</v>
      </c>
      <c r="I42" s="28">
        <v>0</v>
      </c>
      <c r="J42" s="29">
        <v>0</v>
      </c>
      <c r="K42" s="29">
        <v>0</v>
      </c>
      <c r="L42" s="30">
        <v>0</v>
      </c>
      <c r="N42" s="21"/>
    </row>
    <row r="43" spans="1:14" ht="15" customHeight="1" x14ac:dyDescent="0.2">
      <c r="A43" s="22">
        <v>9</v>
      </c>
      <c r="B43" s="170" t="s">
        <v>271</v>
      </c>
      <c r="C43" s="33" t="s">
        <v>15</v>
      </c>
      <c r="D43" s="48"/>
      <c r="E43" s="49">
        <f>E13</f>
        <v>225</v>
      </c>
      <c r="F43" s="49"/>
      <c r="G43" s="49"/>
      <c r="H43" s="49"/>
      <c r="I43" s="49"/>
      <c r="J43" s="49"/>
      <c r="K43" s="49"/>
      <c r="L43" s="50"/>
      <c r="M43" s="21"/>
    </row>
    <row r="44" spans="1:14" s="57" customFormat="1" ht="16.5" customHeight="1" x14ac:dyDescent="0.2">
      <c r="A44" s="127">
        <v>9.1</v>
      </c>
      <c r="B44" s="34" t="s">
        <v>257</v>
      </c>
      <c r="C44" s="168" t="s">
        <v>20</v>
      </c>
      <c r="D44" s="64"/>
      <c r="E44" s="27">
        <v>1</v>
      </c>
      <c r="F44" s="28"/>
      <c r="G44" s="28"/>
      <c r="H44" s="88">
        <v>0</v>
      </c>
      <c r="I44" s="28">
        <f>H44*E44</f>
        <v>0</v>
      </c>
      <c r="J44" s="28"/>
      <c r="K44" s="28"/>
      <c r="L44" s="30">
        <f>K44+I44+G44</f>
        <v>0</v>
      </c>
      <c r="M44" s="94"/>
    </row>
    <row r="45" spans="1:14" s="57" customFormat="1" ht="42.75" customHeight="1" x14ac:dyDescent="0.2">
      <c r="A45" s="127">
        <v>9.1999999999999993</v>
      </c>
      <c r="B45" s="171" t="s">
        <v>272</v>
      </c>
      <c r="C45" s="26" t="s">
        <v>20</v>
      </c>
      <c r="D45" s="64"/>
      <c r="E45" s="27">
        <v>1</v>
      </c>
      <c r="F45" s="28"/>
      <c r="G45" s="28"/>
      <c r="H45" s="28"/>
      <c r="I45" s="28"/>
      <c r="J45" s="177">
        <v>0</v>
      </c>
      <c r="K45" s="28">
        <f>J45*E45</f>
        <v>0</v>
      </c>
      <c r="L45" s="30">
        <f t="shared" ref="L45" si="8">K45+I45+G45</f>
        <v>0</v>
      </c>
      <c r="M45" s="94"/>
    </row>
    <row r="46" spans="1:14" ht="21.75" customHeight="1" x14ac:dyDescent="0.2">
      <c r="A46" s="32"/>
      <c r="B46" s="47" t="s">
        <v>231</v>
      </c>
      <c r="C46" s="225"/>
      <c r="D46" s="226"/>
      <c r="E46" s="226"/>
      <c r="F46" s="226"/>
      <c r="G46" s="226"/>
      <c r="H46" s="226"/>
      <c r="I46" s="226"/>
      <c r="J46" s="226"/>
      <c r="K46" s="226"/>
      <c r="L46" s="227"/>
      <c r="N46" s="21"/>
    </row>
    <row r="47" spans="1:14" s="166" customFormat="1" ht="18" customHeight="1" x14ac:dyDescent="0.2">
      <c r="A47" s="24">
        <v>10</v>
      </c>
      <c r="B47" s="34" t="s">
        <v>234</v>
      </c>
      <c r="C47" s="35" t="s">
        <v>62</v>
      </c>
      <c r="D47" s="74"/>
      <c r="E47" s="164">
        <v>250</v>
      </c>
      <c r="F47" s="147"/>
      <c r="G47" s="148"/>
      <c r="H47" s="147"/>
      <c r="I47" s="147"/>
      <c r="J47" s="148"/>
      <c r="K47" s="148"/>
      <c r="L47" s="165"/>
      <c r="N47" s="167"/>
    </row>
    <row r="48" spans="1:14" ht="12.75" x14ac:dyDescent="0.2">
      <c r="A48" s="162">
        <v>10.1</v>
      </c>
      <c r="B48" s="25" t="s">
        <v>46</v>
      </c>
      <c r="C48" s="31" t="s">
        <v>16</v>
      </c>
      <c r="D48" s="26"/>
      <c r="E48" s="27">
        <f>E47*0.2*0.1</f>
        <v>5</v>
      </c>
      <c r="F48" s="28">
        <v>0</v>
      </c>
      <c r="G48" s="29">
        <f t="shared" ref="G48:G80" si="9">F48*E48</f>
        <v>0</v>
      </c>
      <c r="H48" s="88">
        <v>0</v>
      </c>
      <c r="I48" s="28">
        <f t="shared" ref="I48:I80" si="10">H48*E48</f>
        <v>0</v>
      </c>
      <c r="J48" s="29">
        <v>0</v>
      </c>
      <c r="K48" s="29">
        <f t="shared" ref="K48:K80" si="11">J48*E48</f>
        <v>0</v>
      </c>
      <c r="L48" s="30">
        <f t="shared" ref="L48:L80" si="12">K48+I48+G48</f>
        <v>0</v>
      </c>
      <c r="N48" s="21"/>
    </row>
    <row r="49" spans="1:14" ht="19.5" customHeight="1" x14ac:dyDescent="0.2">
      <c r="A49" s="24">
        <v>11</v>
      </c>
      <c r="B49" s="34" t="s">
        <v>235</v>
      </c>
      <c r="C49" s="35" t="s">
        <v>62</v>
      </c>
      <c r="D49" s="26"/>
      <c r="E49" s="108">
        <v>250</v>
      </c>
      <c r="F49" s="147"/>
      <c r="G49" s="148"/>
      <c r="H49" s="147"/>
      <c r="I49" s="147"/>
      <c r="J49" s="148"/>
      <c r="K49" s="148"/>
      <c r="L49" s="165"/>
      <c r="N49" s="21"/>
    </row>
    <row r="50" spans="1:14" ht="15" customHeight="1" x14ac:dyDescent="0.2">
      <c r="A50" s="162">
        <v>11.1</v>
      </c>
      <c r="B50" s="25" t="s">
        <v>46</v>
      </c>
      <c r="C50" s="39" t="s">
        <v>62</v>
      </c>
      <c r="D50" s="26"/>
      <c r="E50" s="140">
        <f>E49</f>
        <v>250</v>
      </c>
      <c r="F50" s="28">
        <v>0</v>
      </c>
      <c r="G50" s="29">
        <f t="shared" si="9"/>
        <v>0</v>
      </c>
      <c r="H50" s="88">
        <v>0</v>
      </c>
      <c r="I50" s="28">
        <f t="shared" si="10"/>
        <v>0</v>
      </c>
      <c r="J50" s="29">
        <v>0</v>
      </c>
      <c r="K50" s="29">
        <f t="shared" si="11"/>
        <v>0</v>
      </c>
      <c r="L50" s="30">
        <f t="shared" si="12"/>
        <v>0</v>
      </c>
      <c r="N50" s="21"/>
    </row>
    <row r="51" spans="1:14" ht="16.5" customHeight="1" x14ac:dyDescent="0.2">
      <c r="A51" s="162">
        <v>11.2</v>
      </c>
      <c r="B51" s="25" t="s">
        <v>168</v>
      </c>
      <c r="C51" s="39" t="s">
        <v>62</v>
      </c>
      <c r="D51" s="26"/>
      <c r="E51" s="140">
        <f>E49</f>
        <v>250</v>
      </c>
      <c r="F51" s="28">
        <v>0</v>
      </c>
      <c r="G51" s="29">
        <f t="shared" si="9"/>
        <v>0</v>
      </c>
      <c r="H51" s="28">
        <v>0</v>
      </c>
      <c r="I51" s="28">
        <f t="shared" si="10"/>
        <v>0</v>
      </c>
      <c r="J51" s="88">
        <v>0</v>
      </c>
      <c r="K51" s="29">
        <f t="shared" si="11"/>
        <v>0</v>
      </c>
      <c r="L51" s="30">
        <f t="shared" si="12"/>
        <v>0</v>
      </c>
      <c r="N51" s="21"/>
    </row>
    <row r="52" spans="1:14" ht="13.5" customHeight="1" x14ac:dyDescent="0.2">
      <c r="A52" s="162"/>
      <c r="B52" s="25" t="s">
        <v>169</v>
      </c>
      <c r="C52" s="39"/>
      <c r="D52" s="26"/>
      <c r="E52" s="140"/>
      <c r="F52" s="28"/>
      <c r="G52" s="29"/>
      <c r="H52" s="28"/>
      <c r="I52" s="28"/>
      <c r="J52" s="29"/>
      <c r="K52" s="29"/>
      <c r="L52" s="30"/>
      <c r="N52" s="21"/>
    </row>
    <row r="53" spans="1:14" ht="17.25" customHeight="1" x14ac:dyDescent="0.2">
      <c r="A53" s="162">
        <v>11.3</v>
      </c>
      <c r="B53" s="25" t="s">
        <v>236</v>
      </c>
      <c r="C53" s="39" t="s">
        <v>62</v>
      </c>
      <c r="D53" s="26"/>
      <c r="E53" s="140">
        <f>E49</f>
        <v>250</v>
      </c>
      <c r="F53" s="88">
        <v>0</v>
      </c>
      <c r="G53" s="29">
        <f t="shared" si="9"/>
        <v>0</v>
      </c>
      <c r="H53" s="28">
        <v>0</v>
      </c>
      <c r="I53" s="28">
        <f t="shared" si="10"/>
        <v>0</v>
      </c>
      <c r="J53" s="29">
        <v>0</v>
      </c>
      <c r="K53" s="29">
        <f t="shared" si="11"/>
        <v>0</v>
      </c>
      <c r="L53" s="30">
        <f t="shared" si="12"/>
        <v>0</v>
      </c>
      <c r="N53" s="21"/>
    </row>
    <row r="54" spans="1:14" ht="17.25" customHeight="1" x14ac:dyDescent="0.2">
      <c r="A54" s="162">
        <v>11.4</v>
      </c>
      <c r="B54" s="25" t="s">
        <v>240</v>
      </c>
      <c r="C54" s="39" t="s">
        <v>16</v>
      </c>
      <c r="D54" s="26">
        <v>3.9E-2</v>
      </c>
      <c r="E54" s="140">
        <f>E53*D54</f>
        <v>9.75</v>
      </c>
      <c r="F54" s="88">
        <v>0</v>
      </c>
      <c r="G54" s="29">
        <f t="shared" si="9"/>
        <v>0</v>
      </c>
      <c r="H54" s="28">
        <v>0</v>
      </c>
      <c r="I54" s="28">
        <f t="shared" si="10"/>
        <v>0</v>
      </c>
      <c r="J54" s="29">
        <v>0</v>
      </c>
      <c r="K54" s="29">
        <f t="shared" si="11"/>
        <v>0</v>
      </c>
      <c r="L54" s="30">
        <f t="shared" si="12"/>
        <v>0</v>
      </c>
      <c r="N54" s="21"/>
    </row>
    <row r="55" spans="1:14" ht="17.25" customHeight="1" x14ac:dyDescent="0.2">
      <c r="A55" s="162">
        <v>11.5</v>
      </c>
      <c r="B55" s="25" t="s">
        <v>237</v>
      </c>
      <c r="C55" s="39" t="s">
        <v>16</v>
      </c>
      <c r="D55" s="26">
        <v>5.9999999999999995E-4</v>
      </c>
      <c r="E55" s="140">
        <f>E53*D55</f>
        <v>0.15</v>
      </c>
      <c r="F55" s="88">
        <v>0</v>
      </c>
      <c r="G55" s="29">
        <f t="shared" si="9"/>
        <v>0</v>
      </c>
      <c r="H55" s="28">
        <v>0</v>
      </c>
      <c r="I55" s="28">
        <f t="shared" si="10"/>
        <v>0</v>
      </c>
      <c r="J55" s="29">
        <v>0</v>
      </c>
      <c r="K55" s="29">
        <f t="shared" si="11"/>
        <v>0</v>
      </c>
      <c r="L55" s="30">
        <f t="shared" si="12"/>
        <v>0</v>
      </c>
      <c r="N55" s="21"/>
    </row>
    <row r="56" spans="1:14" ht="16.5" customHeight="1" x14ac:dyDescent="0.2">
      <c r="A56" s="162">
        <v>11.6</v>
      </c>
      <c r="B56" s="25" t="s">
        <v>238</v>
      </c>
      <c r="C56" s="39" t="s">
        <v>16</v>
      </c>
      <c r="D56" s="26">
        <v>1.24</v>
      </c>
      <c r="E56" s="140">
        <f>E48*D56</f>
        <v>6.2</v>
      </c>
      <c r="F56" s="88">
        <v>0</v>
      </c>
      <c r="G56" s="29">
        <f t="shared" si="9"/>
        <v>0</v>
      </c>
      <c r="H56" s="28">
        <v>0</v>
      </c>
      <c r="I56" s="28">
        <f t="shared" si="10"/>
        <v>0</v>
      </c>
      <c r="J56" s="29">
        <v>0</v>
      </c>
      <c r="K56" s="29">
        <f t="shared" si="11"/>
        <v>0</v>
      </c>
      <c r="L56" s="30">
        <f t="shared" si="12"/>
        <v>0</v>
      </c>
      <c r="N56" s="21"/>
    </row>
    <row r="57" spans="1:14" ht="18.75" customHeight="1" x14ac:dyDescent="0.2">
      <c r="A57" s="162">
        <v>11.7</v>
      </c>
      <c r="B57" s="25" t="s">
        <v>239</v>
      </c>
      <c r="C57" s="39" t="s">
        <v>10</v>
      </c>
      <c r="D57" s="26"/>
      <c r="E57" s="140">
        <v>1</v>
      </c>
      <c r="F57" s="88">
        <v>0</v>
      </c>
      <c r="G57" s="29">
        <f t="shared" si="9"/>
        <v>0</v>
      </c>
      <c r="H57" s="28">
        <v>0</v>
      </c>
      <c r="I57" s="28">
        <f t="shared" si="10"/>
        <v>0</v>
      </c>
      <c r="J57" s="29">
        <v>0</v>
      </c>
      <c r="K57" s="29">
        <f t="shared" si="11"/>
        <v>0</v>
      </c>
      <c r="L57" s="30">
        <f t="shared" si="12"/>
        <v>0</v>
      </c>
      <c r="N57" s="21"/>
    </row>
    <row r="58" spans="1:14" s="57" customFormat="1" ht="12.75" x14ac:dyDescent="0.2">
      <c r="A58" s="142">
        <v>12</v>
      </c>
      <c r="B58" s="159" t="s">
        <v>242</v>
      </c>
      <c r="C58" s="172" t="s">
        <v>15</v>
      </c>
      <c r="D58" s="173"/>
      <c r="E58" s="146">
        <v>437</v>
      </c>
      <c r="F58" s="147"/>
      <c r="G58" s="148"/>
      <c r="H58" s="147"/>
      <c r="I58" s="147"/>
      <c r="J58" s="148"/>
      <c r="K58" s="148"/>
      <c r="L58" s="165"/>
      <c r="N58" s="94"/>
    </row>
    <row r="59" spans="1:14" s="43" customFormat="1" ht="12.75" x14ac:dyDescent="0.25">
      <c r="A59" s="37">
        <v>12.1</v>
      </c>
      <c r="B59" s="38" t="s">
        <v>46</v>
      </c>
      <c r="C59" s="39" t="s">
        <v>15</v>
      </c>
      <c r="D59" s="39"/>
      <c r="E59" s="40">
        <f>E58</f>
        <v>437</v>
      </c>
      <c r="F59" s="28">
        <v>0</v>
      </c>
      <c r="G59" s="29">
        <f t="shared" si="9"/>
        <v>0</v>
      </c>
      <c r="H59" s="88">
        <v>0</v>
      </c>
      <c r="I59" s="28">
        <f t="shared" si="10"/>
        <v>0</v>
      </c>
      <c r="J59" s="29">
        <v>0</v>
      </c>
      <c r="K59" s="29">
        <f t="shared" si="11"/>
        <v>0</v>
      </c>
      <c r="L59" s="30">
        <f t="shared" si="12"/>
        <v>0</v>
      </c>
      <c r="N59" s="44"/>
    </row>
    <row r="60" spans="1:14" s="43" customFormat="1" ht="12.75" x14ac:dyDescent="0.25">
      <c r="A60" s="37">
        <v>12.2</v>
      </c>
      <c r="B60" s="38" t="s">
        <v>168</v>
      </c>
      <c r="C60" s="39" t="s">
        <v>21</v>
      </c>
      <c r="D60" s="39"/>
      <c r="E60" s="40">
        <v>1</v>
      </c>
      <c r="F60" s="28">
        <v>0</v>
      </c>
      <c r="G60" s="29">
        <f t="shared" si="9"/>
        <v>0</v>
      </c>
      <c r="H60" s="28">
        <v>0</v>
      </c>
      <c r="I60" s="28">
        <f t="shared" si="10"/>
        <v>0</v>
      </c>
      <c r="J60" s="88">
        <v>0</v>
      </c>
      <c r="K60" s="29">
        <f t="shared" si="11"/>
        <v>0</v>
      </c>
      <c r="L60" s="30">
        <f t="shared" si="12"/>
        <v>0</v>
      </c>
      <c r="N60" s="44"/>
    </row>
    <row r="61" spans="1:14" s="43" customFormat="1" ht="12.75" x14ac:dyDescent="0.25">
      <c r="A61" s="37"/>
      <c r="B61" s="38" t="s">
        <v>169</v>
      </c>
      <c r="C61" s="105"/>
      <c r="D61" s="105"/>
      <c r="E61" s="60"/>
      <c r="F61" s="28"/>
      <c r="G61" s="29"/>
      <c r="H61" s="28"/>
      <c r="I61" s="28"/>
      <c r="J61" s="29"/>
      <c r="K61" s="29"/>
      <c r="L61" s="30"/>
      <c r="N61" s="44"/>
    </row>
    <row r="62" spans="1:14" s="43" customFormat="1" ht="12.75" x14ac:dyDescent="0.25">
      <c r="A62" s="37">
        <v>12.3</v>
      </c>
      <c r="B62" s="38" t="s">
        <v>243</v>
      </c>
      <c r="C62" s="39" t="s">
        <v>35</v>
      </c>
      <c r="D62" s="39">
        <v>0.6</v>
      </c>
      <c r="E62" s="40">
        <f>E59*D62/1000</f>
        <v>0.26219999999999999</v>
      </c>
      <c r="F62" s="88">
        <v>0</v>
      </c>
      <c r="G62" s="29">
        <f t="shared" si="9"/>
        <v>0</v>
      </c>
      <c r="H62" s="28">
        <v>0</v>
      </c>
      <c r="I62" s="28">
        <f t="shared" si="10"/>
        <v>0</v>
      </c>
      <c r="J62" s="29">
        <v>0</v>
      </c>
      <c r="K62" s="29">
        <f t="shared" si="11"/>
        <v>0</v>
      </c>
      <c r="L62" s="30">
        <f t="shared" si="12"/>
        <v>0</v>
      </c>
      <c r="N62" s="44"/>
    </row>
    <row r="63" spans="1:14" s="43" customFormat="1" ht="12.75" x14ac:dyDescent="0.25">
      <c r="A63" s="37">
        <v>12.4</v>
      </c>
      <c r="B63" s="38" t="s">
        <v>244</v>
      </c>
      <c r="C63" s="39" t="s">
        <v>15</v>
      </c>
      <c r="D63" s="39"/>
      <c r="E63" s="40">
        <f>E59</f>
        <v>437</v>
      </c>
      <c r="F63" s="88">
        <v>0</v>
      </c>
      <c r="G63" s="29">
        <f t="shared" si="9"/>
        <v>0</v>
      </c>
      <c r="H63" s="28">
        <v>0</v>
      </c>
      <c r="I63" s="28">
        <f t="shared" si="10"/>
        <v>0</v>
      </c>
      <c r="J63" s="29">
        <v>0</v>
      </c>
      <c r="K63" s="29">
        <f t="shared" si="11"/>
        <v>0</v>
      </c>
      <c r="L63" s="30">
        <f t="shared" si="12"/>
        <v>0</v>
      </c>
      <c r="N63" s="44"/>
    </row>
    <row r="64" spans="1:14" s="43" customFormat="1" ht="12.75" x14ac:dyDescent="0.25">
      <c r="A64" s="37">
        <v>12.5</v>
      </c>
      <c r="B64" s="38" t="s">
        <v>245</v>
      </c>
      <c r="C64" s="39" t="s">
        <v>35</v>
      </c>
      <c r="D64" s="39">
        <v>0.3</v>
      </c>
      <c r="E64" s="40">
        <f>E58*D64/1000</f>
        <v>0.13109999999999999</v>
      </c>
      <c r="F64" s="88">
        <v>0</v>
      </c>
      <c r="G64" s="29">
        <f t="shared" si="9"/>
        <v>0</v>
      </c>
      <c r="H64" s="28">
        <v>0</v>
      </c>
      <c r="I64" s="28">
        <f t="shared" si="10"/>
        <v>0</v>
      </c>
      <c r="J64" s="29">
        <v>0</v>
      </c>
      <c r="K64" s="29">
        <f t="shared" si="11"/>
        <v>0</v>
      </c>
      <c r="L64" s="30">
        <f t="shared" si="12"/>
        <v>0</v>
      </c>
      <c r="N64" s="44"/>
    </row>
    <row r="65" spans="1:14" s="43" customFormat="1" ht="25.5" x14ac:dyDescent="0.25">
      <c r="A65" s="37">
        <v>12.6</v>
      </c>
      <c r="B65" s="38" t="s">
        <v>246</v>
      </c>
      <c r="C65" s="39" t="s">
        <v>15</v>
      </c>
      <c r="D65" s="39"/>
      <c r="E65" s="40">
        <f>E58</f>
        <v>437</v>
      </c>
      <c r="F65" s="88">
        <v>0</v>
      </c>
      <c r="G65" s="29">
        <f t="shared" si="9"/>
        <v>0</v>
      </c>
      <c r="H65" s="28">
        <v>0</v>
      </c>
      <c r="I65" s="28">
        <f t="shared" si="10"/>
        <v>0</v>
      </c>
      <c r="J65" s="29">
        <v>0</v>
      </c>
      <c r="K65" s="29">
        <f t="shared" si="11"/>
        <v>0</v>
      </c>
      <c r="L65" s="30">
        <f t="shared" si="12"/>
        <v>0</v>
      </c>
      <c r="N65" s="44"/>
    </row>
    <row r="66" spans="1:14" ht="18.75" customHeight="1" x14ac:dyDescent="0.2">
      <c r="A66" s="37">
        <v>12.7</v>
      </c>
      <c r="B66" s="25" t="s">
        <v>239</v>
      </c>
      <c r="C66" s="39" t="s">
        <v>10</v>
      </c>
      <c r="D66" s="26"/>
      <c r="E66" s="140">
        <v>1</v>
      </c>
      <c r="F66" s="88">
        <v>0</v>
      </c>
      <c r="G66" s="29">
        <f t="shared" ref="G66" si="13">F66*E66</f>
        <v>0</v>
      </c>
      <c r="H66" s="28">
        <v>0</v>
      </c>
      <c r="I66" s="28">
        <f t="shared" ref="I66" si="14">H66*E66</f>
        <v>0</v>
      </c>
      <c r="J66" s="29">
        <v>0</v>
      </c>
      <c r="K66" s="29">
        <f t="shared" ref="K66" si="15">J66*E66</f>
        <v>0</v>
      </c>
      <c r="L66" s="30">
        <f t="shared" ref="L66" si="16">K66+I66+G66</f>
        <v>0</v>
      </c>
      <c r="N66" s="21"/>
    </row>
    <row r="67" spans="1:14" s="43" customFormat="1" ht="12.75" x14ac:dyDescent="0.25">
      <c r="A67" s="174">
        <v>13</v>
      </c>
      <c r="B67" s="175" t="s">
        <v>248</v>
      </c>
      <c r="C67" s="172" t="s">
        <v>15</v>
      </c>
      <c r="D67" s="172"/>
      <c r="E67" s="176">
        <v>102</v>
      </c>
      <c r="F67" s="147"/>
      <c r="G67" s="148"/>
      <c r="H67" s="147"/>
      <c r="I67" s="147"/>
      <c r="J67" s="148"/>
      <c r="K67" s="148"/>
      <c r="L67" s="165"/>
      <c r="N67" s="44"/>
    </row>
    <row r="68" spans="1:14" s="43" customFormat="1" ht="12.75" x14ac:dyDescent="0.25">
      <c r="A68" s="37">
        <v>13.1</v>
      </c>
      <c r="B68" s="38" t="s">
        <v>46</v>
      </c>
      <c r="C68" s="39" t="s">
        <v>15</v>
      </c>
      <c r="D68" s="39"/>
      <c r="E68" s="40">
        <f>E67</f>
        <v>102</v>
      </c>
      <c r="F68" s="28">
        <v>0</v>
      </c>
      <c r="G68" s="29">
        <f t="shared" si="9"/>
        <v>0</v>
      </c>
      <c r="H68" s="88">
        <v>0</v>
      </c>
      <c r="I68" s="28">
        <f t="shared" si="10"/>
        <v>0</v>
      </c>
      <c r="J68" s="29">
        <v>0</v>
      </c>
      <c r="K68" s="29">
        <f t="shared" si="11"/>
        <v>0</v>
      </c>
      <c r="L68" s="30">
        <f t="shared" si="12"/>
        <v>0</v>
      </c>
      <c r="N68" s="44"/>
    </row>
    <row r="69" spans="1:14" s="43" customFormat="1" ht="12.75" x14ac:dyDescent="0.25">
      <c r="A69" s="37">
        <v>13.2</v>
      </c>
      <c r="B69" s="38" t="s">
        <v>47</v>
      </c>
      <c r="C69" s="39" t="s">
        <v>16</v>
      </c>
      <c r="D69" s="39"/>
      <c r="E69" s="40">
        <f>E67</f>
        <v>102</v>
      </c>
      <c r="F69" s="28">
        <v>0</v>
      </c>
      <c r="G69" s="29">
        <f t="shared" si="9"/>
        <v>0</v>
      </c>
      <c r="H69" s="28">
        <v>0</v>
      </c>
      <c r="I69" s="28">
        <f t="shared" si="10"/>
        <v>0</v>
      </c>
      <c r="J69" s="88">
        <v>0</v>
      </c>
      <c r="K69" s="29">
        <f t="shared" si="11"/>
        <v>0</v>
      </c>
      <c r="L69" s="30">
        <f t="shared" si="12"/>
        <v>0</v>
      </c>
      <c r="N69" s="44"/>
    </row>
    <row r="70" spans="1:14" s="43" customFormat="1" ht="12.75" x14ac:dyDescent="0.25">
      <c r="A70" s="37">
        <v>13.3</v>
      </c>
      <c r="B70" s="38" t="s">
        <v>97</v>
      </c>
      <c r="C70" s="39" t="s">
        <v>15</v>
      </c>
      <c r="D70" s="39"/>
      <c r="E70" s="40">
        <f>E67</f>
        <v>102</v>
      </c>
      <c r="F70" s="28">
        <v>0</v>
      </c>
      <c r="G70" s="29">
        <f t="shared" si="9"/>
        <v>0</v>
      </c>
      <c r="H70" s="28">
        <v>0</v>
      </c>
      <c r="I70" s="28">
        <f t="shared" si="10"/>
        <v>0</v>
      </c>
      <c r="J70" s="88">
        <v>0</v>
      </c>
      <c r="K70" s="29">
        <f t="shared" si="11"/>
        <v>0</v>
      </c>
      <c r="L70" s="30">
        <f t="shared" si="12"/>
        <v>0</v>
      </c>
      <c r="N70" s="44"/>
    </row>
    <row r="71" spans="1:14" s="43" customFormat="1" ht="12.75" x14ac:dyDescent="0.25">
      <c r="A71" s="37">
        <v>13.4</v>
      </c>
      <c r="B71" s="38" t="s">
        <v>211</v>
      </c>
      <c r="C71" s="39" t="s">
        <v>62</v>
      </c>
      <c r="D71" s="39"/>
      <c r="E71" s="40">
        <v>31</v>
      </c>
      <c r="F71" s="28">
        <v>0</v>
      </c>
      <c r="G71" s="29">
        <f t="shared" si="9"/>
        <v>0</v>
      </c>
      <c r="H71" s="28">
        <v>0</v>
      </c>
      <c r="I71" s="28">
        <f t="shared" si="10"/>
        <v>0</v>
      </c>
      <c r="J71" s="88">
        <v>0</v>
      </c>
      <c r="K71" s="29">
        <f t="shared" si="11"/>
        <v>0</v>
      </c>
      <c r="L71" s="30">
        <f t="shared" si="12"/>
        <v>0</v>
      </c>
      <c r="N71" s="44"/>
    </row>
    <row r="72" spans="1:14" s="106" customFormat="1" ht="12.75" x14ac:dyDescent="0.25">
      <c r="A72" s="37">
        <v>13.5</v>
      </c>
      <c r="B72" s="38" t="s">
        <v>210</v>
      </c>
      <c r="C72" s="105" t="s">
        <v>21</v>
      </c>
      <c r="D72" s="105"/>
      <c r="E72" s="60">
        <v>1</v>
      </c>
      <c r="F72" s="28">
        <v>0</v>
      </c>
      <c r="G72" s="29">
        <f t="shared" si="9"/>
        <v>0</v>
      </c>
      <c r="H72" s="28">
        <v>0</v>
      </c>
      <c r="I72" s="28">
        <f t="shared" si="10"/>
        <v>0</v>
      </c>
      <c r="J72" s="88">
        <v>0</v>
      </c>
      <c r="K72" s="29">
        <f t="shared" si="11"/>
        <v>0</v>
      </c>
      <c r="L72" s="30">
        <f t="shared" si="12"/>
        <v>0</v>
      </c>
      <c r="N72" s="107"/>
    </row>
    <row r="73" spans="1:14" s="43" customFormat="1" ht="12.75" x14ac:dyDescent="0.25">
      <c r="A73" s="37"/>
      <c r="B73" s="38" t="s">
        <v>169</v>
      </c>
      <c r="C73" s="39"/>
      <c r="D73" s="39"/>
      <c r="E73" s="40"/>
      <c r="F73" s="28"/>
      <c r="G73" s="29"/>
      <c r="H73" s="28"/>
      <c r="I73" s="28"/>
      <c r="J73" s="29"/>
      <c r="K73" s="29"/>
      <c r="L73" s="30"/>
      <c r="N73" s="44"/>
    </row>
    <row r="74" spans="1:14" ht="12.75" x14ac:dyDescent="0.2">
      <c r="A74" s="51">
        <v>13.6</v>
      </c>
      <c r="B74" s="38" t="s">
        <v>48</v>
      </c>
      <c r="C74" s="39" t="s">
        <v>16</v>
      </c>
      <c r="D74" s="39">
        <v>1.02</v>
      </c>
      <c r="E74" s="27">
        <f>E67*0.25*D74</f>
        <v>26.01</v>
      </c>
      <c r="F74" s="88">
        <v>0</v>
      </c>
      <c r="G74" s="29">
        <f t="shared" si="9"/>
        <v>0</v>
      </c>
      <c r="H74" s="28">
        <v>0</v>
      </c>
      <c r="I74" s="28">
        <f t="shared" si="10"/>
        <v>0</v>
      </c>
      <c r="J74" s="29">
        <v>0</v>
      </c>
      <c r="K74" s="29">
        <f t="shared" si="11"/>
        <v>0</v>
      </c>
      <c r="L74" s="30">
        <f t="shared" si="12"/>
        <v>0</v>
      </c>
      <c r="N74" s="21"/>
    </row>
    <row r="75" spans="1:14" ht="12.75" x14ac:dyDescent="0.2">
      <c r="A75" s="51">
        <v>13.7</v>
      </c>
      <c r="B75" s="38" t="s">
        <v>162</v>
      </c>
      <c r="C75" s="39" t="s">
        <v>49</v>
      </c>
      <c r="D75" s="39">
        <v>1.03</v>
      </c>
      <c r="E75" s="27">
        <f>2340*1.21*1.03/1000</f>
        <v>2.9163420000000002</v>
      </c>
      <c r="F75" s="88">
        <v>0</v>
      </c>
      <c r="G75" s="29">
        <f t="shared" si="9"/>
        <v>0</v>
      </c>
      <c r="H75" s="28">
        <v>0</v>
      </c>
      <c r="I75" s="28">
        <f t="shared" si="10"/>
        <v>0</v>
      </c>
      <c r="J75" s="29">
        <v>0</v>
      </c>
      <c r="K75" s="29">
        <f t="shared" si="11"/>
        <v>0</v>
      </c>
      <c r="L75" s="30">
        <f t="shared" si="12"/>
        <v>0</v>
      </c>
      <c r="N75" s="3"/>
    </row>
    <row r="76" spans="1:14" ht="12.75" x14ac:dyDescent="0.2">
      <c r="A76" s="51">
        <v>13.8</v>
      </c>
      <c r="B76" s="38" t="s">
        <v>64</v>
      </c>
      <c r="C76" s="39" t="s">
        <v>49</v>
      </c>
      <c r="D76" s="39">
        <v>1.03</v>
      </c>
      <c r="E76" s="27">
        <f>275*0.395*1.03/1000</f>
        <v>0.11188375</v>
      </c>
      <c r="F76" s="88">
        <v>0</v>
      </c>
      <c r="G76" s="29">
        <f t="shared" si="9"/>
        <v>0</v>
      </c>
      <c r="H76" s="28">
        <v>0</v>
      </c>
      <c r="I76" s="28">
        <f t="shared" si="10"/>
        <v>0</v>
      </c>
      <c r="J76" s="29">
        <v>0</v>
      </c>
      <c r="K76" s="29">
        <f t="shared" si="11"/>
        <v>0</v>
      </c>
      <c r="L76" s="30">
        <f t="shared" si="12"/>
        <v>0</v>
      </c>
      <c r="N76" s="3"/>
    </row>
    <row r="77" spans="1:14" ht="12.75" x14ac:dyDescent="0.2">
      <c r="A77" s="51">
        <v>13.9</v>
      </c>
      <c r="B77" s="38" t="s">
        <v>247</v>
      </c>
      <c r="C77" s="39" t="s">
        <v>15</v>
      </c>
      <c r="D77" s="26">
        <v>1.2</v>
      </c>
      <c r="E77" s="52">
        <f>E67*D77</f>
        <v>122.39999999999999</v>
      </c>
      <c r="F77" s="88">
        <v>0</v>
      </c>
      <c r="G77" s="29">
        <f t="shared" si="9"/>
        <v>0</v>
      </c>
      <c r="H77" s="28">
        <v>0</v>
      </c>
      <c r="I77" s="28">
        <f t="shared" si="10"/>
        <v>0</v>
      </c>
      <c r="J77" s="29">
        <v>0</v>
      </c>
      <c r="K77" s="29">
        <f t="shared" si="11"/>
        <v>0</v>
      </c>
      <c r="L77" s="30">
        <f t="shared" si="12"/>
        <v>0</v>
      </c>
      <c r="N77" s="21"/>
    </row>
    <row r="78" spans="1:14" ht="12.75" x14ac:dyDescent="0.2">
      <c r="A78" s="109">
        <v>13.1</v>
      </c>
      <c r="B78" s="38" t="s">
        <v>212</v>
      </c>
      <c r="C78" s="39" t="s">
        <v>8</v>
      </c>
      <c r="D78" s="26"/>
      <c r="E78" s="52">
        <v>18</v>
      </c>
      <c r="F78" s="88">
        <v>0</v>
      </c>
      <c r="G78" s="29">
        <f t="shared" si="9"/>
        <v>0</v>
      </c>
      <c r="H78" s="28">
        <v>0</v>
      </c>
      <c r="I78" s="28">
        <f t="shared" si="10"/>
        <v>0</v>
      </c>
      <c r="J78" s="29">
        <v>0</v>
      </c>
      <c r="K78" s="29">
        <f t="shared" si="11"/>
        <v>0</v>
      </c>
      <c r="L78" s="30">
        <f t="shared" si="12"/>
        <v>0</v>
      </c>
      <c r="N78" s="21"/>
    </row>
    <row r="79" spans="1:14" ht="13.5" customHeight="1" x14ac:dyDescent="0.2">
      <c r="A79" s="51">
        <v>13.11</v>
      </c>
      <c r="B79" s="38" t="s">
        <v>163</v>
      </c>
      <c r="C79" s="39" t="s">
        <v>10</v>
      </c>
      <c r="D79" s="39"/>
      <c r="E79" s="27">
        <v>1</v>
      </c>
      <c r="F79" s="88">
        <v>0</v>
      </c>
      <c r="G79" s="29">
        <f t="shared" si="9"/>
        <v>0</v>
      </c>
      <c r="H79" s="28">
        <v>0</v>
      </c>
      <c r="I79" s="28">
        <f t="shared" si="10"/>
        <v>0</v>
      </c>
      <c r="J79" s="29">
        <v>0</v>
      </c>
      <c r="K79" s="29">
        <f t="shared" si="11"/>
        <v>0</v>
      </c>
      <c r="L79" s="30">
        <f t="shared" si="12"/>
        <v>0</v>
      </c>
      <c r="N79" s="21"/>
    </row>
    <row r="80" spans="1:14" ht="17.25" customHeight="1" x14ac:dyDescent="0.25">
      <c r="A80" s="24">
        <v>14</v>
      </c>
      <c r="B80" s="25" t="s">
        <v>288</v>
      </c>
      <c r="C80" s="26" t="s">
        <v>20</v>
      </c>
      <c r="D80" s="64"/>
      <c r="E80" s="27">
        <v>1</v>
      </c>
      <c r="F80" s="89">
        <v>0</v>
      </c>
      <c r="G80" s="29">
        <f t="shared" si="9"/>
        <v>0</v>
      </c>
      <c r="H80" s="88">
        <v>0</v>
      </c>
      <c r="I80" s="29">
        <f t="shared" si="10"/>
        <v>0</v>
      </c>
      <c r="J80" s="89">
        <v>0</v>
      </c>
      <c r="K80" s="29">
        <f t="shared" si="11"/>
        <v>0</v>
      </c>
      <c r="L80" s="30">
        <f t="shared" si="12"/>
        <v>0</v>
      </c>
      <c r="M80" s="21"/>
    </row>
    <row r="81" spans="1:13" s="72" customFormat="1" x14ac:dyDescent="0.25">
      <c r="A81" s="22"/>
      <c r="B81" s="48" t="s">
        <v>7</v>
      </c>
      <c r="C81" s="69"/>
      <c r="D81" s="69"/>
      <c r="E81" s="49"/>
      <c r="F81" s="49"/>
      <c r="G81" s="70">
        <f>SUM(G12:G80)</f>
        <v>0</v>
      </c>
      <c r="H81" s="49"/>
      <c r="I81" s="70">
        <f>SUM(I12:I80)</f>
        <v>0</v>
      </c>
      <c r="J81" s="49"/>
      <c r="K81" s="70">
        <f>SUM(K12:K80)</f>
        <v>0</v>
      </c>
      <c r="L81" s="71">
        <f>SUM(L12:L80)</f>
        <v>0</v>
      </c>
    </row>
    <row r="82" spans="1:13" s="12" customFormat="1" x14ac:dyDescent="0.25">
      <c r="A82" s="73"/>
      <c r="B82" s="74" t="s">
        <v>18</v>
      </c>
      <c r="C82" s="90">
        <v>0</v>
      </c>
      <c r="D82" s="75"/>
      <c r="E82" s="76"/>
      <c r="F82" s="76"/>
      <c r="G82" s="76"/>
      <c r="H82" s="76"/>
      <c r="I82" s="76"/>
      <c r="J82" s="76"/>
      <c r="K82" s="76"/>
      <c r="L82" s="77">
        <f>C82*G81</f>
        <v>0</v>
      </c>
    </row>
    <row r="83" spans="1:13" s="12" customFormat="1" x14ac:dyDescent="0.25">
      <c r="A83" s="22"/>
      <c r="B83" s="48" t="s">
        <v>7</v>
      </c>
      <c r="C83" s="78"/>
      <c r="D83" s="78"/>
      <c r="E83" s="49"/>
      <c r="F83" s="49"/>
      <c r="G83" s="49"/>
      <c r="H83" s="49"/>
      <c r="I83" s="49"/>
      <c r="J83" s="49"/>
      <c r="K83" s="49"/>
      <c r="L83" s="71">
        <f>L82+L81</f>
        <v>0</v>
      </c>
    </row>
    <row r="84" spans="1:13" s="12" customFormat="1" x14ac:dyDescent="0.25">
      <c r="A84" s="73"/>
      <c r="B84" s="79" t="s">
        <v>11</v>
      </c>
      <c r="C84" s="90">
        <v>0</v>
      </c>
      <c r="D84" s="75"/>
      <c r="E84" s="76"/>
      <c r="F84" s="76"/>
      <c r="G84" s="76"/>
      <c r="H84" s="76"/>
      <c r="I84" s="76"/>
      <c r="J84" s="76"/>
      <c r="K84" s="76"/>
      <c r="L84" s="77">
        <f>L83*C84</f>
        <v>0</v>
      </c>
    </row>
    <row r="85" spans="1:13" s="12" customFormat="1" x14ac:dyDescent="0.25">
      <c r="A85" s="22"/>
      <c r="B85" s="48" t="s">
        <v>7</v>
      </c>
      <c r="C85" s="78"/>
      <c r="D85" s="78"/>
      <c r="E85" s="49"/>
      <c r="F85" s="49"/>
      <c r="G85" s="49"/>
      <c r="H85" s="49"/>
      <c r="I85" s="49"/>
      <c r="J85" s="49"/>
      <c r="K85" s="49"/>
      <c r="L85" s="71">
        <f>L84+L83</f>
        <v>0</v>
      </c>
    </row>
    <row r="86" spans="1:13" s="12" customFormat="1" x14ac:dyDescent="0.25">
      <c r="A86" s="73"/>
      <c r="B86" s="79" t="s">
        <v>12</v>
      </c>
      <c r="C86" s="90">
        <v>0</v>
      </c>
      <c r="D86" s="75"/>
      <c r="E86" s="76"/>
      <c r="F86" s="76"/>
      <c r="G86" s="76"/>
      <c r="H86" s="76"/>
      <c r="I86" s="76"/>
      <c r="J86" s="76"/>
      <c r="K86" s="76"/>
      <c r="L86" s="77">
        <f>L85*C86</f>
        <v>0</v>
      </c>
    </row>
    <row r="87" spans="1:13" s="12" customFormat="1" x14ac:dyDescent="0.25">
      <c r="A87" s="22"/>
      <c r="B87" s="48" t="s">
        <v>7</v>
      </c>
      <c r="C87" s="78"/>
      <c r="D87" s="78"/>
      <c r="E87" s="49"/>
      <c r="F87" s="49"/>
      <c r="G87" s="49"/>
      <c r="H87" s="49"/>
      <c r="I87" s="49"/>
      <c r="J87" s="49"/>
      <c r="K87" s="49"/>
      <c r="L87" s="71">
        <f>L85+L86</f>
        <v>0</v>
      </c>
    </row>
    <row r="88" spans="1:13" s="12" customFormat="1" x14ac:dyDescent="0.25">
      <c r="A88" s="73"/>
      <c r="B88" s="79" t="s">
        <v>13</v>
      </c>
      <c r="C88" s="90">
        <v>0</v>
      </c>
      <c r="D88" s="75"/>
      <c r="E88" s="76"/>
      <c r="F88" s="76"/>
      <c r="G88" s="76"/>
      <c r="H88" s="76"/>
      <c r="I88" s="76"/>
      <c r="J88" s="76"/>
      <c r="K88" s="76"/>
      <c r="L88" s="77">
        <f>L87*C88</f>
        <v>0</v>
      </c>
    </row>
    <row r="89" spans="1:13" s="12" customFormat="1" x14ac:dyDescent="0.25">
      <c r="A89" s="22"/>
      <c r="B89" s="48" t="s">
        <v>7</v>
      </c>
      <c r="C89" s="78"/>
      <c r="D89" s="78"/>
      <c r="E89" s="49"/>
      <c r="F89" s="49"/>
      <c r="G89" s="49"/>
      <c r="H89" s="49"/>
      <c r="I89" s="49"/>
      <c r="J89" s="49"/>
      <c r="K89" s="49"/>
      <c r="L89" s="71">
        <f>L87+L88</f>
        <v>0</v>
      </c>
    </row>
    <row r="90" spans="1:13" s="12" customFormat="1" x14ac:dyDescent="0.25">
      <c r="A90" s="73"/>
      <c r="B90" s="79" t="s">
        <v>14</v>
      </c>
      <c r="C90" s="90">
        <v>0</v>
      </c>
      <c r="D90" s="75"/>
      <c r="E90" s="76"/>
      <c r="F90" s="76"/>
      <c r="G90" s="76"/>
      <c r="H90" s="76"/>
      <c r="I90" s="76"/>
      <c r="J90" s="76"/>
      <c r="K90" s="76"/>
      <c r="L90" s="77">
        <f>L89*C90</f>
        <v>0</v>
      </c>
    </row>
    <row r="91" spans="1:13" s="12" customFormat="1" x14ac:dyDescent="0.25">
      <c r="A91" s="22"/>
      <c r="B91" s="48" t="s">
        <v>7</v>
      </c>
      <c r="C91" s="80"/>
      <c r="D91" s="80"/>
      <c r="E91" s="49"/>
      <c r="F91" s="49"/>
      <c r="G91" s="49"/>
      <c r="H91" s="49"/>
      <c r="I91" s="49"/>
      <c r="J91" s="49"/>
      <c r="K91" s="49"/>
      <c r="L91" s="71">
        <f>L89+L90</f>
        <v>0</v>
      </c>
    </row>
    <row r="92" spans="1:13" s="12" customFormat="1" x14ac:dyDescent="0.25">
      <c r="A92" s="73"/>
      <c r="B92" s="79" t="s">
        <v>19</v>
      </c>
      <c r="C92" s="90">
        <v>0</v>
      </c>
      <c r="D92" s="75"/>
      <c r="E92" s="76"/>
      <c r="F92" s="76"/>
      <c r="G92" s="76"/>
      <c r="H92" s="76"/>
      <c r="I92" s="76"/>
      <c r="J92" s="76"/>
      <c r="K92" s="76"/>
      <c r="L92" s="77">
        <f>L91*C92</f>
        <v>0</v>
      </c>
    </row>
    <row r="93" spans="1:13" s="12" customFormat="1" ht="12.75" thickBot="1" x14ac:dyDescent="0.3">
      <c r="A93" s="81"/>
      <c r="B93" s="82" t="s">
        <v>7</v>
      </c>
      <c r="C93" s="83"/>
      <c r="D93" s="83"/>
      <c r="E93" s="84"/>
      <c r="F93" s="84"/>
      <c r="G93" s="84"/>
      <c r="H93" s="84"/>
      <c r="I93" s="84"/>
      <c r="J93" s="84"/>
      <c r="K93" s="84"/>
      <c r="L93" s="85">
        <f>L91+L92</f>
        <v>0</v>
      </c>
    </row>
    <row r="94" spans="1:13" x14ac:dyDescent="0.2">
      <c r="L94" s="21"/>
      <c r="M94" s="21"/>
    </row>
    <row r="95" spans="1:13" x14ac:dyDescent="0.2">
      <c r="L95" s="21"/>
      <c r="M95" s="21"/>
    </row>
    <row r="96" spans="1:13" x14ac:dyDescent="0.2">
      <c r="K96" s="86"/>
      <c r="L96" s="87"/>
      <c r="M96" s="21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</sheetData>
  <sheetProtection algorithmName="SHA-512" hashValue="GMvH/Z7ddyRdXHDYs0dNzSmuBuzhYZY0bggsvsnK+lMlNR+ksoIUPZkWthHHdpMNUUJZNYjtsHqqq9ZIs/XKag==" saltValue="iC5RQQPK09lb3V6WBO0QAQ==" spinCount="100000" sheet="1" objects="1" scenarios="1"/>
  <mergeCells count="11">
    <mergeCell ref="A6:A7"/>
    <mergeCell ref="B6:B7"/>
    <mergeCell ref="C6:C7"/>
    <mergeCell ref="D6:E6"/>
    <mergeCell ref="F6:G6"/>
    <mergeCell ref="J6:K6"/>
    <mergeCell ref="L6:L7"/>
    <mergeCell ref="C11:L11"/>
    <mergeCell ref="C46:L46"/>
    <mergeCell ref="C26:L26"/>
    <mergeCell ref="H6:I6"/>
  </mergeCells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93"/>
  <sheetViews>
    <sheetView zoomScaleNormal="100" workbookViewId="0">
      <selection activeCell="O9" sqref="O9"/>
    </sheetView>
  </sheetViews>
  <sheetFormatPr defaultColWidth="8.85546875" defaultRowHeight="12" x14ac:dyDescent="0.2"/>
  <cols>
    <col min="1" max="1" width="8.85546875" style="2"/>
    <col min="2" max="2" width="55.42578125" style="2" customWidth="1"/>
    <col min="3" max="3" width="10.28515625" style="2" customWidth="1"/>
    <col min="4" max="4" width="11.42578125" style="2" customWidth="1"/>
    <col min="5" max="5" width="11.42578125" style="3" customWidth="1"/>
    <col min="6" max="6" width="9.85546875" style="2" customWidth="1"/>
    <col min="7" max="7" width="13.5703125" style="2" bestFit="1" customWidth="1"/>
    <col min="8" max="8" width="9.7109375" style="2" customWidth="1"/>
    <col min="9" max="9" width="11.5703125" style="2" customWidth="1"/>
    <col min="10" max="10" width="10.140625" style="2" customWidth="1"/>
    <col min="11" max="11" width="12.140625" style="2" bestFit="1" customWidth="1"/>
    <col min="12" max="12" width="13.140625" style="2" customWidth="1"/>
    <col min="13" max="13" width="11.140625" style="2" bestFit="1" customWidth="1"/>
    <col min="14" max="14" width="10" style="2" bestFit="1" customWidth="1"/>
    <col min="15" max="15" width="9.140625" style="2" bestFit="1" customWidth="1"/>
    <col min="16" max="16" width="11.42578125" style="2" bestFit="1" customWidth="1"/>
    <col min="17" max="16384" width="8.85546875" style="2"/>
  </cols>
  <sheetData>
    <row r="1" spans="1:14" s="4" customFormat="1" ht="12" customHeight="1" x14ac:dyDescent="0.25">
      <c r="A1" s="180"/>
      <c r="B1" s="181"/>
      <c r="C1" s="181"/>
      <c r="D1" s="182"/>
      <c r="E1" s="183"/>
      <c r="F1" s="183"/>
      <c r="G1" s="183"/>
      <c r="H1" s="183"/>
      <c r="I1" s="183"/>
      <c r="J1" s="183"/>
      <c r="K1" s="183"/>
      <c r="L1" s="183"/>
      <c r="M1" s="184"/>
    </row>
    <row r="2" spans="1:14" s="4" customFormat="1" ht="24" customHeight="1" x14ac:dyDescent="0.2">
      <c r="A2" s="1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4"/>
    </row>
    <row r="3" spans="1:14" s="4" customFormat="1" ht="12" customHeight="1" x14ac:dyDescent="0.25">
      <c r="A3" s="186"/>
      <c r="B3" s="187"/>
      <c r="C3" s="187"/>
      <c r="D3" s="187"/>
      <c r="E3" s="188"/>
      <c r="F3" s="189"/>
      <c r="G3" s="189"/>
      <c r="H3" s="189"/>
      <c r="I3" s="189"/>
      <c r="J3" s="189"/>
      <c r="K3" s="189"/>
      <c r="L3" s="189"/>
      <c r="M3" s="184"/>
    </row>
    <row r="4" spans="1:14" s="4" customFormat="1" ht="12" customHeight="1" x14ac:dyDescent="0.25">
      <c r="A4" s="186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84"/>
    </row>
    <row r="5" spans="1:14" s="4" customFormat="1" ht="23.25" customHeight="1" thickBot="1" x14ac:dyDescent="0.3">
      <c r="A5" s="186"/>
      <c r="B5" s="191"/>
      <c r="C5" s="191"/>
      <c r="D5" s="191"/>
      <c r="E5" s="192"/>
      <c r="F5" s="192"/>
      <c r="G5" s="192"/>
      <c r="H5" s="192"/>
      <c r="I5" s="192"/>
      <c r="J5" s="193"/>
      <c r="K5" s="193"/>
      <c r="L5" s="194"/>
      <c r="M5" s="184"/>
    </row>
    <row r="6" spans="1:14" s="4" customFormat="1" ht="19.5" customHeight="1" x14ac:dyDescent="0.25">
      <c r="A6" s="207" t="s">
        <v>0</v>
      </c>
      <c r="B6" s="209" t="s">
        <v>1</v>
      </c>
      <c r="C6" s="209" t="s">
        <v>255</v>
      </c>
      <c r="D6" s="228" t="s">
        <v>256</v>
      </c>
      <c r="E6" s="228"/>
      <c r="F6" s="211" t="s">
        <v>2</v>
      </c>
      <c r="G6" s="211"/>
      <c r="H6" s="224" t="s">
        <v>3</v>
      </c>
      <c r="I6" s="224"/>
      <c r="J6" s="214" t="s">
        <v>4</v>
      </c>
      <c r="K6" s="214"/>
      <c r="L6" s="215" t="s">
        <v>5</v>
      </c>
    </row>
    <row r="7" spans="1:14" s="4" customFormat="1" ht="48.75" customHeight="1" x14ac:dyDescent="0.25">
      <c r="A7" s="208"/>
      <c r="B7" s="210"/>
      <c r="C7" s="210"/>
      <c r="D7" s="195" t="s">
        <v>36</v>
      </c>
      <c r="E7" s="7" t="s">
        <v>37</v>
      </c>
      <c r="F7" s="7" t="s">
        <v>6</v>
      </c>
      <c r="G7" s="7" t="s">
        <v>7</v>
      </c>
      <c r="H7" s="7" t="s">
        <v>6</v>
      </c>
      <c r="I7" s="7" t="s">
        <v>7</v>
      </c>
      <c r="J7" s="7" t="s">
        <v>6</v>
      </c>
      <c r="K7" s="7" t="s">
        <v>7</v>
      </c>
      <c r="L7" s="216"/>
    </row>
    <row r="8" spans="1:14" s="12" customFormat="1" ht="17.25" customHeight="1" thickBot="1" x14ac:dyDescent="0.3">
      <c r="A8" s="13">
        <v>1</v>
      </c>
      <c r="B8" s="9">
        <v>2</v>
      </c>
      <c r="C8" s="10">
        <v>3</v>
      </c>
      <c r="D8" s="9">
        <v>4</v>
      </c>
      <c r="E8" s="10">
        <v>5</v>
      </c>
      <c r="F8" s="9">
        <v>6</v>
      </c>
      <c r="G8" s="10">
        <v>7</v>
      </c>
      <c r="H8" s="9">
        <v>8</v>
      </c>
      <c r="I8" s="10">
        <v>9</v>
      </c>
      <c r="J8" s="9">
        <v>10</v>
      </c>
      <c r="K8" s="10">
        <v>11</v>
      </c>
      <c r="L8" s="139">
        <v>12</v>
      </c>
    </row>
    <row r="9" spans="1:14" ht="44.25" customHeight="1" thickBot="1" x14ac:dyDescent="0.25">
      <c r="A9" s="15"/>
      <c r="B9" s="16" t="s">
        <v>279</v>
      </c>
      <c r="C9" s="17"/>
      <c r="D9" s="18"/>
      <c r="E9" s="19"/>
      <c r="F9" s="19"/>
      <c r="G9" s="19"/>
      <c r="H9" s="19"/>
      <c r="I9" s="19"/>
      <c r="J9" s="19"/>
      <c r="K9" s="19"/>
      <c r="L9" s="20"/>
      <c r="M9" s="21"/>
    </row>
    <row r="10" spans="1:14" ht="24" customHeight="1" x14ac:dyDescent="0.2">
      <c r="A10" s="22">
        <v>1</v>
      </c>
      <c r="B10" s="170" t="s">
        <v>261</v>
      </c>
      <c r="C10" s="48" t="s">
        <v>15</v>
      </c>
      <c r="D10" s="48"/>
      <c r="E10" s="49">
        <v>5581</v>
      </c>
      <c r="F10" s="49"/>
      <c r="G10" s="49"/>
      <c r="H10" s="49"/>
      <c r="I10" s="49"/>
      <c r="J10" s="49"/>
      <c r="K10" s="49"/>
      <c r="L10" s="50"/>
      <c r="M10" s="21"/>
    </row>
    <row r="11" spans="1:14" ht="15" customHeight="1" x14ac:dyDescent="0.2">
      <c r="A11" s="51"/>
      <c r="B11" s="34" t="s">
        <v>257</v>
      </c>
      <c r="C11" s="26" t="s">
        <v>15</v>
      </c>
      <c r="D11" s="64">
        <v>1</v>
      </c>
      <c r="E11" s="27">
        <f>E10*D11</f>
        <v>5581</v>
      </c>
      <c r="F11" s="28"/>
      <c r="G11" s="28"/>
      <c r="H11" s="88">
        <v>0</v>
      </c>
      <c r="I11" s="28">
        <f>H11*E11</f>
        <v>0</v>
      </c>
      <c r="J11" s="28"/>
      <c r="K11" s="28"/>
      <c r="L11" s="30">
        <f>K11+I11+G11</f>
        <v>0</v>
      </c>
      <c r="M11" s="21"/>
    </row>
    <row r="12" spans="1:14" ht="14.25" customHeight="1" x14ac:dyDescent="0.2">
      <c r="A12" s="51"/>
      <c r="B12" s="196" t="s">
        <v>184</v>
      </c>
      <c r="C12" s="26" t="s">
        <v>21</v>
      </c>
      <c r="D12" s="64"/>
      <c r="E12" s="27">
        <v>1</v>
      </c>
      <c r="F12" s="28"/>
      <c r="G12" s="28"/>
      <c r="H12" s="28"/>
      <c r="I12" s="28"/>
      <c r="J12" s="88">
        <v>0</v>
      </c>
      <c r="K12" s="28">
        <f>J12*E12</f>
        <v>0</v>
      </c>
      <c r="L12" s="30">
        <f t="shared" ref="L12:L24" si="0">K12+I12+G12</f>
        <v>0</v>
      </c>
    </row>
    <row r="13" spans="1:14" ht="15.75" customHeight="1" x14ac:dyDescent="0.2">
      <c r="A13" s="51"/>
      <c r="B13" s="196" t="s">
        <v>258</v>
      </c>
      <c r="C13" s="26" t="s">
        <v>21</v>
      </c>
      <c r="D13" s="64"/>
      <c r="E13" s="27">
        <v>1</v>
      </c>
      <c r="F13" s="28"/>
      <c r="G13" s="28"/>
      <c r="H13" s="28"/>
      <c r="I13" s="28"/>
      <c r="J13" s="88">
        <v>0</v>
      </c>
      <c r="K13" s="28">
        <f>J13*E13</f>
        <v>0</v>
      </c>
      <c r="L13" s="30">
        <f t="shared" si="0"/>
        <v>0</v>
      </c>
      <c r="N13" s="21"/>
    </row>
    <row r="14" spans="1:14" ht="12.75" customHeight="1" x14ac:dyDescent="0.2">
      <c r="A14" s="51"/>
      <c r="B14" s="196" t="s">
        <v>260</v>
      </c>
      <c r="C14" s="26" t="s">
        <v>10</v>
      </c>
      <c r="D14" s="64"/>
      <c r="E14" s="27">
        <v>1</v>
      </c>
      <c r="F14" s="28"/>
      <c r="G14" s="28"/>
      <c r="H14" s="28"/>
      <c r="I14" s="28"/>
      <c r="J14" s="88">
        <v>0</v>
      </c>
      <c r="K14" s="28">
        <f>J14*E14</f>
        <v>0</v>
      </c>
      <c r="L14" s="30">
        <f t="shared" si="0"/>
        <v>0</v>
      </c>
      <c r="N14" s="21"/>
    </row>
    <row r="15" spans="1:14" ht="12.75" customHeight="1" x14ac:dyDescent="0.2">
      <c r="A15" s="51"/>
      <c r="B15" s="34" t="s">
        <v>169</v>
      </c>
      <c r="C15" s="26"/>
      <c r="D15" s="64"/>
      <c r="E15" s="27"/>
      <c r="F15" s="28"/>
      <c r="G15" s="28"/>
      <c r="H15" s="28"/>
      <c r="I15" s="28"/>
      <c r="J15" s="28"/>
      <c r="K15" s="28"/>
      <c r="L15" s="30">
        <f t="shared" si="0"/>
        <v>0</v>
      </c>
      <c r="N15" s="3"/>
    </row>
    <row r="16" spans="1:14" ht="27" customHeight="1" x14ac:dyDescent="0.2">
      <c r="A16" s="51"/>
      <c r="B16" s="197" t="s">
        <v>262</v>
      </c>
      <c r="C16" s="168" t="s">
        <v>15</v>
      </c>
      <c r="D16" s="64">
        <v>1.1499999999999999</v>
      </c>
      <c r="E16" s="27">
        <f>E10*D16</f>
        <v>6418.15</v>
      </c>
      <c r="F16" s="88">
        <v>0</v>
      </c>
      <c r="G16" s="28">
        <f>F16*E16</f>
        <v>0</v>
      </c>
      <c r="H16" s="28"/>
      <c r="I16" s="28"/>
      <c r="J16" s="28"/>
      <c r="K16" s="28"/>
      <c r="L16" s="30">
        <f t="shared" si="0"/>
        <v>0</v>
      </c>
      <c r="N16" s="21"/>
    </row>
    <row r="17" spans="1:14" ht="27" customHeight="1" x14ac:dyDescent="0.2">
      <c r="A17" s="51"/>
      <c r="B17" s="197" t="s">
        <v>273</v>
      </c>
      <c r="C17" s="168" t="s">
        <v>17</v>
      </c>
      <c r="D17" s="64">
        <v>1.1499999999999999</v>
      </c>
      <c r="E17" s="27">
        <f>110.5*4*D17</f>
        <v>508.29999999999995</v>
      </c>
      <c r="F17" s="88">
        <v>0</v>
      </c>
      <c r="G17" s="28">
        <f>F17*E17</f>
        <v>0</v>
      </c>
      <c r="H17" s="28"/>
      <c r="I17" s="28"/>
      <c r="J17" s="28"/>
      <c r="K17" s="28"/>
      <c r="L17" s="30">
        <f t="shared" si="0"/>
        <v>0</v>
      </c>
      <c r="N17" s="21"/>
    </row>
    <row r="18" spans="1:14" ht="30" customHeight="1" x14ac:dyDescent="0.2">
      <c r="A18" s="51"/>
      <c r="B18" s="197" t="s">
        <v>263</v>
      </c>
      <c r="C18" s="168" t="s">
        <v>15</v>
      </c>
      <c r="D18" s="64">
        <v>1.1499999999999999</v>
      </c>
      <c r="E18" s="27">
        <f>350*0.5*D18</f>
        <v>201.24999999999997</v>
      </c>
      <c r="F18" s="88">
        <v>0</v>
      </c>
      <c r="G18" s="28">
        <f t="shared" ref="G18:G24" si="1">F18*E18</f>
        <v>0</v>
      </c>
      <c r="H18" s="28"/>
      <c r="I18" s="28"/>
      <c r="J18" s="28"/>
      <c r="K18" s="28"/>
      <c r="L18" s="30">
        <f t="shared" si="0"/>
        <v>0</v>
      </c>
      <c r="N18" s="21"/>
    </row>
    <row r="19" spans="1:14" ht="26.25" customHeight="1" x14ac:dyDescent="0.2">
      <c r="A19" s="51"/>
      <c r="B19" s="197" t="s">
        <v>304</v>
      </c>
      <c r="C19" s="168" t="s">
        <v>17</v>
      </c>
      <c r="D19" s="64">
        <v>1.1499999999999999</v>
      </c>
      <c r="E19" s="27">
        <f>350*D19</f>
        <v>402.49999999999994</v>
      </c>
      <c r="F19" s="88">
        <v>0</v>
      </c>
      <c r="G19" s="28">
        <f t="shared" si="1"/>
        <v>0</v>
      </c>
      <c r="H19" s="28"/>
      <c r="I19" s="28"/>
      <c r="J19" s="28"/>
      <c r="K19" s="28"/>
      <c r="L19" s="30">
        <f t="shared" si="0"/>
        <v>0</v>
      </c>
      <c r="N19" s="21"/>
    </row>
    <row r="20" spans="1:14" ht="25.5" customHeight="1" x14ac:dyDescent="0.2">
      <c r="A20" s="51"/>
      <c r="B20" s="197" t="s">
        <v>305</v>
      </c>
      <c r="C20" s="168" t="s">
        <v>8</v>
      </c>
      <c r="D20" s="64"/>
      <c r="E20" s="52">
        <v>10</v>
      </c>
      <c r="F20" s="88">
        <v>0</v>
      </c>
      <c r="G20" s="28">
        <f t="shared" si="1"/>
        <v>0</v>
      </c>
      <c r="H20" s="28"/>
      <c r="I20" s="28"/>
      <c r="J20" s="28"/>
      <c r="K20" s="28"/>
      <c r="L20" s="30">
        <f t="shared" si="0"/>
        <v>0</v>
      </c>
      <c r="N20" s="21"/>
    </row>
    <row r="21" spans="1:14" ht="12.75" customHeight="1" x14ac:dyDescent="0.2">
      <c r="A21" s="51"/>
      <c r="B21" s="197" t="s">
        <v>264</v>
      </c>
      <c r="C21" s="168" t="s">
        <v>8</v>
      </c>
      <c r="D21" s="64"/>
      <c r="E21" s="27">
        <v>35</v>
      </c>
      <c r="F21" s="88">
        <v>0</v>
      </c>
      <c r="G21" s="28">
        <f t="shared" si="1"/>
        <v>0</v>
      </c>
      <c r="H21" s="28"/>
      <c r="I21" s="28"/>
      <c r="J21" s="28"/>
      <c r="K21" s="28"/>
      <c r="L21" s="30">
        <f t="shared" si="0"/>
        <v>0</v>
      </c>
      <c r="M21" s="21"/>
      <c r="N21" s="21"/>
    </row>
    <row r="22" spans="1:14" ht="12.75" customHeight="1" x14ac:dyDescent="0.2">
      <c r="A22" s="51"/>
      <c r="B22" s="197" t="s">
        <v>265</v>
      </c>
      <c r="C22" s="168" t="s">
        <v>8</v>
      </c>
      <c r="D22" s="64">
        <v>0.6</v>
      </c>
      <c r="E22" s="198">
        <f>E10/D22</f>
        <v>9301.6666666666679</v>
      </c>
      <c r="F22" s="88">
        <v>0</v>
      </c>
      <c r="G22" s="28">
        <f t="shared" si="1"/>
        <v>0</v>
      </c>
      <c r="H22" s="28"/>
      <c r="I22" s="28"/>
      <c r="J22" s="28"/>
      <c r="K22" s="28"/>
      <c r="L22" s="30">
        <f t="shared" si="0"/>
        <v>0</v>
      </c>
      <c r="M22" s="21"/>
      <c r="N22" s="21"/>
    </row>
    <row r="23" spans="1:14" ht="12.75" customHeight="1" x14ac:dyDescent="0.2">
      <c r="A23" s="51"/>
      <c r="B23" s="197" t="s">
        <v>266</v>
      </c>
      <c r="C23" s="168" t="s">
        <v>267</v>
      </c>
      <c r="D23" s="64"/>
      <c r="E23" s="198">
        <v>1</v>
      </c>
      <c r="F23" s="88">
        <v>0</v>
      </c>
      <c r="G23" s="28">
        <f t="shared" si="1"/>
        <v>0</v>
      </c>
      <c r="H23" s="28"/>
      <c r="I23" s="28"/>
      <c r="J23" s="28"/>
      <c r="K23" s="28"/>
      <c r="L23" s="30">
        <f t="shared" si="0"/>
        <v>0</v>
      </c>
      <c r="M23" s="21"/>
      <c r="N23" s="21"/>
    </row>
    <row r="24" spans="1:14" ht="12.75" customHeight="1" x14ac:dyDescent="0.2">
      <c r="A24" s="51"/>
      <c r="B24" s="197" t="s">
        <v>163</v>
      </c>
      <c r="C24" s="26" t="s">
        <v>15</v>
      </c>
      <c r="D24" s="64"/>
      <c r="E24" s="27">
        <f>E11</f>
        <v>5581</v>
      </c>
      <c r="F24" s="88">
        <v>0</v>
      </c>
      <c r="G24" s="28">
        <f t="shared" si="1"/>
        <v>0</v>
      </c>
      <c r="H24" s="28"/>
      <c r="I24" s="28"/>
      <c r="J24" s="28"/>
      <c r="K24" s="28"/>
      <c r="L24" s="30">
        <f t="shared" si="0"/>
        <v>0</v>
      </c>
    </row>
    <row r="25" spans="1:14" ht="12.75" customHeight="1" x14ac:dyDescent="0.2">
      <c r="A25" s="22">
        <v>2</v>
      </c>
      <c r="B25" s="170" t="s">
        <v>268</v>
      </c>
      <c r="C25" s="33" t="s">
        <v>16</v>
      </c>
      <c r="D25" s="48"/>
      <c r="E25" s="49">
        <f>E32+E33</f>
        <v>134.78115</v>
      </c>
      <c r="F25" s="49"/>
      <c r="G25" s="49"/>
      <c r="H25" s="49"/>
      <c r="I25" s="49"/>
      <c r="J25" s="49"/>
      <c r="K25" s="49"/>
      <c r="L25" s="50"/>
      <c r="M25" s="21"/>
    </row>
    <row r="26" spans="1:14" ht="12.75" customHeight="1" x14ac:dyDescent="0.2">
      <c r="A26" s="51"/>
      <c r="B26" s="34" t="s">
        <v>257</v>
      </c>
      <c r="C26" s="26" t="s">
        <v>16</v>
      </c>
      <c r="D26" s="64"/>
      <c r="E26" s="27">
        <f>E25</f>
        <v>134.78115</v>
      </c>
      <c r="F26" s="28"/>
      <c r="G26" s="28"/>
      <c r="H26" s="88">
        <v>0</v>
      </c>
      <c r="I26" s="28">
        <f>H26*E26</f>
        <v>0</v>
      </c>
      <c r="J26" s="28"/>
      <c r="K26" s="28"/>
      <c r="L26" s="30">
        <f>K26+I26+G26</f>
        <v>0</v>
      </c>
      <c r="M26" s="21"/>
    </row>
    <row r="27" spans="1:14" ht="15.75" customHeight="1" x14ac:dyDescent="0.2">
      <c r="A27" s="51"/>
      <c r="B27" s="196" t="s">
        <v>184</v>
      </c>
      <c r="C27" s="26" t="s">
        <v>21</v>
      </c>
      <c r="D27" s="64"/>
      <c r="E27" s="27">
        <v>1</v>
      </c>
      <c r="F27" s="28"/>
      <c r="G27" s="28"/>
      <c r="H27" s="28"/>
      <c r="I27" s="28"/>
      <c r="J27" s="88">
        <v>0</v>
      </c>
      <c r="K27" s="28">
        <f>J27*E27</f>
        <v>0</v>
      </c>
      <c r="L27" s="30">
        <f t="shared" ref="L27:L38" si="2">K27+I27+G27</f>
        <v>0</v>
      </c>
    </row>
    <row r="28" spans="1:14" ht="15.75" customHeight="1" x14ac:dyDescent="0.2">
      <c r="A28" s="51"/>
      <c r="B28" s="196" t="s">
        <v>258</v>
      </c>
      <c r="C28" s="26" t="s">
        <v>21</v>
      </c>
      <c r="D28" s="64"/>
      <c r="E28" s="27">
        <v>1</v>
      </c>
      <c r="F28" s="28"/>
      <c r="G28" s="28"/>
      <c r="H28" s="28"/>
      <c r="I28" s="28"/>
      <c r="J28" s="88">
        <v>0</v>
      </c>
      <c r="K28" s="28">
        <f>J28*E28</f>
        <v>0</v>
      </c>
      <c r="L28" s="30">
        <f t="shared" si="2"/>
        <v>0</v>
      </c>
      <c r="N28" s="21"/>
    </row>
    <row r="29" spans="1:14" ht="16.5" customHeight="1" x14ac:dyDescent="0.2">
      <c r="A29" s="51"/>
      <c r="B29" s="196" t="s">
        <v>269</v>
      </c>
      <c r="C29" s="26" t="s">
        <v>259</v>
      </c>
      <c r="D29" s="64"/>
      <c r="E29" s="27">
        <v>14</v>
      </c>
      <c r="F29" s="28"/>
      <c r="G29" s="28"/>
      <c r="H29" s="28"/>
      <c r="I29" s="28"/>
      <c r="J29" s="88">
        <v>0</v>
      </c>
      <c r="K29" s="28">
        <f>J29*E29</f>
        <v>0</v>
      </c>
      <c r="L29" s="30">
        <f t="shared" si="2"/>
        <v>0</v>
      </c>
    </row>
    <row r="30" spans="1:14" ht="12.75" customHeight="1" x14ac:dyDescent="0.2">
      <c r="A30" s="51"/>
      <c r="B30" s="196" t="s">
        <v>175</v>
      </c>
      <c r="C30" s="26" t="s">
        <v>10</v>
      </c>
      <c r="D30" s="64"/>
      <c r="E30" s="27">
        <v>1</v>
      </c>
      <c r="F30" s="28"/>
      <c r="G30" s="28"/>
      <c r="H30" s="28"/>
      <c r="I30" s="28"/>
      <c r="J30" s="88">
        <v>0</v>
      </c>
      <c r="K30" s="28">
        <f>J30*E30</f>
        <v>0</v>
      </c>
      <c r="L30" s="30">
        <f t="shared" si="2"/>
        <v>0</v>
      </c>
      <c r="N30" s="21"/>
    </row>
    <row r="31" spans="1:14" ht="12.75" customHeight="1" x14ac:dyDescent="0.2">
      <c r="A31" s="51"/>
      <c r="B31" s="34" t="s">
        <v>169</v>
      </c>
      <c r="C31" s="26"/>
      <c r="D31" s="64"/>
      <c r="E31" s="27"/>
      <c r="F31" s="28"/>
      <c r="G31" s="28"/>
      <c r="H31" s="28"/>
      <c r="I31" s="28"/>
      <c r="J31" s="28"/>
      <c r="K31" s="28"/>
      <c r="L31" s="30">
        <f t="shared" si="2"/>
        <v>0</v>
      </c>
      <c r="N31" s="3"/>
    </row>
    <row r="32" spans="1:14" ht="17.25" customHeight="1" x14ac:dyDescent="0.2">
      <c r="A32" s="51"/>
      <c r="B32" s="197" t="s">
        <v>276</v>
      </c>
      <c r="C32" s="168" t="s">
        <v>16</v>
      </c>
      <c r="D32" s="199"/>
      <c r="E32" s="52">
        <f>0.1*0.15*5581*1.15</f>
        <v>96.27225</v>
      </c>
      <c r="F32" s="88">
        <v>0</v>
      </c>
      <c r="G32" s="28">
        <f>F32*E32</f>
        <v>0</v>
      </c>
      <c r="H32" s="28"/>
      <c r="I32" s="28"/>
      <c r="J32" s="28"/>
      <c r="K32" s="28"/>
      <c r="L32" s="30">
        <f t="shared" si="2"/>
        <v>0</v>
      </c>
      <c r="N32" s="21"/>
    </row>
    <row r="33" spans="1:14" ht="15" customHeight="1" x14ac:dyDescent="0.2">
      <c r="A33" s="51"/>
      <c r="B33" s="197" t="s">
        <v>274</v>
      </c>
      <c r="C33" s="168" t="s">
        <v>16</v>
      </c>
      <c r="D33" s="199"/>
      <c r="E33" s="52">
        <f>0.1*0.03*2*5581*1.15</f>
        <v>38.508900000000004</v>
      </c>
      <c r="F33" s="88">
        <v>0</v>
      </c>
      <c r="G33" s="28">
        <f>F33*E33</f>
        <v>0</v>
      </c>
      <c r="H33" s="28"/>
      <c r="I33" s="28"/>
      <c r="J33" s="28"/>
      <c r="K33" s="28"/>
      <c r="L33" s="30">
        <f t="shared" si="2"/>
        <v>0</v>
      </c>
      <c r="N33" s="21"/>
    </row>
    <row r="34" spans="1:14" ht="16.5" customHeight="1" x14ac:dyDescent="0.2">
      <c r="A34" s="51"/>
      <c r="B34" s="197" t="s">
        <v>277</v>
      </c>
      <c r="C34" s="168" t="s">
        <v>16</v>
      </c>
      <c r="D34" s="199"/>
      <c r="E34" s="52">
        <f>E33+E32</f>
        <v>134.78115</v>
      </c>
      <c r="F34" s="88">
        <v>0</v>
      </c>
      <c r="G34" s="28">
        <f>F34*E34</f>
        <v>0</v>
      </c>
      <c r="H34" s="28"/>
      <c r="I34" s="28"/>
      <c r="J34" s="28"/>
      <c r="K34" s="28"/>
      <c r="L34" s="30">
        <f t="shared" si="2"/>
        <v>0</v>
      </c>
      <c r="N34" s="21"/>
    </row>
    <row r="35" spans="1:14" ht="15.75" customHeight="1" x14ac:dyDescent="0.2">
      <c r="A35" s="51"/>
      <c r="B35" s="197" t="s">
        <v>278</v>
      </c>
      <c r="C35" s="168" t="s">
        <v>9</v>
      </c>
      <c r="D35" s="199"/>
      <c r="E35" s="52">
        <v>665</v>
      </c>
      <c r="F35" s="88">
        <v>0</v>
      </c>
      <c r="G35" s="28">
        <f t="shared" ref="G35:G38" si="3">F35*E35</f>
        <v>0</v>
      </c>
      <c r="H35" s="28"/>
      <c r="I35" s="28"/>
      <c r="J35" s="28"/>
      <c r="K35" s="28"/>
      <c r="L35" s="30">
        <f t="shared" si="2"/>
        <v>0</v>
      </c>
      <c r="M35" s="21"/>
      <c r="N35" s="21"/>
    </row>
    <row r="36" spans="1:14" ht="15.75" customHeight="1" x14ac:dyDescent="0.2">
      <c r="A36" s="51"/>
      <c r="B36" s="197" t="s">
        <v>275</v>
      </c>
      <c r="C36" s="168" t="s">
        <v>9</v>
      </c>
      <c r="D36" s="199"/>
      <c r="E36" s="52">
        <v>35</v>
      </c>
      <c r="F36" s="88">
        <v>0</v>
      </c>
      <c r="G36" s="28">
        <f t="shared" ref="G36" si="4">F36*E36</f>
        <v>0</v>
      </c>
      <c r="H36" s="28"/>
      <c r="I36" s="28"/>
      <c r="J36" s="28"/>
      <c r="K36" s="28"/>
      <c r="L36" s="30">
        <f t="shared" si="2"/>
        <v>0</v>
      </c>
      <c r="M36" s="21"/>
      <c r="N36" s="21"/>
    </row>
    <row r="37" spans="1:14" ht="12.75" customHeight="1" x14ac:dyDescent="0.2">
      <c r="A37" s="51"/>
      <c r="B37" s="197" t="s">
        <v>270</v>
      </c>
      <c r="C37" s="168" t="s">
        <v>8</v>
      </c>
      <c r="D37" s="64"/>
      <c r="E37" s="27">
        <v>4375</v>
      </c>
      <c r="F37" s="88">
        <v>0</v>
      </c>
      <c r="G37" s="28">
        <f t="shared" si="3"/>
        <v>0</v>
      </c>
      <c r="H37" s="28"/>
      <c r="I37" s="28"/>
      <c r="J37" s="28"/>
      <c r="K37" s="28"/>
      <c r="L37" s="30">
        <f t="shared" si="2"/>
        <v>0</v>
      </c>
      <c r="M37" s="21"/>
      <c r="N37" s="21"/>
    </row>
    <row r="38" spans="1:14" ht="19.5" customHeight="1" x14ac:dyDescent="0.2">
      <c r="A38" s="51"/>
      <c r="B38" s="197" t="s">
        <v>163</v>
      </c>
      <c r="C38" s="168" t="s">
        <v>10</v>
      </c>
      <c r="D38" s="199"/>
      <c r="E38" s="52">
        <v>1</v>
      </c>
      <c r="F38" s="88">
        <v>0</v>
      </c>
      <c r="G38" s="28">
        <f t="shared" si="3"/>
        <v>0</v>
      </c>
      <c r="H38" s="28"/>
      <c r="I38" s="28"/>
      <c r="J38" s="28"/>
      <c r="K38" s="28"/>
      <c r="L38" s="30">
        <f t="shared" si="2"/>
        <v>0</v>
      </c>
    </row>
    <row r="39" spans="1:14" ht="15" customHeight="1" x14ac:dyDescent="0.2">
      <c r="A39" s="22">
        <v>3</v>
      </c>
      <c r="B39" s="170" t="s">
        <v>271</v>
      </c>
      <c r="C39" s="33" t="s">
        <v>15</v>
      </c>
      <c r="D39" s="48"/>
      <c r="E39" s="49">
        <f>E9</f>
        <v>0</v>
      </c>
      <c r="F39" s="49"/>
      <c r="G39" s="49"/>
      <c r="H39" s="49"/>
      <c r="I39" s="49"/>
      <c r="J39" s="49"/>
      <c r="K39" s="49"/>
      <c r="L39" s="50"/>
      <c r="M39" s="21"/>
    </row>
    <row r="40" spans="1:14" s="57" customFormat="1" ht="16.5" customHeight="1" x14ac:dyDescent="0.2">
      <c r="A40" s="91"/>
      <c r="B40" s="34" t="s">
        <v>257</v>
      </c>
      <c r="C40" s="168" t="s">
        <v>20</v>
      </c>
      <c r="D40" s="64"/>
      <c r="E40" s="27">
        <v>1</v>
      </c>
      <c r="F40" s="28"/>
      <c r="G40" s="28"/>
      <c r="H40" s="88">
        <v>0</v>
      </c>
      <c r="I40" s="28">
        <f>H40*E40</f>
        <v>0</v>
      </c>
      <c r="J40" s="28"/>
      <c r="K40" s="28"/>
      <c r="L40" s="30">
        <f>K40+I40+G40</f>
        <v>0</v>
      </c>
      <c r="M40" s="94"/>
    </row>
    <row r="41" spans="1:14" s="57" customFormat="1" ht="42.75" customHeight="1" x14ac:dyDescent="0.2">
      <c r="A41" s="91"/>
      <c r="B41" s="171" t="s">
        <v>272</v>
      </c>
      <c r="C41" s="26" t="s">
        <v>20</v>
      </c>
      <c r="D41" s="64"/>
      <c r="E41" s="27">
        <v>1</v>
      </c>
      <c r="F41" s="28"/>
      <c r="G41" s="28"/>
      <c r="H41" s="28"/>
      <c r="I41" s="28"/>
      <c r="J41" s="177">
        <v>0</v>
      </c>
      <c r="K41" s="28">
        <f>J41*E41</f>
        <v>0</v>
      </c>
      <c r="L41" s="30">
        <f t="shared" ref="L41" si="5">K41+I41+G41</f>
        <v>0</v>
      </c>
      <c r="M41" s="94"/>
    </row>
    <row r="42" spans="1:14" ht="31.5" customHeight="1" x14ac:dyDescent="0.2">
      <c r="A42" s="22">
        <v>4</v>
      </c>
      <c r="B42" s="170" t="s">
        <v>112</v>
      </c>
      <c r="C42" s="33" t="s">
        <v>20</v>
      </c>
      <c r="D42" s="48"/>
      <c r="E42" s="49">
        <v>1</v>
      </c>
      <c r="F42" s="49"/>
      <c r="G42" s="49"/>
      <c r="H42" s="49"/>
      <c r="I42" s="49"/>
      <c r="J42" s="49"/>
      <c r="K42" s="49"/>
      <c r="L42" s="50"/>
      <c r="M42" s="21"/>
    </row>
    <row r="43" spans="1:14" ht="17.25" customHeight="1" x14ac:dyDescent="0.2">
      <c r="A43" s="51"/>
      <c r="B43" s="25" t="s">
        <v>113</v>
      </c>
      <c r="C43" s="26" t="s">
        <v>20</v>
      </c>
      <c r="D43" s="64"/>
      <c r="E43" s="27">
        <v>1</v>
      </c>
      <c r="F43" s="28"/>
      <c r="G43" s="28"/>
      <c r="H43" s="88">
        <v>0</v>
      </c>
      <c r="I43" s="28">
        <f>H43*E43</f>
        <v>0</v>
      </c>
      <c r="J43" s="28"/>
      <c r="K43" s="28"/>
      <c r="L43" s="200">
        <f>K43+I43+G43</f>
        <v>0</v>
      </c>
      <c r="M43" s="21"/>
    </row>
    <row r="44" spans="1:14" ht="17.25" customHeight="1" x14ac:dyDescent="0.2">
      <c r="A44" s="51"/>
      <c r="B44" s="25" t="s">
        <v>114</v>
      </c>
      <c r="C44" s="26" t="s">
        <v>20</v>
      </c>
      <c r="D44" s="64"/>
      <c r="E44" s="27">
        <f>E42</f>
        <v>1</v>
      </c>
      <c r="F44" s="28"/>
      <c r="G44" s="28"/>
      <c r="H44" s="88">
        <v>0</v>
      </c>
      <c r="I44" s="28">
        <f>H44*E44</f>
        <v>0</v>
      </c>
      <c r="J44" s="28"/>
      <c r="K44" s="28"/>
      <c r="L44" s="200">
        <f>K44+I44+G44</f>
        <v>0</v>
      </c>
      <c r="M44" s="21"/>
    </row>
    <row r="45" spans="1:14" ht="17.25" customHeight="1" x14ac:dyDescent="0.25">
      <c r="A45" s="24">
        <v>5</v>
      </c>
      <c r="B45" s="25" t="s">
        <v>288</v>
      </c>
      <c r="C45" s="26" t="s">
        <v>20</v>
      </c>
      <c r="D45" s="64"/>
      <c r="E45" s="27">
        <v>1</v>
      </c>
      <c r="F45" s="89">
        <v>0</v>
      </c>
      <c r="G45" s="29">
        <f t="shared" ref="G45" si="6">F45*E45</f>
        <v>0</v>
      </c>
      <c r="H45" s="88">
        <v>0</v>
      </c>
      <c r="I45" s="29">
        <f t="shared" ref="I45" si="7">H45*E45</f>
        <v>0</v>
      </c>
      <c r="J45" s="89">
        <v>0</v>
      </c>
      <c r="K45" s="29">
        <f t="shared" ref="K45" si="8">J45*E45</f>
        <v>0</v>
      </c>
      <c r="L45" s="200">
        <f t="shared" ref="L45" si="9">K45+I45+G45</f>
        <v>0</v>
      </c>
      <c r="M45" s="21"/>
    </row>
    <row r="46" spans="1:14" s="72" customFormat="1" ht="16.5" customHeight="1" x14ac:dyDescent="0.25">
      <c r="A46" s="22"/>
      <c r="B46" s="48" t="s">
        <v>7</v>
      </c>
      <c r="C46" s="69"/>
      <c r="D46" s="48"/>
      <c r="E46" s="49"/>
      <c r="F46" s="49"/>
      <c r="G46" s="70">
        <f>SUM(G11:G45)</f>
        <v>0</v>
      </c>
      <c r="H46" s="49"/>
      <c r="I46" s="70">
        <f>SUM(I11:I45)</f>
        <v>0</v>
      </c>
      <c r="J46" s="49"/>
      <c r="K46" s="70">
        <f>SUM(K11:K45)</f>
        <v>0</v>
      </c>
      <c r="L46" s="71">
        <f>SUM(L11:L45)</f>
        <v>0</v>
      </c>
    </row>
    <row r="47" spans="1:14" s="12" customFormat="1" ht="18.75" customHeight="1" x14ac:dyDescent="0.25">
      <c r="A47" s="91"/>
      <c r="B47" s="201" t="s">
        <v>18</v>
      </c>
      <c r="C47" s="90">
        <v>0</v>
      </c>
      <c r="D47" s="18"/>
      <c r="E47" s="19"/>
      <c r="F47" s="19"/>
      <c r="G47" s="19"/>
      <c r="H47" s="19"/>
      <c r="I47" s="19"/>
      <c r="J47" s="19"/>
      <c r="K47" s="19"/>
      <c r="L47" s="202">
        <f>C47*G46</f>
        <v>0</v>
      </c>
    </row>
    <row r="48" spans="1:14" s="12" customFormat="1" ht="12.75" customHeight="1" x14ac:dyDescent="0.25">
      <c r="A48" s="22"/>
      <c r="B48" s="48" t="s">
        <v>7</v>
      </c>
      <c r="C48" s="78"/>
      <c r="D48" s="48"/>
      <c r="E48" s="49"/>
      <c r="F48" s="49"/>
      <c r="G48" s="49"/>
      <c r="H48" s="49"/>
      <c r="I48" s="49"/>
      <c r="J48" s="49"/>
      <c r="K48" s="49"/>
      <c r="L48" s="71">
        <f>L47+L46</f>
        <v>0</v>
      </c>
    </row>
    <row r="49" spans="1:13" s="12" customFormat="1" ht="12.75" customHeight="1" x14ac:dyDescent="0.25">
      <c r="A49" s="91"/>
      <c r="B49" s="18" t="s">
        <v>11</v>
      </c>
      <c r="C49" s="90">
        <v>0</v>
      </c>
      <c r="D49" s="18"/>
      <c r="E49" s="19"/>
      <c r="F49" s="19"/>
      <c r="G49" s="19"/>
      <c r="H49" s="19"/>
      <c r="I49" s="19"/>
      <c r="J49" s="19"/>
      <c r="K49" s="19"/>
      <c r="L49" s="202">
        <f>L48*C49</f>
        <v>0</v>
      </c>
    </row>
    <row r="50" spans="1:13" s="12" customFormat="1" ht="12.75" customHeight="1" x14ac:dyDescent="0.25">
      <c r="A50" s="22"/>
      <c r="B50" s="48" t="s">
        <v>7</v>
      </c>
      <c r="C50" s="78"/>
      <c r="D50" s="48"/>
      <c r="E50" s="49"/>
      <c r="F50" s="49"/>
      <c r="G50" s="49"/>
      <c r="H50" s="49"/>
      <c r="I50" s="49"/>
      <c r="J50" s="49"/>
      <c r="K50" s="49"/>
      <c r="L50" s="71">
        <f>L49+L48</f>
        <v>0</v>
      </c>
    </row>
    <row r="51" spans="1:13" s="12" customFormat="1" ht="12.75" customHeight="1" x14ac:dyDescent="0.25">
      <c r="A51" s="91"/>
      <c r="B51" s="18" t="s">
        <v>12</v>
      </c>
      <c r="C51" s="90">
        <v>0</v>
      </c>
      <c r="D51" s="18"/>
      <c r="E51" s="19"/>
      <c r="F51" s="19"/>
      <c r="G51" s="19"/>
      <c r="H51" s="19"/>
      <c r="I51" s="19"/>
      <c r="J51" s="19"/>
      <c r="K51" s="19"/>
      <c r="L51" s="202">
        <f>L50*C51</f>
        <v>0</v>
      </c>
    </row>
    <row r="52" spans="1:13" s="12" customFormat="1" ht="12.75" customHeight="1" x14ac:dyDescent="0.25">
      <c r="A52" s="22"/>
      <c r="B52" s="48" t="s">
        <v>7</v>
      </c>
      <c r="C52" s="78"/>
      <c r="D52" s="48"/>
      <c r="E52" s="49"/>
      <c r="F52" s="49"/>
      <c r="G52" s="49"/>
      <c r="H52" s="49"/>
      <c r="I52" s="49"/>
      <c r="J52" s="49"/>
      <c r="K52" s="49"/>
      <c r="L52" s="71">
        <f>L50+L51</f>
        <v>0</v>
      </c>
    </row>
    <row r="53" spans="1:13" s="12" customFormat="1" ht="12.75" customHeight="1" x14ac:dyDescent="0.25">
      <c r="A53" s="91"/>
      <c r="B53" s="18" t="s">
        <v>13</v>
      </c>
      <c r="C53" s="90">
        <v>0</v>
      </c>
      <c r="D53" s="18"/>
      <c r="E53" s="19"/>
      <c r="F53" s="19"/>
      <c r="G53" s="19"/>
      <c r="H53" s="19"/>
      <c r="I53" s="19"/>
      <c r="J53" s="19"/>
      <c r="K53" s="19"/>
      <c r="L53" s="202">
        <f>L52*C53</f>
        <v>0</v>
      </c>
    </row>
    <row r="54" spans="1:13" s="12" customFormat="1" ht="12.75" customHeight="1" x14ac:dyDescent="0.25">
      <c r="A54" s="22"/>
      <c r="B54" s="48" t="s">
        <v>7</v>
      </c>
      <c r="C54" s="78"/>
      <c r="D54" s="48"/>
      <c r="E54" s="49"/>
      <c r="F54" s="49"/>
      <c r="G54" s="49"/>
      <c r="H54" s="49"/>
      <c r="I54" s="49"/>
      <c r="J54" s="49"/>
      <c r="K54" s="49"/>
      <c r="L54" s="71">
        <f>L52+L53</f>
        <v>0</v>
      </c>
    </row>
    <row r="55" spans="1:13" s="12" customFormat="1" ht="12.75" customHeight="1" x14ac:dyDescent="0.25">
      <c r="A55" s="91"/>
      <c r="B55" s="18" t="s">
        <v>14</v>
      </c>
      <c r="C55" s="90">
        <v>0</v>
      </c>
      <c r="D55" s="18"/>
      <c r="E55" s="19"/>
      <c r="F55" s="19"/>
      <c r="G55" s="19"/>
      <c r="H55" s="19"/>
      <c r="I55" s="19"/>
      <c r="J55" s="19"/>
      <c r="K55" s="19"/>
      <c r="L55" s="202">
        <f>L54*C55</f>
        <v>0</v>
      </c>
    </row>
    <row r="56" spans="1:13" s="12" customFormat="1" ht="18.75" customHeight="1" x14ac:dyDescent="0.25">
      <c r="A56" s="22"/>
      <c r="B56" s="48" t="s">
        <v>7</v>
      </c>
      <c r="C56" s="80"/>
      <c r="D56" s="48"/>
      <c r="E56" s="49"/>
      <c r="F56" s="49"/>
      <c r="G56" s="49"/>
      <c r="H56" s="49"/>
      <c r="I56" s="49"/>
      <c r="J56" s="49"/>
      <c r="K56" s="49"/>
      <c r="L56" s="71">
        <f>L54+L55</f>
        <v>0</v>
      </c>
    </row>
    <row r="57" spans="1:13" s="12" customFormat="1" ht="12.75" customHeight="1" x14ac:dyDescent="0.25">
      <c r="A57" s="91"/>
      <c r="B57" s="18" t="s">
        <v>19</v>
      </c>
      <c r="C57" s="90">
        <v>0</v>
      </c>
      <c r="D57" s="18"/>
      <c r="E57" s="19"/>
      <c r="F57" s="19"/>
      <c r="G57" s="19"/>
      <c r="H57" s="19"/>
      <c r="I57" s="19"/>
      <c r="J57" s="19"/>
      <c r="K57" s="19"/>
      <c r="L57" s="202">
        <f>L56*C57</f>
        <v>0</v>
      </c>
    </row>
    <row r="58" spans="1:13" s="12" customFormat="1" ht="12.75" customHeight="1" thickBot="1" x14ac:dyDescent="0.3">
      <c r="A58" s="81"/>
      <c r="B58" s="82" t="s">
        <v>7</v>
      </c>
      <c r="C58" s="83"/>
      <c r="D58" s="82"/>
      <c r="E58" s="84"/>
      <c r="F58" s="84"/>
      <c r="G58" s="84"/>
      <c r="H58" s="84"/>
      <c r="I58" s="84"/>
      <c r="J58" s="84"/>
      <c r="K58" s="84"/>
      <c r="L58" s="85">
        <f>L56+L57</f>
        <v>0</v>
      </c>
    </row>
    <row r="59" spans="1:13" ht="12.75" customHeight="1" x14ac:dyDescent="0.2">
      <c r="L59" s="21"/>
      <c r="M59" s="21"/>
    </row>
    <row r="60" spans="1:13" ht="12.75" customHeight="1" x14ac:dyDescent="0.2">
      <c r="L60" s="21"/>
      <c r="M60" s="21"/>
    </row>
    <row r="61" spans="1:13" ht="12.75" customHeight="1" x14ac:dyDescent="0.2">
      <c r="K61" s="86"/>
      <c r="L61" s="87"/>
      <c r="M61" s="21"/>
    </row>
    <row r="62" spans="1:13" ht="12.75" customHeight="1" x14ac:dyDescent="0.2"/>
    <row r="63" spans="1:13" ht="12.75" customHeight="1" x14ac:dyDescent="0.2"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</row>
    <row r="64" spans="1:13" ht="12.75" customHeight="1" x14ac:dyDescent="0.2"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</row>
    <row r="65" spans="2:12" ht="12.75" customHeight="1" x14ac:dyDescent="0.2"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</row>
    <row r="66" spans="2:12" ht="12.75" customHeight="1" x14ac:dyDescent="0.2"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</row>
    <row r="67" spans="2:12" ht="13.5" customHeight="1" x14ac:dyDescent="0.2"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</row>
    <row r="68" spans="2:12" ht="12" customHeight="1" x14ac:dyDescent="0.2"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</row>
    <row r="69" spans="2:12" ht="12" customHeight="1" x14ac:dyDescent="0.2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</row>
    <row r="70" spans="2:12" ht="12" customHeight="1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</row>
    <row r="71" spans="2:12" ht="12" customHeight="1" x14ac:dyDescent="0.2"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</row>
    <row r="72" spans="2:12" ht="12" customHeight="1" x14ac:dyDescent="0.2"/>
    <row r="73" spans="2:12" ht="12" customHeight="1" x14ac:dyDescent="0.2"/>
    <row r="74" spans="2:12" ht="12" customHeight="1" x14ac:dyDescent="0.2"/>
    <row r="75" spans="2:12" ht="12" customHeight="1" x14ac:dyDescent="0.2"/>
    <row r="76" spans="2:12" ht="12" customHeight="1" x14ac:dyDescent="0.2"/>
    <row r="77" spans="2:12" ht="12" customHeight="1" x14ac:dyDescent="0.2"/>
    <row r="78" spans="2:12" ht="12" customHeight="1" x14ac:dyDescent="0.2"/>
    <row r="79" spans="2:12" ht="12" customHeight="1" x14ac:dyDescent="0.2"/>
    <row r="80" spans="2:12" ht="12" customHeight="1" x14ac:dyDescent="0.2"/>
    <row r="81" ht="12" customHeight="1" x14ac:dyDescent="0.2"/>
    <row r="82" ht="12" customHeight="1" x14ac:dyDescent="0.2"/>
    <row r="83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sheetProtection algorithmName="SHA-512" hashValue="KixcB7CDbmboVbkxBv3sg1NRiqBt9lhi1lQMxNftA2vieRY9wmwFAIRw4KKDsj4rKoTYybKqZZC5mbSLlEAYSw==" saltValue="Ms+kkpkH8sNdiGmeksA9uw==" spinCount="100000" sheet="1" objects="1" scenarios="1"/>
  <mergeCells count="8">
    <mergeCell ref="F6:G6"/>
    <mergeCell ref="H6:I6"/>
    <mergeCell ref="J6:K6"/>
    <mergeCell ref="L6:L7"/>
    <mergeCell ref="A6:A7"/>
    <mergeCell ref="B6:B7"/>
    <mergeCell ref="C6:C7"/>
    <mergeCell ref="D6:E6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თავფურცელი</vt:lpstr>
      <vt:lpstr>1. მძღოლების შენობა</vt:lpstr>
      <vt:lpstr>2. რკ.ბეტონის ფილა #1</vt:lpstr>
      <vt:lpstr>3. ბაქნის გადახურვა</vt:lpstr>
      <vt:lpstr>4. გზის წერტ. აღდგენა</vt:lpstr>
      <vt:lpstr>5. ბაქნის გადახურვა (ნედლეული) </vt:lpstr>
      <vt:lpstr>6. რკ.ბეტონის ფილა #2</vt:lpstr>
      <vt:lpstr>7. გზის მოასფალტება-მობეტონება</vt:lpstr>
      <vt:lpstr>8. გადახურვა_ნედლეულის საწყობი</vt:lpstr>
      <vt:lpstr>9. სახურავის შეკეთება(მზა პ.)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2025-10-05T13:56:43Z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2025-07-11T09:02:37Z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6bf2e7bd-b432-4d0a-a9a2-cae6d413e460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