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GlobalTech\Desktop\"/>
    </mc:Choice>
  </mc:AlternateContent>
  <xr:revisionPtr revIDLastSave="0" documentId="13_ncr:1_{26BCA0DF-1198-4EE1-9365-8B81DBAB565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სამუშაო" sheetId="3" r:id="rId1"/>
  </sheets>
  <definedNames>
    <definedName name="_xlnm.Print_Area" localSheetId="0">სამუშაო!$A$1:$K$113</definedName>
  </definedNames>
  <calcPr calcId="191029"/>
</workbook>
</file>

<file path=xl/calcChain.xml><?xml version="1.0" encoding="utf-8"?>
<calcChain xmlns="http://schemas.openxmlformats.org/spreadsheetml/2006/main">
  <c r="D8" i="3" l="1"/>
  <c r="D100" i="3"/>
  <c r="D99" i="3"/>
  <c r="D98" i="3"/>
  <c r="D95" i="3"/>
  <c r="D93" i="3"/>
  <c r="C93" i="3"/>
  <c r="D91" i="3"/>
  <c r="D90" i="3"/>
  <c r="D89" i="3"/>
  <c r="D88" i="3"/>
  <c r="D82" i="3"/>
  <c r="C82" i="3"/>
  <c r="D81" i="3"/>
  <c r="D86" i="3" s="1"/>
  <c r="D80" i="3"/>
  <c r="D79" i="3"/>
  <c r="C79" i="3"/>
  <c r="D77" i="3"/>
  <c r="D76" i="3"/>
  <c r="C76" i="3"/>
  <c r="D74" i="3"/>
  <c r="D71" i="3"/>
  <c r="D70" i="3"/>
  <c r="D68" i="3"/>
  <c r="D67" i="3"/>
  <c r="D66" i="3"/>
  <c r="D65" i="3"/>
  <c r="D64" i="3"/>
  <c r="D63" i="3"/>
  <c r="D62" i="3"/>
  <c r="D61" i="3"/>
  <c r="D60" i="3"/>
  <c r="D59" i="3"/>
  <c r="D58" i="3"/>
  <c r="D57" i="3"/>
  <c r="D56" i="3"/>
  <c r="D55" i="3"/>
  <c r="D54" i="3"/>
  <c r="D53" i="3"/>
  <c r="D51" i="3"/>
  <c r="D50" i="3"/>
  <c r="D49" i="3"/>
  <c r="D48" i="3"/>
  <c r="D47" i="3"/>
  <c r="D46" i="3"/>
  <c r="D45" i="3"/>
  <c r="D43" i="3"/>
  <c r="D42" i="3"/>
  <c r="D41" i="3"/>
  <c r="D40" i="3"/>
  <c r="D39" i="3"/>
  <c r="D37" i="3"/>
  <c r="D36" i="3"/>
  <c r="D34" i="3"/>
  <c r="D33" i="3"/>
  <c r="D35" i="3" s="1"/>
  <c r="D32" i="3"/>
  <c r="D31" i="3"/>
  <c r="D30" i="3"/>
  <c r="D29" i="3"/>
  <c r="D27" i="3"/>
  <c r="D26" i="3"/>
  <c r="D25" i="3"/>
  <c r="D24" i="3"/>
  <c r="D23" i="3"/>
  <c r="D22" i="3"/>
  <c r="D21" i="3"/>
  <c r="D20" i="3"/>
  <c r="D19" i="3"/>
  <c r="D18" i="3"/>
  <c r="D17" i="3"/>
  <c r="A16" i="3"/>
  <c r="D15" i="3"/>
  <c r="D14" i="3"/>
  <c r="D13" i="3"/>
  <c r="D10" i="3"/>
  <c r="D11" i="3" s="1"/>
  <c r="D9" i="3"/>
  <c r="D12" i="3" l="1"/>
  <c r="D83" i="3"/>
  <c r="A28" i="3"/>
  <c r="A38" i="3" l="1"/>
  <c r="A52" i="3" l="1"/>
  <c r="A44" i="3"/>
  <c r="A64" i="3" l="1"/>
  <c r="A75" i="3" l="1"/>
  <c r="A69" i="3"/>
  <c r="A78" i="3" l="1"/>
  <c r="A81" i="3" s="1"/>
  <c r="A87" i="3" s="1"/>
  <c r="A92" i="3" s="1"/>
  <c r="A97" i="3" s="1"/>
</calcChain>
</file>

<file path=xl/sharedStrings.xml><?xml version="1.0" encoding="utf-8"?>
<sst xmlns="http://schemas.openxmlformats.org/spreadsheetml/2006/main" count="212" uniqueCount="82">
  <si>
    <t>N</t>
  </si>
  <si>
    <t>სამუშაოების, ხარჯების დასახელება</t>
  </si>
  <si>
    <t>განზ. ერთ</t>
  </si>
  <si>
    <t xml:space="preserve">რ-ბა   </t>
  </si>
  <si>
    <t xml:space="preserve">მასალა            </t>
  </si>
  <si>
    <t>ხელფასი</t>
  </si>
  <si>
    <t>მანქანა-მექანიზმები</t>
  </si>
  <si>
    <t>ჯამი</t>
  </si>
  <si>
    <t xml:space="preserve">ერთ-ზე  </t>
  </si>
  <si>
    <t>სულ</t>
  </si>
  <si>
    <t>პარაპეტის მოწყობა ბეტონის ბლოკით სისქით 200მმ</t>
  </si>
  <si>
    <t>კვ.მ</t>
  </si>
  <si>
    <t>ცალი</t>
  </si>
  <si>
    <t>სხვა მანქანები</t>
  </si>
  <si>
    <t>ლარი</t>
  </si>
  <si>
    <t>ქვიშა-ცემენტის ხსნარი წყობის</t>
  </si>
  <si>
    <t>კუბ.მ</t>
  </si>
  <si>
    <t>ცემენტი</t>
  </si>
  <si>
    <t>ტ</t>
  </si>
  <si>
    <t>ქვიშა შავი</t>
  </si>
  <si>
    <t>ბეტონის ბლოკი 39*19*19სმ</t>
  </si>
  <si>
    <t>არმატურა А240С  Ø=8მმ</t>
  </si>
  <si>
    <t>სხვა მასალები</t>
  </si>
  <si>
    <t>მონოლითური რკ.ბეტონის ზღუდარის, სარტყელის და გულარების, კვეთით 200*100მმ</t>
  </si>
  <si>
    <t>გრძ.მ</t>
  </si>
  <si>
    <t>ბეტონი</t>
  </si>
  <si>
    <t>ღორღი</t>
  </si>
  <si>
    <t>საყალიბე სისტემა - სარტყელი, გულარი</t>
  </si>
  <si>
    <t xml:space="preserve">არმატურის კარკასის დამზადების მასალები </t>
  </si>
  <si>
    <t>არმატურა А500С Ø=12მმ</t>
  </si>
  <si>
    <t>ფასადის კედლების მოპირკეთება ტრავერტინის ფილებით, ქვიშა-ცემენტის ხსნარზე-ჩასხმით</t>
  </si>
  <si>
    <t>შრომითი დანახარჯი</t>
  </si>
  <si>
    <t>ტრავერტინის ფილა</t>
  </si>
  <si>
    <t>ანკერი 70მმ Ø10</t>
  </si>
  <si>
    <t>ქვიშა-ცემენტის ხსნარი</t>
  </si>
  <si>
    <t>მ3</t>
  </si>
  <si>
    <t>ტნ</t>
  </si>
  <si>
    <t>ქვიშა</t>
  </si>
  <si>
    <t>ფუგა</t>
  </si>
  <si>
    <t>კგ</t>
  </si>
  <si>
    <t>დამხმარე მასალები</t>
  </si>
  <si>
    <t>ვიტრაჟების ფერდილების მოპირკეთება ტრავერტინის ფილებით</t>
  </si>
  <si>
    <t>ყინვაგამძლე წებოცემენტი</t>
  </si>
  <si>
    <t>ფასადის დაუთბუნებელი ნაწილის დამუშავება წებოცემენტით და შეღებვა</t>
  </si>
  <si>
    <t>წებოცემენტი EKOFIX 25 კგ-იანი ტომარა PREMIUM                                                                                                                                        (წებოცემენტი საფასადე მინაბადის ჩასაძირად)</t>
  </si>
  <si>
    <t>სამშენებლო ბადე 160გ 1მ*50მ(ORANGE)</t>
  </si>
  <si>
    <t>ULTRA PRIMER 10LT Chromodomi (ადგეზიური გრუნტი)</t>
  </si>
  <si>
    <t>ლიტრი</t>
  </si>
  <si>
    <t>მიუნხენი WEBER MIN LN 25 კგ</t>
  </si>
  <si>
    <t>LIFE SIL (F) (BASE P) 10LT (სილიკონის შემცველი საღებავი, თბოსაიზოლაციო ფილებისათვის)</t>
  </si>
  <si>
    <t>კარ-ფანჯრების ფერდილების დამუშავება წებოცემენტით და შეღებვა</t>
  </si>
  <si>
    <t>წებო-ცემენტი EKOFIX 25კგ.-იანი ტომარა STANDART (EPS -ის მისაკრავად)</t>
  </si>
  <si>
    <t>EPS-ის ფილები სისქით 30მმ</t>
  </si>
  <si>
    <t>დუბელი პლასტ. ლურსმნით 115, 135, 155მმ</t>
  </si>
  <si>
    <t>კუთხის პროფილი ბადით</t>
  </si>
  <si>
    <t>სახურავზე პროფილირებული თუნუქის მოწყობა</t>
  </si>
  <si>
    <t xml:space="preserve">ფერადი თუნუქი </t>
  </si>
  <si>
    <t xml:space="preserve">სახურავზე  ხის  კონსტრუქციის აწყობა თუნუქისთვის  </t>
  </si>
  <si>
    <t>ფიცარი</t>
  </si>
  <si>
    <t>სახურავის შურუპი 3,5სმ</t>
  </si>
  <si>
    <t>ლურსმანი 100მმ</t>
  </si>
  <si>
    <t>სახურავზე თუნუქის დემონტაჟი</t>
  </si>
  <si>
    <t>სახურავზე ხის კონსტრუქციის დემონტაჟი</t>
  </si>
  <si>
    <t>პარაპეტის შეფუთვა თუნუქით გვერდიდან</t>
  </si>
  <si>
    <t>ფერადი თუნუქი</t>
  </si>
  <si>
    <t>სილიკონი</t>
  </si>
  <si>
    <t>ფერადი თუნუქით პარაპეტების მოწყობა</t>
  </si>
  <si>
    <t>ჟოლობის (ღარი) მოწყობა</t>
  </si>
  <si>
    <t>ჟოლობის დასამაგრებელი კაუჭი</t>
  </si>
  <si>
    <t>თუნუქი</t>
  </si>
  <si>
    <t>მილის ჰორიზონტალური სამაგრი</t>
  </si>
  <si>
    <t>წყალსაწრეტი თუნუქის მილების მოწყობა</t>
  </si>
  <si>
    <t>სამაგრი მილის</t>
  </si>
  <si>
    <t>მუხლი</t>
  </si>
  <si>
    <t>ჯ ა მ ი:</t>
  </si>
  <si>
    <t>ობიექტის სატრანსპორტო ხარჯი</t>
  </si>
  <si>
    <t>ზედნადები ხარჯები</t>
  </si>
  <si>
    <t>სახარჯთაღრიცხვო მოგება</t>
  </si>
  <si>
    <t>დროებითი შენობა-ნაგებობები და დანახარჯები უსაფრთხოებაზე ახალი რეგულაციების მიხედვით</t>
  </si>
  <si>
    <t>დღგ</t>
  </si>
  <si>
    <t>სულ ხარჯთაღრიცხვით</t>
  </si>
  <si>
    <t>ობიექტი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</si>
</sst>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_-&quot;$&quot;* #,##0.00_-;\-&quot;$&quot;* #,##0.00_-;_-&quot;$&quot;* &quot;-&quot;??_-;_-@_-"/>
    <numFmt numFmtId="166" formatCode="0.0%"/>
    <numFmt numFmtId="167" formatCode="_-* #,##0.00\ _₾_-;\-* #,##0.00\ _₾_-;_-* &quot;-&quot;??\ _₾_-;_-@_-"/>
  </numFmts>
  <fonts count="11">
    <font>
      <sz val="11"/>
      <color theme="1"/>
      <name val="Calibri"/>
      <charset val="1"/>
      <scheme val="minor"/>
    </font>
    <font>
      <sz val="11"/>
      <color theme="1"/>
      <name val="Calibri"/>
      <charset val="134"/>
      <scheme val="minor"/>
    </font>
    <font>
      <sz val="11"/>
      <color theme="1"/>
      <name val="Calibri"/>
      <charset val="1"/>
      <scheme val="minor"/>
    </font>
    <font>
      <b/>
      <sz val="1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</borders>
  <cellStyleXfs count="5">
    <xf numFmtId="0" fontId="0" fillId="0" borderId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</cellStyleXfs>
  <cellXfs count="215">
    <xf numFmtId="0" fontId="0" fillId="0" borderId="0" xfId="0"/>
    <xf numFmtId="0" fontId="4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5" fillId="0" borderId="9" xfId="4" applyFont="1" applyBorder="1" applyAlignment="1">
      <alignment horizontal="center" vertical="center" wrapText="1"/>
    </xf>
    <xf numFmtId="164" fontId="5" fillId="0" borderId="10" xfId="1" applyFont="1" applyFill="1" applyBorder="1" applyAlignment="1">
      <alignment horizontal="center" vertical="center" wrapText="1"/>
    </xf>
    <xf numFmtId="0" fontId="5" fillId="0" borderId="11" xfId="4" applyFont="1" applyBorder="1" applyAlignment="1">
      <alignment horizontal="center" vertical="center" wrapText="1"/>
    </xf>
    <xf numFmtId="0" fontId="5" fillId="0" borderId="12" xfId="4" applyFont="1" applyBorder="1" applyAlignment="1">
      <alignment horizontal="center" vertical="center" wrapText="1"/>
    </xf>
    <xf numFmtId="0" fontId="5" fillId="0" borderId="13" xfId="4" applyFont="1" applyBorder="1" applyAlignment="1">
      <alignment horizontal="center" vertical="center" wrapText="1"/>
    </xf>
    <xf numFmtId="0" fontId="5" fillId="0" borderId="14" xfId="4" applyFont="1" applyBorder="1" applyAlignment="1">
      <alignment horizontal="center" vertical="center" wrapText="1"/>
    </xf>
    <xf numFmtId="0" fontId="5" fillId="0" borderId="15" xfId="1" applyNumberFormat="1" applyFont="1" applyFill="1" applyBorder="1" applyAlignment="1">
      <alignment horizontal="center" vertical="center" wrapText="1"/>
    </xf>
    <xf numFmtId="0" fontId="5" fillId="0" borderId="16" xfId="4" applyFont="1" applyBorder="1" applyAlignment="1">
      <alignment horizontal="center" vertical="center" wrapText="1"/>
    </xf>
    <xf numFmtId="0" fontId="5" fillId="0" borderId="17" xfId="4" applyFont="1" applyBorder="1" applyAlignment="1">
      <alignment horizontal="center" vertical="center" wrapText="1"/>
    </xf>
    <xf numFmtId="0" fontId="5" fillId="0" borderId="15" xfId="4" applyFont="1" applyBorder="1" applyAlignment="1">
      <alignment horizontal="center" vertical="center" wrapText="1"/>
    </xf>
    <xf numFmtId="0" fontId="5" fillId="0" borderId="44" xfId="4" applyFont="1" applyBorder="1" applyAlignment="1">
      <alignment horizontal="center" vertical="center" wrapText="1"/>
    </xf>
    <xf numFmtId="0" fontId="8" fillId="0" borderId="18" xfId="0" applyFont="1" applyBorder="1" applyAlignment="1">
      <alignment vertical="center"/>
    </xf>
    <xf numFmtId="0" fontId="8" fillId="0" borderId="19" xfId="0" applyFont="1" applyBorder="1" applyAlignment="1">
      <alignment vertical="center"/>
    </xf>
    <xf numFmtId="2" fontId="8" fillId="0" borderId="19" xfId="1" applyNumberFormat="1" applyFont="1" applyFill="1" applyBorder="1" applyAlignment="1">
      <alignment horizontal="center" vertical="center"/>
    </xf>
    <xf numFmtId="0" fontId="8" fillId="0" borderId="20" xfId="0" applyFont="1" applyBorder="1" applyAlignment="1">
      <alignment vertical="center"/>
    </xf>
    <xf numFmtId="0" fontId="8" fillId="0" borderId="21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9" fillId="0" borderId="22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left" vertical="center" wrapText="1"/>
    </xf>
    <xf numFmtId="0" fontId="9" fillId="0" borderId="23" xfId="0" applyFont="1" applyBorder="1" applyAlignment="1">
      <alignment horizontal="center" vertical="center" wrapText="1"/>
    </xf>
    <xf numFmtId="2" fontId="9" fillId="0" borderId="24" xfId="1" applyNumberFormat="1" applyFont="1" applyFill="1" applyBorder="1" applyAlignment="1">
      <alignment horizontal="center" vertical="center" wrapText="1"/>
    </xf>
    <xf numFmtId="164" fontId="9" fillId="0" borderId="25" xfId="1" applyFont="1" applyFill="1" applyBorder="1" applyAlignment="1">
      <alignment horizontal="center" vertical="center" wrapText="1"/>
    </xf>
    <xf numFmtId="164" fontId="9" fillId="0" borderId="24" xfId="1" applyFont="1" applyFill="1" applyBorder="1" applyAlignment="1">
      <alignment horizontal="center" vertical="center" wrapText="1"/>
    </xf>
    <xf numFmtId="164" fontId="9" fillId="0" borderId="22" xfId="1" applyFont="1" applyFill="1" applyBorder="1" applyAlignment="1">
      <alignment horizontal="center" vertical="center" wrapText="1"/>
    </xf>
    <xf numFmtId="164" fontId="9" fillId="0" borderId="5" xfId="1" applyFont="1" applyFill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left" vertical="center" wrapText="1"/>
    </xf>
    <xf numFmtId="0" fontId="4" fillId="0" borderId="27" xfId="0" applyFont="1" applyBorder="1" applyAlignment="1">
      <alignment horizontal="center" vertical="center" wrapText="1"/>
    </xf>
    <xf numFmtId="2" fontId="4" fillId="0" borderId="10" xfId="1" applyNumberFormat="1" applyFont="1" applyFill="1" applyBorder="1" applyAlignment="1">
      <alignment horizontal="center" vertical="center" wrapText="1"/>
    </xf>
    <xf numFmtId="164" fontId="4" fillId="0" borderId="28" xfId="1" applyFont="1" applyFill="1" applyBorder="1" applyAlignment="1">
      <alignment horizontal="center" vertical="center" wrapText="1"/>
    </xf>
    <xf numFmtId="164" fontId="4" fillId="0" borderId="10" xfId="1" applyFont="1" applyFill="1" applyBorder="1" applyAlignment="1">
      <alignment horizontal="center" vertical="center" wrapText="1"/>
    </xf>
    <xf numFmtId="164" fontId="4" fillId="0" borderId="29" xfId="1" applyFont="1" applyFill="1" applyBorder="1" applyAlignment="1">
      <alignment horizontal="center" vertical="center" wrapText="1"/>
    </xf>
    <xf numFmtId="164" fontId="4" fillId="0" borderId="26" xfId="1" applyFont="1" applyFill="1" applyBorder="1" applyAlignment="1">
      <alignment horizontal="center" vertical="center" wrapText="1"/>
    </xf>
    <xf numFmtId="164" fontId="4" fillId="0" borderId="45" xfId="1" applyFont="1" applyFill="1" applyBorder="1" applyAlignment="1">
      <alignment horizontal="center" vertical="center" wrapText="1"/>
    </xf>
    <xf numFmtId="164" fontId="4" fillId="0" borderId="27" xfId="1" applyFont="1" applyFill="1" applyBorder="1" applyAlignment="1">
      <alignment horizontal="center" vertical="center" wrapText="1"/>
    </xf>
    <xf numFmtId="164" fontId="4" fillId="0" borderId="8" xfId="1" applyFont="1" applyFill="1" applyBorder="1" applyAlignment="1">
      <alignment horizontal="center" vertical="center" wrapText="1"/>
    </xf>
    <xf numFmtId="164" fontId="4" fillId="0" borderId="30" xfId="1" applyFont="1" applyFill="1" applyBorder="1" applyAlignment="1">
      <alignment horizontal="center" vertical="center" wrapText="1"/>
    </xf>
    <xf numFmtId="164" fontId="4" fillId="0" borderId="31" xfId="1" applyFont="1" applyFill="1" applyBorder="1" applyAlignment="1">
      <alignment horizontal="center" vertical="center" wrapText="1"/>
    </xf>
    <xf numFmtId="164" fontId="4" fillId="0" borderId="6" xfId="1" applyFont="1" applyFill="1" applyBorder="1" applyAlignment="1">
      <alignment horizontal="center" vertical="center" wrapText="1"/>
    </xf>
    <xf numFmtId="164" fontId="4" fillId="0" borderId="46" xfId="1" applyFont="1" applyFill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left" vertical="center" wrapText="1"/>
    </xf>
    <xf numFmtId="0" fontId="4" fillId="0" borderId="33" xfId="0" applyFont="1" applyBorder="1" applyAlignment="1">
      <alignment horizontal="center" vertical="center" wrapText="1"/>
    </xf>
    <xf numFmtId="2" fontId="4" fillId="0" borderId="15" xfId="1" applyNumberFormat="1" applyFont="1" applyFill="1" applyBorder="1" applyAlignment="1">
      <alignment horizontal="center" vertical="center" wrapText="1"/>
    </xf>
    <xf numFmtId="164" fontId="4" fillId="0" borderId="34" xfId="1" applyFont="1" applyFill="1" applyBorder="1" applyAlignment="1">
      <alignment horizontal="center" vertical="center" wrapText="1"/>
    </xf>
    <xf numFmtId="164" fontId="4" fillId="0" borderId="35" xfId="1" applyFont="1" applyFill="1" applyBorder="1" applyAlignment="1">
      <alignment horizontal="center" vertical="center" wrapText="1"/>
    </xf>
    <xf numFmtId="164" fontId="4" fillId="0" borderId="36" xfId="1" applyFont="1" applyFill="1" applyBorder="1" applyAlignment="1">
      <alignment horizontal="center" vertical="center" wrapText="1"/>
    </xf>
    <xf numFmtId="164" fontId="4" fillId="0" borderId="38" xfId="1" applyFont="1" applyFill="1" applyBorder="1" applyAlignment="1">
      <alignment horizontal="center" vertical="center" wrapText="1"/>
    </xf>
    <xf numFmtId="164" fontId="4" fillId="0" borderId="47" xfId="1" applyFont="1" applyFill="1" applyBorder="1" applyAlignment="1">
      <alignment horizontal="center" vertical="center" wrapText="1"/>
    </xf>
    <xf numFmtId="0" fontId="9" fillId="0" borderId="23" xfId="0" applyFont="1" applyBorder="1" applyAlignment="1">
      <alignment vertical="center" wrapText="1"/>
    </xf>
    <xf numFmtId="164" fontId="9" fillId="0" borderId="37" xfId="1" applyFont="1" applyFill="1" applyBorder="1" applyAlignment="1">
      <alignment horizontal="center" vertical="center" wrapText="1"/>
    </xf>
    <xf numFmtId="4" fontId="9" fillId="0" borderId="5" xfId="1" applyNumberFormat="1" applyFont="1" applyFill="1" applyBorder="1" applyAlignment="1">
      <alignment horizontal="center" vertical="center" wrapText="1"/>
    </xf>
    <xf numFmtId="0" fontId="4" fillId="0" borderId="27" xfId="0" applyFont="1" applyBorder="1" applyAlignment="1">
      <alignment vertical="center" wrapText="1"/>
    </xf>
    <xf numFmtId="0" fontId="4" fillId="0" borderId="38" xfId="0" applyFont="1" applyBorder="1" applyAlignment="1">
      <alignment horizontal="center" vertical="center" wrapText="1"/>
    </xf>
    <xf numFmtId="0" fontId="4" fillId="0" borderId="39" xfId="0" applyFont="1" applyBorder="1" applyAlignment="1">
      <alignment horizontal="left" vertical="center" wrapText="1"/>
    </xf>
    <xf numFmtId="0" fontId="4" fillId="0" borderId="39" xfId="0" applyFont="1" applyBorder="1" applyAlignment="1">
      <alignment horizontal="center" vertical="center" wrapText="1"/>
    </xf>
    <xf numFmtId="2" fontId="4" fillId="0" borderId="35" xfId="1" applyNumberFormat="1" applyFont="1" applyFill="1" applyBorder="1" applyAlignment="1">
      <alignment horizontal="center" vertical="center" wrapText="1"/>
    </xf>
    <xf numFmtId="164" fontId="9" fillId="0" borderId="40" xfId="1" applyFont="1" applyFill="1" applyBorder="1" applyAlignment="1">
      <alignment horizontal="center" vertical="center" wrapText="1"/>
    </xf>
    <xf numFmtId="164" fontId="9" fillId="0" borderId="3" xfId="1" applyFont="1" applyFill="1" applyBorder="1" applyAlignment="1">
      <alignment horizontal="center" vertical="center" wrapText="1"/>
    </xf>
    <xf numFmtId="164" fontId="9" fillId="0" borderId="1" xfId="1" applyFont="1" applyFill="1" applyBorder="1" applyAlignment="1">
      <alignment horizontal="center" vertical="center" wrapText="1"/>
    </xf>
    <xf numFmtId="164" fontId="9" fillId="0" borderId="32" xfId="1" applyFont="1" applyFill="1" applyBorder="1" applyAlignment="1">
      <alignment horizontal="center" vertical="center" wrapText="1"/>
    </xf>
    <xf numFmtId="164" fontId="9" fillId="0" borderId="15" xfId="1" applyFont="1" applyFill="1" applyBorder="1" applyAlignment="1">
      <alignment horizontal="center" vertical="center" wrapText="1"/>
    </xf>
    <xf numFmtId="164" fontId="9" fillId="0" borderId="48" xfId="1" applyFont="1" applyFill="1" applyBorder="1" applyAlignment="1">
      <alignment horizontal="center" vertical="center" wrapText="1"/>
    </xf>
    <xf numFmtId="164" fontId="4" fillId="0" borderId="41" xfId="1" applyFont="1" applyFill="1" applyBorder="1" applyAlignment="1">
      <alignment horizontal="center" vertical="center" wrapText="1"/>
    </xf>
    <xf numFmtId="164" fontId="4" fillId="0" borderId="15" xfId="1" applyFont="1" applyFill="1" applyBorder="1" applyAlignment="1">
      <alignment horizontal="center" vertical="center" wrapText="1"/>
    </xf>
    <xf numFmtId="164" fontId="4" fillId="0" borderId="32" xfId="1" applyFont="1" applyFill="1" applyBorder="1" applyAlignment="1">
      <alignment horizontal="center" vertical="center" wrapText="1"/>
    </xf>
    <xf numFmtId="164" fontId="4" fillId="0" borderId="48" xfId="1" applyFont="1" applyFill="1" applyBorder="1" applyAlignment="1">
      <alignment horizontal="center" vertical="center" wrapText="1"/>
    </xf>
    <xf numFmtId="164" fontId="9" fillId="0" borderId="49" xfId="1" applyFont="1" applyFill="1" applyBorder="1" applyAlignment="1">
      <alignment horizontal="center" vertical="center" wrapText="1"/>
    </xf>
    <xf numFmtId="164" fontId="4" fillId="0" borderId="25" xfId="1" applyFont="1" applyFill="1" applyBorder="1" applyAlignment="1">
      <alignment horizontal="center" vertical="center" wrapText="1"/>
    </xf>
    <xf numFmtId="164" fontId="4" fillId="0" borderId="37" xfId="1" applyFont="1" applyFill="1" applyBorder="1" applyAlignment="1">
      <alignment horizontal="center" vertical="center" wrapText="1"/>
    </xf>
    <xf numFmtId="164" fontId="4" fillId="0" borderId="22" xfId="1" applyFont="1" applyFill="1" applyBorder="1" applyAlignment="1">
      <alignment horizontal="center" vertical="center" wrapText="1"/>
    </xf>
    <xf numFmtId="164" fontId="4" fillId="0" borderId="24" xfId="1" applyFont="1" applyFill="1" applyBorder="1" applyAlignment="1">
      <alignment horizontal="center" vertical="center" wrapText="1"/>
    </xf>
    <xf numFmtId="164" fontId="4" fillId="0" borderId="5" xfId="1" applyFont="1" applyFill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23" xfId="0" applyFont="1" applyBorder="1" applyAlignment="1">
      <alignment vertical="center" wrapText="1"/>
    </xf>
    <xf numFmtId="0" fontId="5" fillId="0" borderId="23" xfId="0" applyFont="1" applyBorder="1" applyAlignment="1">
      <alignment horizontal="center" vertical="center" wrapText="1"/>
    </xf>
    <xf numFmtId="2" fontId="5" fillId="0" borderId="24" xfId="1" applyNumberFormat="1" applyFont="1" applyFill="1" applyBorder="1" applyAlignment="1">
      <alignment horizontal="center" vertical="center" wrapText="1"/>
    </xf>
    <xf numFmtId="164" fontId="8" fillId="0" borderId="25" xfId="1" applyFont="1" applyFill="1" applyBorder="1" applyAlignment="1">
      <alignment horizontal="center" vertical="center" wrapText="1"/>
    </xf>
    <xf numFmtId="164" fontId="5" fillId="0" borderId="24" xfId="1" applyFont="1" applyFill="1" applyBorder="1" applyAlignment="1">
      <alignment horizontal="center" vertical="center" wrapText="1"/>
    </xf>
    <xf numFmtId="164" fontId="8" fillId="0" borderId="37" xfId="1" applyFont="1" applyFill="1" applyBorder="1" applyAlignment="1">
      <alignment horizontal="center" vertical="center" wrapText="1"/>
    </xf>
    <xf numFmtId="164" fontId="8" fillId="0" borderId="22" xfId="1" applyFont="1" applyFill="1" applyBorder="1" applyAlignment="1">
      <alignment horizontal="center" vertical="center" wrapText="1"/>
    </xf>
    <xf numFmtId="164" fontId="8" fillId="0" borderId="24" xfId="1" applyFont="1" applyFill="1" applyBorder="1" applyAlignment="1">
      <alignment horizontal="center" vertical="center" wrapText="1"/>
    </xf>
    <xf numFmtId="164" fontId="8" fillId="0" borderId="5" xfId="1" applyFont="1" applyFill="1" applyBorder="1" applyAlignment="1">
      <alignment horizontal="center" vertical="center" wrapText="1"/>
    </xf>
    <xf numFmtId="49" fontId="8" fillId="0" borderId="26" xfId="0" applyNumberFormat="1" applyFont="1" applyBorder="1" applyAlignment="1">
      <alignment horizontal="center" vertical="center" wrapText="1"/>
    </xf>
    <xf numFmtId="0" fontId="8" fillId="0" borderId="27" xfId="0" applyFont="1" applyBorder="1" applyAlignment="1">
      <alignment vertical="center" wrapText="1"/>
    </xf>
    <xf numFmtId="0" fontId="8" fillId="0" borderId="27" xfId="0" applyFont="1" applyBorder="1" applyAlignment="1">
      <alignment horizontal="center" vertical="center" wrapText="1"/>
    </xf>
    <xf numFmtId="2" fontId="8" fillId="0" borderId="10" xfId="1" applyNumberFormat="1" applyFont="1" applyFill="1" applyBorder="1" applyAlignment="1">
      <alignment horizontal="center" vertical="center" wrapText="1"/>
    </xf>
    <xf numFmtId="164" fontId="8" fillId="0" borderId="28" xfId="1" applyFont="1" applyFill="1" applyBorder="1" applyAlignment="1">
      <alignment horizontal="center" vertical="center" wrapText="1"/>
    </xf>
    <xf numFmtId="164" fontId="8" fillId="0" borderId="10" xfId="1" applyFont="1" applyFill="1" applyBorder="1" applyAlignment="1">
      <alignment horizontal="center" vertical="center" wrapText="1"/>
    </xf>
    <xf numFmtId="164" fontId="8" fillId="0" borderId="29" xfId="1" applyFont="1" applyFill="1" applyBorder="1" applyAlignment="1">
      <alignment horizontal="center" vertical="center" wrapText="1"/>
    </xf>
    <xf numFmtId="164" fontId="8" fillId="0" borderId="26" xfId="1" applyFont="1" applyFill="1" applyBorder="1" applyAlignment="1">
      <alignment horizontal="center" vertical="center" wrapText="1"/>
    </xf>
    <xf numFmtId="164" fontId="8" fillId="0" borderId="45" xfId="1" applyFont="1" applyFill="1" applyBorder="1" applyAlignment="1">
      <alignment horizontal="center" vertical="center" wrapText="1"/>
    </xf>
    <xf numFmtId="0" fontId="8" fillId="0" borderId="38" xfId="0" applyFont="1" applyBorder="1" applyAlignment="1">
      <alignment horizontal="center" vertical="center" wrapText="1"/>
    </xf>
    <xf numFmtId="0" fontId="8" fillId="0" borderId="39" xfId="0" applyFont="1" applyBorder="1" applyAlignment="1">
      <alignment horizontal="left" vertical="center" wrapText="1"/>
    </xf>
    <xf numFmtId="0" fontId="8" fillId="0" borderId="39" xfId="0" applyFont="1" applyBorder="1" applyAlignment="1">
      <alignment horizontal="center" vertical="center" wrapText="1"/>
    </xf>
    <xf numFmtId="2" fontId="8" fillId="0" borderId="35" xfId="1" applyNumberFormat="1" applyFont="1" applyFill="1" applyBorder="1" applyAlignment="1">
      <alignment horizontal="center" vertical="center" wrapText="1"/>
    </xf>
    <xf numFmtId="164" fontId="8" fillId="0" borderId="34" xfId="1" applyFont="1" applyFill="1" applyBorder="1" applyAlignment="1">
      <alignment horizontal="center" vertical="center" wrapText="1"/>
    </xf>
    <xf numFmtId="164" fontId="8" fillId="0" borderId="35" xfId="1" applyFont="1" applyFill="1" applyBorder="1" applyAlignment="1">
      <alignment horizontal="center" vertical="center" wrapText="1"/>
    </xf>
    <xf numFmtId="164" fontId="8" fillId="0" borderId="36" xfId="1" applyFont="1" applyFill="1" applyBorder="1" applyAlignment="1">
      <alignment horizontal="center" vertical="center" wrapText="1"/>
    </xf>
    <xf numFmtId="164" fontId="8" fillId="0" borderId="38" xfId="1" applyFont="1" applyFill="1" applyBorder="1" applyAlignment="1">
      <alignment horizontal="center" vertical="center" wrapText="1"/>
    </xf>
    <xf numFmtId="164" fontId="8" fillId="0" borderId="47" xfId="1" applyFont="1" applyFill="1" applyBorder="1" applyAlignment="1">
      <alignment horizontal="center" vertical="center" wrapText="1"/>
    </xf>
    <xf numFmtId="0" fontId="5" fillId="0" borderId="23" xfId="0" applyFont="1" applyBorder="1" applyAlignment="1">
      <alignment horizontal="left" vertical="center" wrapText="1"/>
    </xf>
    <xf numFmtId="0" fontId="5" fillId="0" borderId="23" xfId="0" applyFont="1" applyBorder="1" applyAlignment="1">
      <alignment horizontal="center" vertical="center"/>
    </xf>
    <xf numFmtId="2" fontId="5" fillId="0" borderId="24" xfId="1" applyNumberFormat="1" applyFont="1" applyFill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2" fontId="8" fillId="0" borderId="10" xfId="1" applyNumberFormat="1" applyFont="1" applyFill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2" fontId="4" fillId="0" borderId="10" xfId="1" applyNumberFormat="1" applyFont="1" applyFill="1" applyBorder="1" applyAlignment="1">
      <alignment horizontal="center" vertical="center"/>
    </xf>
    <xf numFmtId="164" fontId="4" fillId="0" borderId="28" xfId="1" applyFont="1" applyFill="1" applyBorder="1" applyAlignment="1">
      <alignment horizontal="center" vertical="center"/>
    </xf>
    <xf numFmtId="164" fontId="4" fillId="0" borderId="10" xfId="1" applyFont="1" applyFill="1" applyBorder="1" applyAlignment="1">
      <alignment horizontal="center" vertical="center"/>
    </xf>
    <xf numFmtId="164" fontId="4" fillId="0" borderId="26" xfId="1" applyFont="1" applyFill="1" applyBorder="1" applyAlignment="1">
      <alignment horizontal="center" vertical="center"/>
    </xf>
    <xf numFmtId="164" fontId="4" fillId="0" borderId="29" xfId="1" applyFont="1" applyFill="1" applyBorder="1" applyAlignment="1">
      <alignment horizontal="center" vertical="center"/>
    </xf>
    <xf numFmtId="164" fontId="4" fillId="0" borderId="50" xfId="1" applyFont="1" applyFill="1" applyBorder="1" applyAlignment="1">
      <alignment horizontal="center" vertical="center"/>
    </xf>
    <xf numFmtId="164" fontId="8" fillId="0" borderId="30" xfId="1" applyFont="1" applyFill="1" applyBorder="1" applyAlignment="1">
      <alignment horizontal="center" vertical="center" wrapText="1"/>
    </xf>
    <xf numFmtId="164" fontId="8" fillId="0" borderId="8" xfId="1" applyFont="1" applyFill="1" applyBorder="1" applyAlignment="1">
      <alignment horizontal="center" vertical="center" wrapText="1"/>
    </xf>
    <xf numFmtId="164" fontId="8" fillId="0" borderId="31" xfId="1" applyFont="1" applyFill="1" applyBorder="1" applyAlignment="1">
      <alignment horizontal="center" vertical="center" wrapText="1"/>
    </xf>
    <xf numFmtId="164" fontId="8" fillId="0" borderId="6" xfId="1" applyFont="1" applyFill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/>
    </xf>
    <xf numFmtId="164" fontId="8" fillId="0" borderId="41" xfId="1" applyFont="1" applyFill="1" applyBorder="1" applyAlignment="1">
      <alignment horizontal="center" vertical="center" wrapText="1"/>
    </xf>
    <xf numFmtId="164" fontId="8" fillId="0" borderId="15" xfId="1" applyFont="1" applyFill="1" applyBorder="1" applyAlignment="1">
      <alignment horizontal="center" vertical="center" wrapText="1"/>
    </xf>
    <xf numFmtId="164" fontId="8" fillId="0" borderId="17" xfId="1" applyFont="1" applyFill="1" applyBorder="1" applyAlignment="1">
      <alignment horizontal="center" vertical="center" wrapText="1"/>
    </xf>
    <xf numFmtId="164" fontId="8" fillId="0" borderId="32" xfId="1" applyFont="1" applyFill="1" applyBorder="1" applyAlignment="1">
      <alignment horizontal="center" vertical="center" wrapText="1"/>
    </xf>
    <xf numFmtId="164" fontId="8" fillId="0" borderId="48" xfId="1" applyFont="1" applyFill="1" applyBorder="1" applyAlignment="1">
      <alignment horizontal="center" vertical="center" wrapText="1"/>
    </xf>
    <xf numFmtId="2" fontId="5" fillId="0" borderId="37" xfId="1" applyNumberFormat="1" applyFont="1" applyFill="1" applyBorder="1" applyAlignment="1">
      <alignment horizontal="center" vertical="center"/>
    </xf>
    <xf numFmtId="164" fontId="8" fillId="0" borderId="51" xfId="1" applyFont="1" applyFill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/>
    </xf>
    <xf numFmtId="0" fontId="8" fillId="0" borderId="33" xfId="0" applyFont="1" applyBorder="1" applyAlignment="1">
      <alignment vertical="center" wrapText="1"/>
    </xf>
    <xf numFmtId="0" fontId="8" fillId="0" borderId="33" xfId="0" applyFont="1" applyBorder="1" applyAlignment="1">
      <alignment horizontal="center" vertical="center"/>
    </xf>
    <xf numFmtId="2" fontId="8" fillId="0" borderId="17" xfId="1" applyNumberFormat="1" applyFont="1" applyFill="1" applyBorder="1" applyAlignment="1">
      <alignment horizontal="center" vertical="center"/>
    </xf>
    <xf numFmtId="164" fontId="8" fillId="0" borderId="50" xfId="1" applyFont="1" applyFill="1" applyBorder="1" applyAlignment="1">
      <alignment horizontal="center" vertical="center" wrapText="1"/>
    </xf>
    <xf numFmtId="2" fontId="4" fillId="0" borderId="29" xfId="1" applyNumberFormat="1" applyFont="1" applyFill="1" applyBorder="1" applyAlignment="1">
      <alignment horizontal="center" vertical="center" wrapText="1"/>
    </xf>
    <xf numFmtId="164" fontId="4" fillId="0" borderId="52" xfId="1" applyFont="1" applyFill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/>
    </xf>
    <xf numFmtId="2" fontId="9" fillId="0" borderId="24" xfId="1" applyNumberFormat="1" applyFont="1" applyFill="1" applyBorder="1" applyAlignment="1">
      <alignment horizontal="center" vertical="center"/>
    </xf>
    <xf numFmtId="164" fontId="9" fillId="0" borderId="25" xfId="1" applyFont="1" applyFill="1" applyBorder="1" applyAlignment="1">
      <alignment horizontal="center" vertical="center"/>
    </xf>
    <xf numFmtId="164" fontId="9" fillId="0" borderId="24" xfId="1" applyFont="1" applyFill="1" applyBorder="1" applyAlignment="1">
      <alignment horizontal="center" vertical="center"/>
    </xf>
    <xf numFmtId="164" fontId="9" fillId="0" borderId="22" xfId="1" applyFont="1" applyFill="1" applyBorder="1" applyAlignment="1">
      <alignment horizontal="center" vertical="center"/>
    </xf>
    <xf numFmtId="164" fontId="9" fillId="0" borderId="37" xfId="1" applyFont="1" applyFill="1" applyBorder="1" applyAlignment="1">
      <alignment horizontal="center" vertical="center"/>
    </xf>
    <xf numFmtId="164" fontId="9" fillId="0" borderId="51" xfId="1" applyFont="1" applyFill="1" applyBorder="1" applyAlignment="1">
      <alignment horizontal="center" vertical="center"/>
    </xf>
    <xf numFmtId="164" fontId="10" fillId="0" borderId="28" xfId="1" applyFont="1" applyFill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2" fontId="4" fillId="0" borderId="35" xfId="1" applyNumberFormat="1" applyFont="1" applyFill="1" applyBorder="1" applyAlignment="1">
      <alignment horizontal="center" vertical="center"/>
    </xf>
    <xf numFmtId="164" fontId="4" fillId="0" borderId="34" xfId="1" applyFont="1" applyFill="1" applyBorder="1" applyAlignment="1">
      <alignment horizontal="center" vertical="center"/>
    </xf>
    <xf numFmtId="164" fontId="4" fillId="0" borderId="35" xfId="1" applyFont="1" applyFill="1" applyBorder="1" applyAlignment="1">
      <alignment horizontal="center" vertical="center"/>
    </xf>
    <xf numFmtId="164" fontId="4" fillId="0" borderId="38" xfId="1" applyFont="1" applyFill="1" applyBorder="1" applyAlignment="1">
      <alignment horizontal="center" vertical="center"/>
    </xf>
    <xf numFmtId="164" fontId="4" fillId="0" borderId="36" xfId="1" applyFont="1" applyFill="1" applyBorder="1" applyAlignment="1">
      <alignment horizontal="center" vertical="center"/>
    </xf>
    <xf numFmtId="164" fontId="4" fillId="0" borderId="52" xfId="1" applyFont="1" applyFill="1" applyBorder="1" applyAlignment="1">
      <alignment horizontal="center" vertical="center"/>
    </xf>
    <xf numFmtId="164" fontId="8" fillId="0" borderId="46" xfId="1" applyFont="1" applyFill="1" applyBorder="1" applyAlignment="1">
      <alignment horizontal="center" vertical="center" wrapText="1"/>
    </xf>
    <xf numFmtId="0" fontId="8" fillId="0" borderId="32" xfId="0" applyFont="1" applyBorder="1" applyAlignment="1">
      <alignment horizontal="center" vertical="center"/>
    </xf>
    <xf numFmtId="2" fontId="8" fillId="0" borderId="15" xfId="1" applyNumberFormat="1" applyFont="1" applyFill="1" applyBorder="1" applyAlignment="1">
      <alignment horizontal="center" vertical="center"/>
    </xf>
    <xf numFmtId="164" fontId="4" fillId="0" borderId="27" xfId="1" applyFont="1" applyFill="1" applyBorder="1" applyAlignment="1">
      <alignment horizontal="center" vertical="center"/>
    </xf>
    <xf numFmtId="164" fontId="4" fillId="0" borderId="53" xfId="1" applyFont="1" applyFill="1" applyBorder="1" applyAlignment="1">
      <alignment horizontal="center" vertical="center"/>
    </xf>
    <xf numFmtId="164" fontId="4" fillId="0" borderId="50" xfId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54" xfId="0" applyFont="1" applyBorder="1" applyAlignment="1">
      <alignment horizontal="left" vertical="center" wrapText="1"/>
    </xf>
    <xf numFmtId="0" fontId="4" fillId="0" borderId="54" xfId="0" applyFont="1" applyBorder="1" applyAlignment="1">
      <alignment horizontal="center" vertical="center" wrapText="1"/>
    </xf>
    <xf numFmtId="164" fontId="4" fillId="0" borderId="55" xfId="1" applyFont="1" applyFill="1" applyBorder="1" applyAlignment="1">
      <alignment horizontal="center" vertical="center" wrapText="1"/>
    </xf>
    <xf numFmtId="164" fontId="4" fillId="0" borderId="56" xfId="1" applyFont="1" applyFill="1" applyBorder="1" applyAlignment="1">
      <alignment horizontal="center" vertical="center" wrapText="1"/>
    </xf>
    <xf numFmtId="164" fontId="4" fillId="0" borderId="57" xfId="1" applyFont="1" applyFill="1" applyBorder="1" applyAlignment="1">
      <alignment horizontal="center" vertical="center" wrapText="1"/>
    </xf>
    <xf numFmtId="164" fontId="4" fillId="0" borderId="58" xfId="1" applyFont="1" applyFill="1" applyBorder="1" applyAlignment="1">
      <alignment horizontal="center" vertical="center" wrapText="1"/>
    </xf>
    <xf numFmtId="164" fontId="4" fillId="0" borderId="21" xfId="1" applyFont="1" applyFill="1" applyBorder="1" applyAlignment="1">
      <alignment horizontal="center" vertical="center" wrapText="1"/>
    </xf>
    <xf numFmtId="167" fontId="6" fillId="0" borderId="0" xfId="0" applyNumberFormat="1" applyFont="1" applyAlignment="1">
      <alignment vertical="center" wrapText="1"/>
    </xf>
    <xf numFmtId="0" fontId="4" fillId="0" borderId="22" xfId="0" applyFont="1" applyBorder="1" applyAlignment="1">
      <alignment horizontal="center" vertical="center" wrapText="1"/>
    </xf>
    <xf numFmtId="4" fontId="4" fillId="0" borderId="37" xfId="1" applyNumberFormat="1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166" fontId="4" fillId="0" borderId="7" xfId="0" applyNumberFormat="1" applyFont="1" applyBorder="1" applyAlignment="1">
      <alignment horizontal="center" vertical="center" wrapText="1"/>
    </xf>
    <xf numFmtId="4" fontId="4" fillId="0" borderId="31" xfId="1" applyNumberFormat="1" applyFont="1" applyFill="1" applyBorder="1" applyAlignment="1">
      <alignment horizontal="center" vertical="center" wrapText="1"/>
    </xf>
    <xf numFmtId="0" fontId="9" fillId="0" borderId="26" xfId="0" applyFont="1" applyBorder="1" applyAlignment="1">
      <alignment vertical="center" wrapText="1"/>
    </xf>
    <xf numFmtId="0" fontId="3" fillId="0" borderId="27" xfId="0" applyFont="1" applyBorder="1" applyAlignment="1">
      <alignment horizontal="center" vertical="center" wrapText="1"/>
    </xf>
    <xf numFmtId="166" fontId="9" fillId="0" borderId="27" xfId="3" applyNumberFormat="1" applyFont="1" applyFill="1" applyBorder="1" applyAlignment="1">
      <alignment horizontal="center" vertical="center" wrapText="1"/>
    </xf>
    <xf numFmtId="9" fontId="3" fillId="0" borderId="29" xfId="3" applyFont="1" applyFill="1" applyBorder="1" applyAlignment="1">
      <alignment horizontal="center" vertical="center" wrapText="1"/>
    </xf>
    <xf numFmtId="4" fontId="9" fillId="0" borderId="26" xfId="1" applyNumberFormat="1" applyFont="1" applyFill="1" applyBorder="1" applyAlignment="1">
      <alignment horizontal="center" vertical="center" wrapText="1"/>
    </xf>
    <xf numFmtId="164" fontId="9" fillId="0" borderId="10" xfId="1" applyFont="1" applyFill="1" applyBorder="1" applyAlignment="1">
      <alignment horizontal="center" vertical="center" wrapText="1"/>
    </xf>
    <xf numFmtId="164" fontId="9" fillId="0" borderId="26" xfId="1" applyFont="1" applyFill="1" applyBorder="1" applyAlignment="1">
      <alignment horizontal="center" vertical="center" wrapText="1"/>
    </xf>
    <xf numFmtId="164" fontId="9" fillId="0" borderId="50" xfId="1" applyFont="1" applyFill="1" applyBorder="1" applyAlignment="1">
      <alignment horizontal="center" vertical="center" wrapText="1"/>
    </xf>
    <xf numFmtId="0" fontId="4" fillId="0" borderId="26" xfId="0" applyFont="1" applyBorder="1" applyAlignment="1">
      <alignment vertical="center" wrapText="1"/>
    </xf>
    <xf numFmtId="0" fontId="6" fillId="0" borderId="27" xfId="0" applyFont="1" applyBorder="1" applyAlignment="1">
      <alignment horizontal="center" vertical="center" wrapText="1"/>
    </xf>
    <xf numFmtId="166" fontId="4" fillId="0" borderId="27" xfId="3" applyNumberFormat="1" applyFont="1" applyFill="1" applyBorder="1" applyAlignment="1">
      <alignment horizontal="center" vertical="center" wrapText="1"/>
    </xf>
    <xf numFmtId="166" fontId="6" fillId="0" borderId="29" xfId="3" applyNumberFormat="1" applyFont="1" applyFill="1" applyBorder="1" applyAlignment="1">
      <alignment horizontal="center" vertical="center" wrapText="1"/>
    </xf>
    <xf numFmtId="4" fontId="4" fillId="0" borderId="26" xfId="1" applyNumberFormat="1" applyFont="1" applyFill="1" applyBorder="1" applyAlignment="1">
      <alignment horizontal="center" vertical="center" wrapText="1"/>
    </xf>
    <xf numFmtId="9" fontId="6" fillId="0" borderId="29" xfId="3" applyFont="1" applyFill="1" applyBorder="1" applyAlignment="1">
      <alignment horizontal="center" vertical="center" wrapText="1"/>
    </xf>
    <xf numFmtId="164" fontId="3" fillId="0" borderId="29" xfId="1" applyFont="1" applyFill="1" applyBorder="1" applyAlignment="1">
      <alignment horizontal="center" vertical="center" wrapText="1"/>
    </xf>
    <xf numFmtId="0" fontId="9" fillId="0" borderId="38" xfId="0" applyFont="1" applyBorder="1" applyAlignment="1">
      <alignment vertical="center" wrapText="1"/>
    </xf>
    <xf numFmtId="0" fontId="3" fillId="0" borderId="39" xfId="0" applyFont="1" applyBorder="1" applyAlignment="1">
      <alignment horizontal="center" vertical="center" wrapText="1"/>
    </xf>
    <xf numFmtId="9" fontId="9" fillId="0" borderId="39" xfId="3" applyFont="1" applyFill="1" applyBorder="1" applyAlignment="1">
      <alignment horizontal="center" vertical="center" wrapText="1"/>
    </xf>
    <xf numFmtId="9" fontId="3" fillId="0" borderId="36" xfId="3" applyFont="1" applyFill="1" applyBorder="1" applyAlignment="1">
      <alignment horizontal="center" vertical="center" wrapText="1"/>
    </xf>
    <xf numFmtId="4" fontId="9" fillId="0" borderId="38" xfId="1" applyNumberFormat="1" applyFont="1" applyFill="1" applyBorder="1" applyAlignment="1">
      <alignment horizontal="center" vertical="center" wrapText="1"/>
    </xf>
    <xf numFmtId="164" fontId="9" fillId="0" borderId="35" xfId="1" applyFont="1" applyFill="1" applyBorder="1" applyAlignment="1">
      <alignment horizontal="center" vertical="center" wrapText="1"/>
    </xf>
    <xf numFmtId="164" fontId="9" fillId="0" borderId="38" xfId="1" applyFont="1" applyFill="1" applyBorder="1" applyAlignment="1">
      <alignment horizontal="center" vertical="center" wrapText="1"/>
    </xf>
    <xf numFmtId="164" fontId="9" fillId="0" borderId="52" xfId="1" applyFont="1" applyFill="1" applyBorder="1" applyAlignment="1">
      <alignment horizontal="center" vertical="center" wrapText="1"/>
    </xf>
    <xf numFmtId="2" fontId="8" fillId="0" borderId="0" xfId="1" applyNumberFormat="1" applyFont="1" applyFill="1" applyAlignment="1">
      <alignment horizontal="center" vertical="center"/>
    </xf>
    <xf numFmtId="164" fontId="8" fillId="0" borderId="0" xfId="1" applyFont="1" applyFill="1" applyAlignment="1">
      <alignment vertical="center"/>
    </xf>
    <xf numFmtId="165" fontId="8" fillId="0" borderId="0" xfId="2" applyFont="1" applyFill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5" fillId="0" borderId="1" xfId="4" applyFont="1" applyBorder="1" applyAlignment="1">
      <alignment horizontal="center" vertical="center" wrapText="1"/>
    </xf>
    <xf numFmtId="0" fontId="5" fillId="0" borderId="2" xfId="4" applyFont="1" applyBorder="1" applyAlignment="1">
      <alignment horizontal="center" vertical="center" wrapText="1"/>
    </xf>
    <xf numFmtId="0" fontId="5" fillId="0" borderId="3" xfId="4" applyFont="1" applyBorder="1" applyAlignment="1">
      <alignment horizontal="center" vertical="center" wrapText="1"/>
    </xf>
    <xf numFmtId="0" fontId="5" fillId="0" borderId="42" xfId="4" applyFont="1" applyBorder="1" applyAlignment="1">
      <alignment horizontal="center" vertical="center" wrapText="1"/>
    </xf>
    <xf numFmtId="0" fontId="5" fillId="0" borderId="6" xfId="4" applyFont="1" applyBorder="1" applyAlignment="1">
      <alignment horizontal="center" vertical="center" wrapText="1"/>
    </xf>
    <xf numFmtId="0" fontId="5" fillId="0" borderId="7" xfId="4" applyFont="1" applyBorder="1" applyAlignment="1">
      <alignment horizontal="center" vertical="center" wrapText="1"/>
    </xf>
    <xf numFmtId="0" fontId="5" fillId="0" borderId="8" xfId="4" applyFont="1" applyBorder="1" applyAlignment="1">
      <alignment horizontal="center" vertical="center" wrapText="1"/>
    </xf>
    <xf numFmtId="0" fontId="5" fillId="0" borderId="43" xfId="4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5" fillId="0" borderId="4" xfId="4" applyFont="1" applyBorder="1" applyAlignment="1">
      <alignment horizontal="center" vertical="center" wrapText="1"/>
    </xf>
    <xf numFmtId="0" fontId="5" fillId="0" borderId="5" xfId="4" applyFont="1" applyBorder="1" applyAlignment="1">
      <alignment horizontal="center" vertical="center" wrapText="1"/>
    </xf>
  </cellXfs>
  <cellStyles count="5">
    <cellStyle name="Comma" xfId="1" builtinId="3"/>
    <cellStyle name="Currency" xfId="2" builtinId="4"/>
    <cellStyle name="Normal" xfId="0" builtinId="0"/>
    <cellStyle name="Percent" xfId="3" builtinId="5"/>
    <cellStyle name="Обычный 2" xfId="4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16"/>
  <sheetViews>
    <sheetView tabSelected="1" view="pageBreakPreview" zoomScaleNormal="100" zoomScaleSheetLayoutView="100" workbookViewId="0">
      <selection activeCell="D105" sqref="D105"/>
    </sheetView>
  </sheetViews>
  <sheetFormatPr defaultColWidth="9.109375" defaultRowHeight="18" customHeight="1"/>
  <cols>
    <col min="1" max="1" width="5.109375" style="20" customWidth="1"/>
    <col min="2" max="2" width="60.77734375" style="212" customWidth="1"/>
    <col min="3" max="3" width="11.109375" style="20" customWidth="1"/>
    <col min="4" max="4" width="13.44140625" style="199" customWidth="1"/>
    <col min="5" max="10" width="13.6640625" style="20" customWidth="1"/>
    <col min="11" max="11" width="14.6640625" style="20" customWidth="1"/>
    <col min="12" max="12" width="11" style="20" customWidth="1"/>
    <col min="13" max="16384" width="9.109375" style="20"/>
  </cols>
  <sheetData>
    <row r="1" spans="1:12" s="1" customFormat="1" ht="14.4">
      <c r="A1" s="202"/>
      <c r="B1" s="202"/>
      <c r="C1" s="202"/>
      <c r="D1" s="202"/>
      <c r="E1" s="202"/>
      <c r="F1" s="202"/>
      <c r="G1" s="202"/>
      <c r="H1" s="202"/>
      <c r="I1" s="202"/>
      <c r="J1" s="202"/>
      <c r="K1" s="202"/>
    </row>
    <row r="2" spans="1:12" s="1" customFormat="1" ht="15" thickBot="1">
      <c r="A2" s="202"/>
      <c r="B2" s="202"/>
      <c r="C2" s="202"/>
      <c r="D2" s="202"/>
      <c r="E2" s="202"/>
      <c r="F2" s="202"/>
      <c r="G2" s="202"/>
      <c r="H2" s="202"/>
      <c r="I2" s="202"/>
      <c r="J2" s="202"/>
      <c r="K2" s="202"/>
    </row>
    <row r="3" spans="1:12" s="3" customFormat="1" ht="27.6" customHeight="1">
      <c r="A3" s="203" t="s">
        <v>0</v>
      </c>
      <c r="B3" s="204" t="s">
        <v>1</v>
      </c>
      <c r="C3" s="204" t="s">
        <v>2</v>
      </c>
      <c r="D3" s="205" t="s">
        <v>3</v>
      </c>
      <c r="E3" s="213" t="s">
        <v>4</v>
      </c>
      <c r="F3" s="214"/>
      <c r="G3" s="213" t="s">
        <v>5</v>
      </c>
      <c r="H3" s="214"/>
      <c r="I3" s="213" t="s">
        <v>6</v>
      </c>
      <c r="J3" s="214"/>
      <c r="K3" s="206" t="s">
        <v>7</v>
      </c>
      <c r="L3" s="2"/>
    </row>
    <row r="4" spans="1:12" s="3" customFormat="1" ht="14.4">
      <c r="A4" s="207"/>
      <c r="B4" s="208"/>
      <c r="C4" s="208"/>
      <c r="D4" s="209"/>
      <c r="E4" s="4" t="s">
        <v>8</v>
      </c>
      <c r="F4" s="5" t="s">
        <v>9</v>
      </c>
      <c r="G4" s="4" t="s">
        <v>8</v>
      </c>
      <c r="H4" s="5" t="s">
        <v>9</v>
      </c>
      <c r="I4" s="4" t="s">
        <v>8</v>
      </c>
      <c r="J4" s="5" t="s">
        <v>9</v>
      </c>
      <c r="K4" s="210"/>
      <c r="L4" s="2"/>
    </row>
    <row r="5" spans="1:12" s="3" customFormat="1" ht="15" thickBot="1">
      <c r="A5" s="6">
        <v>1</v>
      </c>
      <c r="B5" s="7">
        <v>2</v>
      </c>
      <c r="C5" s="7">
        <v>3</v>
      </c>
      <c r="D5" s="8">
        <v>4</v>
      </c>
      <c r="E5" s="9">
        <v>5</v>
      </c>
      <c r="F5" s="10">
        <v>6</v>
      </c>
      <c r="G5" s="11">
        <v>7</v>
      </c>
      <c r="H5" s="12">
        <v>8</v>
      </c>
      <c r="I5" s="9">
        <v>9</v>
      </c>
      <c r="J5" s="13">
        <v>10</v>
      </c>
      <c r="K5" s="14">
        <v>11</v>
      </c>
      <c r="L5" s="2"/>
    </row>
    <row r="6" spans="1:12" ht="15" thickTop="1" thickBot="1">
      <c r="A6" s="15"/>
      <c r="B6" s="211" t="s">
        <v>81</v>
      </c>
      <c r="C6" s="16"/>
      <c r="D6" s="17"/>
      <c r="E6" s="18"/>
      <c r="F6" s="19"/>
      <c r="G6" s="18"/>
      <c r="H6" s="19"/>
      <c r="I6" s="18"/>
      <c r="J6" s="19"/>
      <c r="K6" s="19"/>
    </row>
    <row r="7" spans="1:12" ht="13.8">
      <c r="A7" s="21">
        <v>1</v>
      </c>
      <c r="B7" s="22" t="s">
        <v>10</v>
      </c>
      <c r="C7" s="23" t="s">
        <v>11</v>
      </c>
      <c r="D7" s="24">
        <v>24</v>
      </c>
      <c r="E7" s="25"/>
      <c r="F7" s="26"/>
      <c r="G7" s="27"/>
      <c r="H7" s="26"/>
      <c r="I7" s="27"/>
      <c r="J7" s="26"/>
      <c r="K7" s="28"/>
    </row>
    <row r="8" spans="1:12" ht="13.8">
      <c r="A8" s="29"/>
      <c r="B8" s="30" t="s">
        <v>5</v>
      </c>
      <c r="C8" s="31" t="s">
        <v>12</v>
      </c>
      <c r="D8" s="32">
        <f>D7*13</f>
        <v>312</v>
      </c>
      <c r="E8" s="33"/>
      <c r="F8" s="34"/>
      <c r="G8" s="33"/>
      <c r="H8" s="35"/>
      <c r="I8" s="36"/>
      <c r="J8" s="34"/>
      <c r="K8" s="37"/>
    </row>
    <row r="9" spans="1:12" ht="13.8">
      <c r="A9" s="29"/>
      <c r="B9" s="30" t="s">
        <v>13</v>
      </c>
      <c r="C9" s="31" t="s">
        <v>14</v>
      </c>
      <c r="D9" s="32">
        <f>D7</f>
        <v>24</v>
      </c>
      <c r="E9" s="33"/>
      <c r="F9" s="34"/>
      <c r="G9" s="38"/>
      <c r="H9" s="35"/>
      <c r="I9" s="36"/>
      <c r="J9" s="34"/>
      <c r="K9" s="37"/>
    </row>
    <row r="10" spans="1:12" ht="13.8">
      <c r="A10" s="29"/>
      <c r="B10" s="30" t="s">
        <v>15</v>
      </c>
      <c r="C10" s="31" t="s">
        <v>16</v>
      </c>
      <c r="D10" s="32">
        <f>D7*0.2*0.11</f>
        <v>0.52800000000000014</v>
      </c>
      <c r="E10" s="33"/>
      <c r="F10" s="34"/>
      <c r="G10" s="36"/>
      <c r="H10" s="34"/>
      <c r="I10" s="36"/>
      <c r="J10" s="34"/>
      <c r="K10" s="37"/>
    </row>
    <row r="11" spans="1:12" ht="13.8">
      <c r="A11" s="29"/>
      <c r="B11" s="30" t="s">
        <v>17</v>
      </c>
      <c r="C11" s="31" t="s">
        <v>18</v>
      </c>
      <c r="D11" s="32">
        <f>D10*0.319</f>
        <v>0.16843200000000005</v>
      </c>
      <c r="E11" s="33"/>
      <c r="F11" s="34"/>
      <c r="G11" s="36"/>
      <c r="H11" s="34"/>
      <c r="I11" s="36"/>
      <c r="J11" s="34"/>
      <c r="K11" s="37"/>
    </row>
    <row r="12" spans="1:12" ht="13.8">
      <c r="A12" s="29"/>
      <c r="B12" s="30" t="s">
        <v>19</v>
      </c>
      <c r="C12" s="31" t="s">
        <v>16</v>
      </c>
      <c r="D12" s="32">
        <f>D10*1.21</f>
        <v>0.63888000000000011</v>
      </c>
      <c r="E12" s="33"/>
      <c r="F12" s="34"/>
      <c r="G12" s="36"/>
      <c r="H12" s="34"/>
      <c r="I12" s="36"/>
      <c r="J12" s="34"/>
      <c r="K12" s="37"/>
    </row>
    <row r="13" spans="1:12" ht="13.8">
      <c r="A13" s="29"/>
      <c r="B13" s="30" t="s">
        <v>20</v>
      </c>
      <c r="C13" s="31" t="s">
        <v>12</v>
      </c>
      <c r="D13" s="32">
        <f>D7*13</f>
        <v>312</v>
      </c>
      <c r="E13" s="33"/>
      <c r="F13" s="34"/>
      <c r="G13" s="36"/>
      <c r="H13" s="34"/>
      <c r="I13" s="36"/>
      <c r="J13" s="34"/>
      <c r="K13" s="37"/>
    </row>
    <row r="14" spans="1:12" ht="13.8">
      <c r="A14" s="29"/>
      <c r="B14" s="30" t="s">
        <v>21</v>
      </c>
      <c r="C14" s="31" t="s">
        <v>18</v>
      </c>
      <c r="D14" s="32">
        <f>D7*0.64/1000</f>
        <v>1.5359999999999999E-2</v>
      </c>
      <c r="E14" s="33"/>
      <c r="F14" s="39"/>
      <c r="G14" s="40"/>
      <c r="H14" s="41"/>
      <c r="I14" s="42"/>
      <c r="J14" s="39"/>
      <c r="K14" s="43"/>
    </row>
    <row r="15" spans="1:12" ht="14.4" thickBot="1">
      <c r="A15" s="44"/>
      <c r="B15" s="45" t="s">
        <v>22</v>
      </c>
      <c r="C15" s="46" t="s">
        <v>14</v>
      </c>
      <c r="D15" s="47">
        <f>D7</f>
        <v>24</v>
      </c>
      <c r="E15" s="48"/>
      <c r="F15" s="49"/>
      <c r="G15" s="48"/>
      <c r="H15" s="50"/>
      <c r="I15" s="51"/>
      <c r="J15" s="49"/>
      <c r="K15" s="52"/>
    </row>
    <row r="16" spans="1:12" ht="27.6">
      <c r="A16" s="21">
        <f>MAX($A$6:A15)+1</f>
        <v>2</v>
      </c>
      <c r="B16" s="53" t="s">
        <v>23</v>
      </c>
      <c r="C16" s="23" t="s">
        <v>24</v>
      </c>
      <c r="D16" s="24">
        <v>20</v>
      </c>
      <c r="E16" s="25"/>
      <c r="F16" s="26"/>
      <c r="G16" s="25"/>
      <c r="H16" s="54"/>
      <c r="I16" s="27"/>
      <c r="J16" s="26"/>
      <c r="K16" s="55"/>
    </row>
    <row r="17" spans="1:11" ht="13.8">
      <c r="A17" s="29"/>
      <c r="B17" s="30" t="s">
        <v>5</v>
      </c>
      <c r="C17" s="31" t="s">
        <v>24</v>
      </c>
      <c r="D17" s="32">
        <f>D16</f>
        <v>20</v>
      </c>
      <c r="E17" s="33"/>
      <c r="F17" s="34"/>
      <c r="G17" s="38"/>
      <c r="H17" s="35"/>
      <c r="I17" s="36"/>
      <c r="J17" s="34"/>
      <c r="K17" s="37"/>
    </row>
    <row r="18" spans="1:11" ht="13.8">
      <c r="A18" s="29"/>
      <c r="B18" s="30" t="s">
        <v>13</v>
      </c>
      <c r="C18" s="31" t="s">
        <v>14</v>
      </c>
      <c r="D18" s="32">
        <f>D16</f>
        <v>20</v>
      </c>
      <c r="E18" s="33"/>
      <c r="F18" s="34"/>
      <c r="G18" s="38"/>
      <c r="H18" s="35"/>
      <c r="I18" s="36"/>
      <c r="J18" s="34"/>
      <c r="K18" s="37"/>
    </row>
    <row r="19" spans="1:11" ht="13.8">
      <c r="A19" s="29"/>
      <c r="B19" s="30" t="s">
        <v>25</v>
      </c>
      <c r="C19" s="31" t="s">
        <v>16</v>
      </c>
      <c r="D19" s="32">
        <f>D16*0.2*0.1*1.015</f>
        <v>0.40599999999999997</v>
      </c>
      <c r="E19" s="33"/>
      <c r="F19" s="34"/>
      <c r="G19" s="33"/>
      <c r="H19" s="35"/>
      <c r="I19" s="36"/>
      <c r="J19" s="34"/>
      <c r="K19" s="37"/>
    </row>
    <row r="20" spans="1:11" ht="13.8">
      <c r="A20" s="29"/>
      <c r="B20" s="30" t="s">
        <v>17</v>
      </c>
      <c r="C20" s="31" t="s">
        <v>18</v>
      </c>
      <c r="D20" s="32">
        <f>D19*0.326</f>
        <v>0.132356</v>
      </c>
      <c r="E20" s="33"/>
      <c r="F20" s="34"/>
      <c r="G20" s="36"/>
      <c r="H20" s="34"/>
      <c r="I20" s="36"/>
      <c r="J20" s="34"/>
      <c r="K20" s="37"/>
    </row>
    <row r="21" spans="1:11" ht="13.8">
      <c r="A21" s="29"/>
      <c r="B21" s="30" t="s">
        <v>26</v>
      </c>
      <c r="C21" s="31" t="s">
        <v>16</v>
      </c>
      <c r="D21" s="32">
        <f>D19*0.76</f>
        <v>0.30856</v>
      </c>
      <c r="E21" s="33"/>
      <c r="F21" s="34"/>
      <c r="G21" s="36"/>
      <c r="H21" s="34"/>
      <c r="I21" s="36"/>
      <c r="J21" s="34"/>
      <c r="K21" s="37"/>
    </row>
    <row r="22" spans="1:11" ht="13.8">
      <c r="A22" s="29"/>
      <c r="B22" s="30" t="s">
        <v>19</v>
      </c>
      <c r="C22" s="31" t="s">
        <v>16</v>
      </c>
      <c r="D22" s="32">
        <f>D19*0.47</f>
        <v>0.19081999999999999</v>
      </c>
      <c r="E22" s="33"/>
      <c r="F22" s="34"/>
      <c r="G22" s="36"/>
      <c r="H22" s="34"/>
      <c r="I22" s="36"/>
      <c r="J22" s="34"/>
      <c r="K22" s="37"/>
    </row>
    <row r="23" spans="1:11" ht="13.8">
      <c r="A23" s="29"/>
      <c r="B23" s="30" t="s">
        <v>27</v>
      </c>
      <c r="C23" s="31" t="s">
        <v>16</v>
      </c>
      <c r="D23" s="32">
        <f>D16*0.2*0.1</f>
        <v>0.4</v>
      </c>
      <c r="E23" s="33"/>
      <c r="F23" s="34"/>
      <c r="G23" s="33"/>
      <c r="H23" s="35"/>
      <c r="I23" s="36"/>
      <c r="J23" s="34"/>
      <c r="K23" s="37"/>
    </row>
    <row r="24" spans="1:11" ht="13.8">
      <c r="A24" s="29"/>
      <c r="B24" s="56" t="s">
        <v>28</v>
      </c>
      <c r="C24" s="31" t="s">
        <v>18</v>
      </c>
      <c r="D24" s="32">
        <f>SUM(D25:D26)</f>
        <v>9.8000000000000004E-2</v>
      </c>
      <c r="E24" s="33"/>
      <c r="F24" s="34"/>
      <c r="G24" s="33"/>
      <c r="H24" s="35"/>
      <c r="I24" s="36"/>
      <c r="J24" s="34"/>
      <c r="K24" s="37"/>
    </row>
    <row r="25" spans="1:11" ht="13.8">
      <c r="A25" s="29"/>
      <c r="B25" s="30" t="s">
        <v>21</v>
      </c>
      <c r="C25" s="31" t="s">
        <v>18</v>
      </c>
      <c r="D25" s="32">
        <f>D16*1.24/1000</f>
        <v>2.4799999999999999E-2</v>
      </c>
      <c r="E25" s="33"/>
      <c r="F25" s="39"/>
      <c r="G25" s="40"/>
      <c r="H25" s="41"/>
      <c r="I25" s="42"/>
      <c r="J25" s="39"/>
      <c r="K25" s="43"/>
    </row>
    <row r="26" spans="1:11" ht="13.8">
      <c r="A26" s="29"/>
      <c r="B26" s="30" t="s">
        <v>29</v>
      </c>
      <c r="C26" s="31" t="s">
        <v>18</v>
      </c>
      <c r="D26" s="32">
        <f>D16*3.66/1000</f>
        <v>7.3200000000000001E-2</v>
      </c>
      <c r="E26" s="33"/>
      <c r="F26" s="39"/>
      <c r="G26" s="40"/>
      <c r="H26" s="41"/>
      <c r="I26" s="42"/>
      <c r="J26" s="39"/>
      <c r="K26" s="43"/>
    </row>
    <row r="27" spans="1:11" ht="14.4" thickBot="1">
      <c r="A27" s="57"/>
      <c r="B27" s="58" t="s">
        <v>22</v>
      </c>
      <c r="C27" s="59" t="s">
        <v>14</v>
      </c>
      <c r="D27" s="60">
        <f>D16</f>
        <v>20</v>
      </c>
      <c r="E27" s="48"/>
      <c r="F27" s="49"/>
      <c r="G27" s="48"/>
      <c r="H27" s="50"/>
      <c r="I27" s="51"/>
      <c r="J27" s="49"/>
      <c r="K27" s="52"/>
    </row>
    <row r="28" spans="1:11" ht="27.6">
      <c r="A28" s="21">
        <f>MAX($A$6:A27)+1</f>
        <v>3</v>
      </c>
      <c r="B28" s="22" t="s">
        <v>30</v>
      </c>
      <c r="C28" s="23" t="s">
        <v>11</v>
      </c>
      <c r="D28" s="24">
        <v>140</v>
      </c>
      <c r="E28" s="61"/>
      <c r="F28" s="62"/>
      <c r="G28" s="63"/>
      <c r="H28" s="62"/>
      <c r="I28" s="64"/>
      <c r="J28" s="65"/>
      <c r="K28" s="66"/>
    </row>
    <row r="29" spans="1:11" ht="13.8">
      <c r="A29" s="29"/>
      <c r="B29" s="30" t="s">
        <v>31</v>
      </c>
      <c r="C29" s="31" t="s">
        <v>11</v>
      </c>
      <c r="D29" s="32">
        <f>D28</f>
        <v>140</v>
      </c>
      <c r="E29" s="67"/>
      <c r="F29" s="68"/>
      <c r="G29" s="69"/>
      <c r="H29" s="68"/>
      <c r="I29" s="69"/>
      <c r="J29" s="68"/>
      <c r="K29" s="70"/>
    </row>
    <row r="30" spans="1:11" ht="13.8">
      <c r="A30" s="29"/>
      <c r="B30" s="30" t="s">
        <v>13</v>
      </c>
      <c r="C30" s="31" t="s">
        <v>14</v>
      </c>
      <c r="D30" s="32">
        <f>D28</f>
        <v>140</v>
      </c>
      <c r="E30" s="33"/>
      <c r="F30" s="34"/>
      <c r="G30" s="38"/>
      <c r="H30" s="35"/>
      <c r="I30" s="36"/>
      <c r="J30" s="34"/>
      <c r="K30" s="37"/>
    </row>
    <row r="31" spans="1:11" ht="13.8">
      <c r="A31" s="29"/>
      <c r="B31" s="30" t="s">
        <v>32</v>
      </c>
      <c r="C31" s="31" t="s">
        <v>11</v>
      </c>
      <c r="D31" s="32">
        <f>D28*1.1</f>
        <v>154</v>
      </c>
      <c r="E31" s="67"/>
      <c r="F31" s="68"/>
      <c r="G31" s="69"/>
      <c r="H31" s="68"/>
      <c r="I31" s="69"/>
      <c r="J31" s="68"/>
      <c r="K31" s="70"/>
    </row>
    <row r="32" spans="1:11" ht="13.8">
      <c r="A32" s="29"/>
      <c r="B32" s="30" t="s">
        <v>33</v>
      </c>
      <c r="C32" s="31" t="s">
        <v>12</v>
      </c>
      <c r="D32" s="32">
        <f>D28*(1/0.4/0.6*1.5)</f>
        <v>875</v>
      </c>
      <c r="E32" s="67"/>
      <c r="F32" s="68"/>
      <c r="G32" s="69"/>
      <c r="H32" s="68"/>
      <c r="I32" s="69"/>
      <c r="J32" s="68"/>
      <c r="K32" s="70"/>
    </row>
    <row r="33" spans="1:11" ht="13.8">
      <c r="A33" s="29"/>
      <c r="B33" s="30" t="s">
        <v>34</v>
      </c>
      <c r="C33" s="31" t="s">
        <v>35</v>
      </c>
      <c r="D33" s="32">
        <f>D28*0.03*1.02</f>
        <v>4.2840000000000007</v>
      </c>
      <c r="E33" s="67"/>
      <c r="F33" s="68"/>
      <c r="G33" s="69"/>
      <c r="H33" s="68"/>
      <c r="I33" s="69"/>
      <c r="J33" s="68"/>
      <c r="K33" s="70"/>
    </row>
    <row r="34" spans="1:11" ht="13.8">
      <c r="A34" s="29"/>
      <c r="B34" s="30" t="s">
        <v>17</v>
      </c>
      <c r="C34" s="31" t="s">
        <v>36</v>
      </c>
      <c r="D34" s="32">
        <f>D33*0.418</f>
        <v>1.7907120000000003</v>
      </c>
      <c r="E34" s="67"/>
      <c r="F34" s="68"/>
      <c r="G34" s="69"/>
      <c r="H34" s="68"/>
      <c r="I34" s="69"/>
      <c r="J34" s="68"/>
      <c r="K34" s="70"/>
    </row>
    <row r="35" spans="1:11" ht="13.8">
      <c r="A35" s="29"/>
      <c r="B35" s="30" t="s">
        <v>37</v>
      </c>
      <c r="C35" s="31" t="s">
        <v>35</v>
      </c>
      <c r="D35" s="32">
        <f>D33*1.21</f>
        <v>5.1836400000000005</v>
      </c>
      <c r="E35" s="67"/>
      <c r="F35" s="68"/>
      <c r="G35" s="69"/>
      <c r="H35" s="68"/>
      <c r="I35" s="69"/>
      <c r="J35" s="68"/>
      <c r="K35" s="70"/>
    </row>
    <row r="36" spans="1:11" ht="13.8">
      <c r="A36" s="29"/>
      <c r="B36" s="30" t="s">
        <v>38</v>
      </c>
      <c r="C36" s="31" t="s">
        <v>39</v>
      </c>
      <c r="D36" s="32">
        <f>D28*0.15</f>
        <v>21</v>
      </c>
      <c r="E36" s="67"/>
      <c r="F36" s="68"/>
      <c r="G36" s="69"/>
      <c r="H36" s="68"/>
      <c r="I36" s="69"/>
      <c r="J36" s="68"/>
      <c r="K36" s="70"/>
    </row>
    <row r="37" spans="1:11" ht="14.4" thickBot="1">
      <c r="A37" s="57"/>
      <c r="B37" s="58" t="s">
        <v>40</v>
      </c>
      <c r="C37" s="59" t="s">
        <v>14</v>
      </c>
      <c r="D37" s="60">
        <f>D28</f>
        <v>140</v>
      </c>
      <c r="E37" s="67"/>
      <c r="F37" s="68"/>
      <c r="G37" s="69"/>
      <c r="H37" s="68"/>
      <c r="I37" s="69"/>
      <c r="J37" s="68"/>
      <c r="K37" s="70"/>
    </row>
    <row r="38" spans="1:11" ht="13.8">
      <c r="A38" s="21">
        <f>MAX($A$6:A37)+1</f>
        <v>4</v>
      </c>
      <c r="B38" s="22" t="s">
        <v>41</v>
      </c>
      <c r="C38" s="23" t="s">
        <v>24</v>
      </c>
      <c r="D38" s="24">
        <v>140</v>
      </c>
      <c r="E38" s="61"/>
      <c r="F38" s="62"/>
      <c r="G38" s="63"/>
      <c r="H38" s="62"/>
      <c r="I38" s="63"/>
      <c r="J38" s="62"/>
      <c r="K38" s="71"/>
    </row>
    <row r="39" spans="1:11" ht="13.8">
      <c r="A39" s="29"/>
      <c r="B39" s="30" t="s">
        <v>31</v>
      </c>
      <c r="C39" s="31" t="s">
        <v>24</v>
      </c>
      <c r="D39" s="32">
        <f>D38</f>
        <v>140</v>
      </c>
      <c r="E39" s="67"/>
      <c r="F39" s="68"/>
      <c r="G39" s="69"/>
      <c r="H39" s="68"/>
      <c r="I39" s="69"/>
      <c r="J39" s="68"/>
      <c r="K39" s="70"/>
    </row>
    <row r="40" spans="1:11" ht="13.8">
      <c r="A40" s="29"/>
      <c r="B40" s="30" t="s">
        <v>32</v>
      </c>
      <c r="C40" s="31" t="s">
        <v>11</v>
      </c>
      <c r="D40" s="32">
        <f>D38*1.1*0.2</f>
        <v>30.8</v>
      </c>
      <c r="E40" s="67"/>
      <c r="F40" s="68"/>
      <c r="G40" s="69"/>
      <c r="H40" s="68"/>
      <c r="I40" s="69"/>
      <c r="J40" s="68"/>
      <c r="K40" s="70"/>
    </row>
    <row r="41" spans="1:11" ht="13.8">
      <c r="A41" s="29"/>
      <c r="B41" s="30" t="s">
        <v>42</v>
      </c>
      <c r="C41" s="31" t="s">
        <v>39</v>
      </c>
      <c r="D41" s="32">
        <f>D38*0.2*8</f>
        <v>224</v>
      </c>
      <c r="E41" s="67"/>
      <c r="F41" s="68"/>
      <c r="G41" s="69"/>
      <c r="H41" s="68"/>
      <c r="I41" s="69"/>
      <c r="J41" s="68"/>
      <c r="K41" s="70"/>
    </row>
    <row r="42" spans="1:11" ht="13.8">
      <c r="A42" s="29"/>
      <c r="B42" s="30" t="s">
        <v>38</v>
      </c>
      <c r="C42" s="31" t="s">
        <v>39</v>
      </c>
      <c r="D42" s="32">
        <f>D38*0.2*0.24</f>
        <v>6.72</v>
      </c>
      <c r="E42" s="67"/>
      <c r="F42" s="68"/>
      <c r="G42" s="69"/>
      <c r="H42" s="68"/>
      <c r="I42" s="69"/>
      <c r="J42" s="68"/>
      <c r="K42" s="70"/>
    </row>
    <row r="43" spans="1:11" ht="14.4" thickBot="1">
      <c r="A43" s="57"/>
      <c r="B43" s="58" t="s">
        <v>40</v>
      </c>
      <c r="C43" s="59" t="s">
        <v>14</v>
      </c>
      <c r="D43" s="60">
        <f>D38</f>
        <v>140</v>
      </c>
      <c r="E43" s="48"/>
      <c r="F43" s="49"/>
      <c r="G43" s="51"/>
      <c r="H43" s="49"/>
      <c r="I43" s="51"/>
      <c r="J43" s="49"/>
      <c r="K43" s="52"/>
    </row>
    <row r="44" spans="1:11" ht="27.6">
      <c r="A44" s="21">
        <f>MAX($A$6:A43)+1</f>
        <v>5</v>
      </c>
      <c r="B44" s="53" t="s">
        <v>43</v>
      </c>
      <c r="C44" s="23" t="s">
        <v>11</v>
      </c>
      <c r="D44" s="24">
        <v>80</v>
      </c>
      <c r="E44" s="72"/>
      <c r="F44" s="26"/>
      <c r="G44" s="72"/>
      <c r="H44" s="73"/>
      <c r="I44" s="74"/>
      <c r="J44" s="75"/>
      <c r="K44" s="76"/>
    </row>
    <row r="45" spans="1:11" ht="13.8">
      <c r="A45" s="77"/>
      <c r="B45" s="56" t="s">
        <v>31</v>
      </c>
      <c r="C45" s="31" t="s">
        <v>11</v>
      </c>
      <c r="D45" s="32">
        <f>D44</f>
        <v>80</v>
      </c>
      <c r="E45" s="33"/>
      <c r="F45" s="34"/>
      <c r="G45" s="33"/>
      <c r="H45" s="35"/>
      <c r="I45" s="36"/>
      <c r="J45" s="34"/>
      <c r="K45" s="37"/>
    </row>
    <row r="46" spans="1:11" ht="27.6">
      <c r="A46" s="77"/>
      <c r="B46" s="56" t="s">
        <v>44</v>
      </c>
      <c r="C46" s="31" t="s">
        <v>39</v>
      </c>
      <c r="D46" s="32">
        <f>D44*8</f>
        <v>640</v>
      </c>
      <c r="E46" s="33"/>
      <c r="F46" s="34"/>
      <c r="G46" s="33"/>
      <c r="H46" s="35"/>
      <c r="I46" s="36"/>
      <c r="J46" s="34"/>
      <c r="K46" s="37"/>
    </row>
    <row r="47" spans="1:11" ht="13.8">
      <c r="A47" s="77"/>
      <c r="B47" s="56" t="s">
        <v>45</v>
      </c>
      <c r="C47" s="31" t="s">
        <v>11</v>
      </c>
      <c r="D47" s="32">
        <f>D44*1.12</f>
        <v>89.600000000000009</v>
      </c>
      <c r="E47" s="33"/>
      <c r="F47" s="34"/>
      <c r="G47" s="33"/>
      <c r="H47" s="35"/>
      <c r="I47" s="36"/>
      <c r="J47" s="34"/>
      <c r="K47" s="37"/>
    </row>
    <row r="48" spans="1:11" ht="13.8">
      <c r="A48" s="77"/>
      <c r="B48" s="56" t="s">
        <v>46</v>
      </c>
      <c r="C48" s="31" t="s">
        <v>47</v>
      </c>
      <c r="D48" s="32">
        <f>D44*0.1</f>
        <v>8</v>
      </c>
      <c r="E48" s="33"/>
      <c r="F48" s="34"/>
      <c r="G48" s="33"/>
      <c r="H48" s="35"/>
      <c r="I48" s="36"/>
      <c r="J48" s="34"/>
      <c r="K48" s="37"/>
    </row>
    <row r="49" spans="1:11" ht="13.8">
      <c r="A49" s="77"/>
      <c r="B49" s="56" t="s">
        <v>48</v>
      </c>
      <c r="C49" s="31" t="s">
        <v>39</v>
      </c>
      <c r="D49" s="32">
        <f>D44*5</f>
        <v>400</v>
      </c>
      <c r="E49" s="33"/>
      <c r="F49" s="34"/>
      <c r="G49" s="33"/>
      <c r="H49" s="35"/>
      <c r="I49" s="36"/>
      <c r="J49" s="34"/>
      <c r="K49" s="37"/>
    </row>
    <row r="50" spans="1:11" ht="27.6">
      <c r="A50" s="77"/>
      <c r="B50" s="56" t="s">
        <v>49</v>
      </c>
      <c r="C50" s="31" t="s">
        <v>47</v>
      </c>
      <c r="D50" s="32">
        <f>D44*0.44</f>
        <v>35.200000000000003</v>
      </c>
      <c r="E50" s="33"/>
      <c r="F50" s="34"/>
      <c r="G50" s="33"/>
      <c r="H50" s="35"/>
      <c r="I50" s="36"/>
      <c r="J50" s="34"/>
      <c r="K50" s="37"/>
    </row>
    <row r="51" spans="1:11" ht="14.4" thickBot="1">
      <c r="A51" s="44"/>
      <c r="B51" s="45" t="s">
        <v>40</v>
      </c>
      <c r="C51" s="46" t="s">
        <v>14</v>
      </c>
      <c r="D51" s="47">
        <f>D44</f>
        <v>80</v>
      </c>
      <c r="E51" s="48"/>
      <c r="F51" s="49"/>
      <c r="G51" s="48"/>
      <c r="H51" s="50"/>
      <c r="I51" s="51"/>
      <c r="J51" s="49"/>
      <c r="K51" s="52"/>
    </row>
    <row r="52" spans="1:11" ht="27.6">
      <c r="A52" s="78">
        <f>MAX($A$6:A51)+1</f>
        <v>6</v>
      </c>
      <c r="B52" s="79" t="s">
        <v>50</v>
      </c>
      <c r="C52" s="80" t="s">
        <v>24</v>
      </c>
      <c r="D52" s="81">
        <v>35</v>
      </c>
      <c r="E52" s="82"/>
      <c r="F52" s="83"/>
      <c r="G52" s="82"/>
      <c r="H52" s="84"/>
      <c r="I52" s="85"/>
      <c r="J52" s="86"/>
      <c r="K52" s="87"/>
    </row>
    <row r="53" spans="1:11" ht="13.8">
      <c r="A53" s="88"/>
      <c r="B53" s="89" t="s">
        <v>31</v>
      </c>
      <c r="C53" s="90" t="s">
        <v>24</v>
      </c>
      <c r="D53" s="91">
        <f>D52</f>
        <v>35</v>
      </c>
      <c r="E53" s="92"/>
      <c r="F53" s="93"/>
      <c r="G53" s="92"/>
      <c r="H53" s="94"/>
      <c r="I53" s="95"/>
      <c r="J53" s="93"/>
      <c r="K53" s="96"/>
    </row>
    <row r="54" spans="1:11" ht="27.6">
      <c r="A54" s="88"/>
      <c r="B54" s="89" t="s">
        <v>51</v>
      </c>
      <c r="C54" s="90" t="s">
        <v>39</v>
      </c>
      <c r="D54" s="91">
        <f>D52*7.15*0.15</f>
        <v>37.537500000000001</v>
      </c>
      <c r="E54" s="92"/>
      <c r="F54" s="93"/>
      <c r="G54" s="92"/>
      <c r="H54" s="94"/>
      <c r="I54" s="95"/>
      <c r="J54" s="93"/>
      <c r="K54" s="96"/>
    </row>
    <row r="55" spans="1:11" ht="13.8">
      <c r="A55" s="88"/>
      <c r="B55" s="89" t="s">
        <v>52</v>
      </c>
      <c r="C55" s="90" t="s">
        <v>11</v>
      </c>
      <c r="D55" s="91">
        <f>D52*1.1*0.15</f>
        <v>5.7749999999999995</v>
      </c>
      <c r="E55" s="92"/>
      <c r="F55" s="93"/>
      <c r="G55" s="92"/>
      <c r="H55" s="94"/>
      <c r="I55" s="95"/>
      <c r="J55" s="93"/>
      <c r="K55" s="96"/>
    </row>
    <row r="56" spans="1:11" ht="13.8">
      <c r="A56" s="88"/>
      <c r="B56" s="89" t="s">
        <v>53</v>
      </c>
      <c r="C56" s="90" t="s">
        <v>12</v>
      </c>
      <c r="D56" s="91">
        <f>D52*7*0.15</f>
        <v>36.75</v>
      </c>
      <c r="E56" s="92"/>
      <c r="F56" s="93"/>
      <c r="G56" s="92"/>
      <c r="H56" s="94"/>
      <c r="I56" s="95"/>
      <c r="J56" s="93"/>
      <c r="K56" s="96"/>
    </row>
    <row r="57" spans="1:11" ht="27.6">
      <c r="A57" s="88"/>
      <c r="B57" s="89" t="s">
        <v>44</v>
      </c>
      <c r="C57" s="90" t="s">
        <v>39</v>
      </c>
      <c r="D57" s="91">
        <f>D52*8*0.15</f>
        <v>42</v>
      </c>
      <c r="E57" s="92"/>
      <c r="F57" s="93"/>
      <c r="G57" s="92"/>
      <c r="H57" s="94"/>
      <c r="I57" s="95"/>
      <c r="J57" s="93"/>
      <c r="K57" s="96"/>
    </row>
    <row r="58" spans="1:11" ht="13.8">
      <c r="A58" s="88"/>
      <c r="B58" s="89" t="s">
        <v>45</v>
      </c>
      <c r="C58" s="90" t="s">
        <v>11</v>
      </c>
      <c r="D58" s="91">
        <f>D52*1.12*0.15</f>
        <v>5.88</v>
      </c>
      <c r="E58" s="92"/>
      <c r="F58" s="93"/>
      <c r="G58" s="92"/>
      <c r="H58" s="94"/>
      <c r="I58" s="95"/>
      <c r="J58" s="93"/>
      <c r="K58" s="96"/>
    </row>
    <row r="59" spans="1:11" ht="13.8">
      <c r="A59" s="88"/>
      <c r="B59" s="89" t="s">
        <v>54</v>
      </c>
      <c r="C59" s="90" t="s">
        <v>24</v>
      </c>
      <c r="D59" s="91">
        <f>D52*1.05</f>
        <v>36.75</v>
      </c>
      <c r="E59" s="92"/>
      <c r="F59" s="93"/>
      <c r="G59" s="92"/>
      <c r="H59" s="94"/>
      <c r="I59" s="95"/>
      <c r="J59" s="93"/>
      <c r="K59" s="96"/>
    </row>
    <row r="60" spans="1:11" ht="13.8">
      <c r="A60" s="88"/>
      <c r="B60" s="89" t="s">
        <v>46</v>
      </c>
      <c r="C60" s="90" t="s">
        <v>47</v>
      </c>
      <c r="D60" s="91">
        <f>D52*0.1*0.15</f>
        <v>0.52500000000000002</v>
      </c>
      <c r="E60" s="92"/>
      <c r="F60" s="93"/>
      <c r="G60" s="92"/>
      <c r="H60" s="94"/>
      <c r="I60" s="95"/>
      <c r="J60" s="93"/>
      <c r="K60" s="96"/>
    </row>
    <row r="61" spans="1:11" ht="13.8">
      <c r="A61" s="88"/>
      <c r="B61" s="89" t="s">
        <v>48</v>
      </c>
      <c r="C61" s="90" t="s">
        <v>39</v>
      </c>
      <c r="D61" s="91">
        <f>D52*5*0.15</f>
        <v>26.25</v>
      </c>
      <c r="E61" s="92"/>
      <c r="F61" s="93"/>
      <c r="G61" s="92"/>
      <c r="H61" s="94"/>
      <c r="I61" s="95"/>
      <c r="J61" s="93"/>
      <c r="K61" s="96"/>
    </row>
    <row r="62" spans="1:11" ht="27.6">
      <c r="A62" s="88"/>
      <c r="B62" s="89" t="s">
        <v>49</v>
      </c>
      <c r="C62" s="90" t="s">
        <v>47</v>
      </c>
      <c r="D62" s="91">
        <f>D52*0.44*0.15</f>
        <v>2.31</v>
      </c>
      <c r="E62" s="92"/>
      <c r="F62" s="93"/>
      <c r="G62" s="92"/>
      <c r="H62" s="94"/>
      <c r="I62" s="95"/>
      <c r="J62" s="93"/>
      <c r="K62" s="96"/>
    </row>
    <row r="63" spans="1:11" ht="14.4" thickBot="1">
      <c r="A63" s="97"/>
      <c r="B63" s="98" t="s">
        <v>40</v>
      </c>
      <c r="C63" s="99" t="s">
        <v>14</v>
      </c>
      <c r="D63" s="100">
        <f>D52</f>
        <v>35</v>
      </c>
      <c r="E63" s="101"/>
      <c r="F63" s="102"/>
      <c r="G63" s="101"/>
      <c r="H63" s="103"/>
      <c r="I63" s="104"/>
      <c r="J63" s="102"/>
      <c r="K63" s="105"/>
    </row>
    <row r="64" spans="1:11" ht="13.8">
      <c r="A64" s="78">
        <f>MAX($A$6:A63)+1</f>
        <v>7</v>
      </c>
      <c r="B64" s="106" t="s">
        <v>55</v>
      </c>
      <c r="C64" s="107" t="s">
        <v>11</v>
      </c>
      <c r="D64" s="108">
        <f>361+25*1.2</f>
        <v>391</v>
      </c>
      <c r="E64" s="82"/>
      <c r="F64" s="86"/>
      <c r="G64" s="82"/>
      <c r="H64" s="84"/>
      <c r="I64" s="85"/>
      <c r="J64" s="86"/>
      <c r="K64" s="87"/>
    </row>
    <row r="65" spans="1:11" ht="13.8">
      <c r="A65" s="109"/>
      <c r="B65" s="89" t="s">
        <v>31</v>
      </c>
      <c r="C65" s="110" t="s">
        <v>11</v>
      </c>
      <c r="D65" s="111">
        <f>D64</f>
        <v>391</v>
      </c>
      <c r="E65" s="92"/>
      <c r="F65" s="93"/>
      <c r="G65" s="92"/>
      <c r="H65" s="94"/>
      <c r="I65" s="95"/>
      <c r="J65" s="93"/>
      <c r="K65" s="96"/>
    </row>
    <row r="66" spans="1:11" ht="13.8">
      <c r="A66" s="29"/>
      <c r="B66" s="30" t="s">
        <v>13</v>
      </c>
      <c r="C66" s="31" t="s">
        <v>14</v>
      </c>
      <c r="D66" s="32">
        <f>D64</f>
        <v>391</v>
      </c>
      <c r="E66" s="33"/>
      <c r="F66" s="34"/>
      <c r="G66" s="38"/>
      <c r="H66" s="35"/>
      <c r="I66" s="36"/>
      <c r="J66" s="34"/>
      <c r="K66" s="37"/>
    </row>
    <row r="67" spans="1:11" ht="13.8">
      <c r="A67" s="112"/>
      <c r="B67" s="30" t="s">
        <v>56</v>
      </c>
      <c r="C67" s="113" t="s">
        <v>11</v>
      </c>
      <c r="D67" s="114">
        <f>D64*1.25</f>
        <v>488.75</v>
      </c>
      <c r="E67" s="115"/>
      <c r="F67" s="116"/>
      <c r="G67" s="117"/>
      <c r="H67" s="116"/>
      <c r="I67" s="115"/>
      <c r="J67" s="118"/>
      <c r="K67" s="119"/>
    </row>
    <row r="68" spans="1:11" ht="14.4" thickBot="1">
      <c r="A68" s="112"/>
      <c r="B68" s="30" t="s">
        <v>22</v>
      </c>
      <c r="C68" s="113" t="s">
        <v>14</v>
      </c>
      <c r="D68" s="114">
        <f>D64</f>
        <v>391</v>
      </c>
      <c r="E68" s="115"/>
      <c r="F68" s="116"/>
      <c r="G68" s="117"/>
      <c r="H68" s="116"/>
      <c r="I68" s="115"/>
      <c r="J68" s="118"/>
      <c r="K68" s="119"/>
    </row>
    <row r="69" spans="1:11" ht="13.8">
      <c r="A69" s="78">
        <f>MAX($A$6:A68)+1</f>
        <v>8</v>
      </c>
      <c r="B69" s="106" t="s">
        <v>57</v>
      </c>
      <c r="C69" s="107" t="s">
        <v>11</v>
      </c>
      <c r="D69" s="108">
        <v>361</v>
      </c>
      <c r="E69" s="82"/>
      <c r="F69" s="86"/>
      <c r="G69" s="82"/>
      <c r="H69" s="84"/>
      <c r="I69" s="85"/>
      <c r="J69" s="86"/>
      <c r="K69" s="87"/>
    </row>
    <row r="70" spans="1:11" ht="13.8">
      <c r="A70" s="109"/>
      <c r="B70" s="89" t="s">
        <v>31</v>
      </c>
      <c r="C70" s="110" t="s">
        <v>11</v>
      </c>
      <c r="D70" s="111">
        <f>D69</f>
        <v>361</v>
      </c>
      <c r="E70" s="120"/>
      <c r="F70" s="121"/>
      <c r="G70" s="120"/>
      <c r="H70" s="122"/>
      <c r="I70" s="123"/>
      <c r="J70" s="121"/>
      <c r="K70" s="96"/>
    </row>
    <row r="71" spans="1:11" ht="13.8">
      <c r="A71" s="124"/>
      <c r="B71" s="89" t="s">
        <v>58</v>
      </c>
      <c r="C71" s="110" t="s">
        <v>16</v>
      </c>
      <c r="D71" s="111">
        <f>10*1.1</f>
        <v>11</v>
      </c>
      <c r="E71" s="92"/>
      <c r="F71" s="93"/>
      <c r="G71" s="92"/>
      <c r="H71" s="94"/>
      <c r="I71" s="95"/>
      <c r="J71" s="93"/>
      <c r="K71" s="96"/>
    </row>
    <row r="72" spans="1:11" ht="13.8">
      <c r="A72" s="124"/>
      <c r="B72" s="89" t="s">
        <v>59</v>
      </c>
      <c r="C72" s="110" t="s">
        <v>12</v>
      </c>
      <c r="D72" s="111">
        <v>2000</v>
      </c>
      <c r="E72" s="92"/>
      <c r="F72" s="93"/>
      <c r="G72" s="92"/>
      <c r="H72" s="94"/>
      <c r="I72" s="95"/>
      <c r="J72" s="93"/>
      <c r="K72" s="96"/>
    </row>
    <row r="73" spans="1:11" ht="13.8">
      <c r="A73" s="124"/>
      <c r="B73" s="89" t="s">
        <v>60</v>
      </c>
      <c r="C73" s="110" t="s">
        <v>39</v>
      </c>
      <c r="D73" s="111">
        <v>20</v>
      </c>
      <c r="E73" s="92"/>
      <c r="F73" s="93"/>
      <c r="G73" s="92"/>
      <c r="H73" s="94"/>
      <c r="I73" s="95"/>
      <c r="J73" s="93"/>
      <c r="K73" s="96"/>
    </row>
    <row r="74" spans="1:11" ht="14.4" thickBot="1">
      <c r="A74" s="124"/>
      <c r="B74" s="89" t="s">
        <v>22</v>
      </c>
      <c r="C74" s="110" t="s">
        <v>14</v>
      </c>
      <c r="D74" s="111">
        <f>D69</f>
        <v>361</v>
      </c>
      <c r="E74" s="125"/>
      <c r="F74" s="126"/>
      <c r="G74" s="125"/>
      <c r="H74" s="127"/>
      <c r="I74" s="128"/>
      <c r="J74" s="126"/>
      <c r="K74" s="129"/>
    </row>
    <row r="75" spans="1:11" ht="13.8">
      <c r="A75" s="78">
        <f>MAX($A$6:A74)+1</f>
        <v>9</v>
      </c>
      <c r="B75" s="106" t="s">
        <v>61</v>
      </c>
      <c r="C75" s="107" t="s">
        <v>11</v>
      </c>
      <c r="D75" s="130">
        <v>361</v>
      </c>
      <c r="E75" s="85"/>
      <c r="F75" s="84"/>
      <c r="G75" s="85"/>
      <c r="H75" s="86"/>
      <c r="I75" s="85"/>
      <c r="J75" s="86"/>
      <c r="K75" s="131"/>
    </row>
    <row r="76" spans="1:11" ht="13.8">
      <c r="A76" s="132"/>
      <c r="B76" s="133" t="s">
        <v>31</v>
      </c>
      <c r="C76" s="134" t="str">
        <f>C75</f>
        <v>კვ.მ</v>
      </c>
      <c r="D76" s="135">
        <f>D75</f>
        <v>361</v>
      </c>
      <c r="E76" s="95"/>
      <c r="F76" s="94"/>
      <c r="G76" s="95"/>
      <c r="H76" s="93"/>
      <c r="I76" s="95"/>
      <c r="J76" s="93"/>
      <c r="K76" s="136"/>
    </row>
    <row r="77" spans="1:11" ht="14.4" thickBot="1">
      <c r="A77" s="29"/>
      <c r="B77" s="30" t="s">
        <v>13</v>
      </c>
      <c r="C77" s="31" t="s">
        <v>14</v>
      </c>
      <c r="D77" s="137">
        <f>D75</f>
        <v>361</v>
      </c>
      <c r="E77" s="51"/>
      <c r="F77" s="50"/>
      <c r="G77" s="51"/>
      <c r="H77" s="49"/>
      <c r="I77" s="51"/>
      <c r="J77" s="49"/>
      <c r="K77" s="138"/>
    </row>
    <row r="78" spans="1:11" ht="13.8">
      <c r="A78" s="78">
        <f>MAX($A$6:A77)+1</f>
        <v>10</v>
      </c>
      <c r="B78" s="106" t="s">
        <v>62</v>
      </c>
      <c r="C78" s="107" t="s">
        <v>11</v>
      </c>
      <c r="D78" s="130">
        <v>361</v>
      </c>
      <c r="E78" s="85"/>
      <c r="F78" s="84"/>
      <c r="G78" s="85"/>
      <c r="H78" s="86"/>
      <c r="I78" s="85"/>
      <c r="J78" s="86"/>
      <c r="K78" s="131"/>
    </row>
    <row r="79" spans="1:11" ht="13.8">
      <c r="A79" s="132"/>
      <c r="B79" s="133" t="s">
        <v>31</v>
      </c>
      <c r="C79" s="134" t="str">
        <f>C78</f>
        <v>კვ.მ</v>
      </c>
      <c r="D79" s="135">
        <f>D78</f>
        <v>361</v>
      </c>
      <c r="E79" s="95"/>
      <c r="F79" s="94"/>
      <c r="G79" s="95"/>
      <c r="H79" s="93"/>
      <c r="I79" s="95"/>
      <c r="J79" s="93"/>
      <c r="K79" s="136"/>
    </row>
    <row r="80" spans="1:11" ht="14.4" thickBot="1">
      <c r="A80" s="29"/>
      <c r="B80" s="30" t="s">
        <v>13</v>
      </c>
      <c r="C80" s="31" t="s">
        <v>14</v>
      </c>
      <c r="D80" s="137">
        <f>D78</f>
        <v>361</v>
      </c>
      <c r="E80" s="51"/>
      <c r="F80" s="50"/>
      <c r="G80" s="51"/>
      <c r="H80" s="49"/>
      <c r="I80" s="51"/>
      <c r="J80" s="49"/>
      <c r="K80" s="138"/>
    </row>
    <row r="81" spans="1:11" ht="13.8">
      <c r="A81" s="78">
        <f>MAX($A$6:A80)+1</f>
        <v>11</v>
      </c>
      <c r="B81" s="106" t="s">
        <v>63</v>
      </c>
      <c r="C81" s="107" t="s">
        <v>24</v>
      </c>
      <c r="D81" s="108">
        <f>18.4+18.4+18.4</f>
        <v>55.199999999999996</v>
      </c>
      <c r="E81" s="82"/>
      <c r="F81" s="86"/>
      <c r="G81" s="82"/>
      <c r="H81" s="84"/>
      <c r="I81" s="85"/>
      <c r="J81" s="86"/>
      <c r="K81" s="87"/>
    </row>
    <row r="82" spans="1:11" ht="13.8">
      <c r="A82" s="109"/>
      <c r="B82" s="89" t="s">
        <v>31</v>
      </c>
      <c r="C82" s="110" t="str">
        <f>C81</f>
        <v>გრძ.მ</v>
      </c>
      <c r="D82" s="111">
        <f>D81</f>
        <v>55.199999999999996</v>
      </c>
      <c r="E82" s="120"/>
      <c r="F82" s="121"/>
      <c r="G82" s="120"/>
      <c r="H82" s="122"/>
      <c r="I82" s="123"/>
      <c r="J82" s="121"/>
      <c r="K82" s="96"/>
    </row>
    <row r="83" spans="1:11" ht="13.8">
      <c r="A83" s="124"/>
      <c r="B83" s="89" t="s">
        <v>64</v>
      </c>
      <c r="C83" s="110" t="s">
        <v>11</v>
      </c>
      <c r="D83" s="111">
        <f>D81*1.2*1.25</f>
        <v>82.8</v>
      </c>
      <c r="E83" s="92"/>
      <c r="F83" s="93"/>
      <c r="G83" s="92"/>
      <c r="H83" s="94"/>
      <c r="I83" s="95"/>
      <c r="J83" s="93"/>
      <c r="K83" s="96"/>
    </row>
    <row r="84" spans="1:11" ht="13.8">
      <c r="A84" s="124"/>
      <c r="B84" s="89" t="s">
        <v>60</v>
      </c>
      <c r="C84" s="110" t="s">
        <v>39</v>
      </c>
      <c r="D84" s="111">
        <v>50</v>
      </c>
      <c r="E84" s="92"/>
      <c r="F84" s="93"/>
      <c r="G84" s="92"/>
      <c r="H84" s="94"/>
      <c r="I84" s="95"/>
      <c r="J84" s="93"/>
      <c r="K84" s="96"/>
    </row>
    <row r="85" spans="1:11" ht="13.8">
      <c r="A85" s="124"/>
      <c r="B85" s="89" t="s">
        <v>65</v>
      </c>
      <c r="C85" s="110" t="s">
        <v>12</v>
      </c>
      <c r="D85" s="111">
        <v>5</v>
      </c>
      <c r="E85" s="92"/>
      <c r="F85" s="93"/>
      <c r="G85" s="92"/>
      <c r="H85" s="94"/>
      <c r="I85" s="95"/>
      <c r="J85" s="93"/>
      <c r="K85" s="96"/>
    </row>
    <row r="86" spans="1:11" ht="14.4" thickBot="1">
      <c r="A86" s="124"/>
      <c r="B86" s="89" t="s">
        <v>13</v>
      </c>
      <c r="C86" s="110" t="s">
        <v>14</v>
      </c>
      <c r="D86" s="111">
        <f>D81</f>
        <v>55.199999999999996</v>
      </c>
      <c r="E86" s="92"/>
      <c r="F86" s="93"/>
      <c r="G86" s="92"/>
      <c r="H86" s="94"/>
      <c r="I86" s="95"/>
      <c r="J86" s="93"/>
      <c r="K86" s="96"/>
    </row>
    <row r="87" spans="1:11" ht="13.8">
      <c r="A87" s="78">
        <f>MAX($A$6:A86)+1</f>
        <v>12</v>
      </c>
      <c r="B87" s="53" t="s">
        <v>66</v>
      </c>
      <c r="C87" s="139" t="s">
        <v>24</v>
      </c>
      <c r="D87" s="140">
        <v>55.2</v>
      </c>
      <c r="E87" s="141"/>
      <c r="F87" s="142"/>
      <c r="G87" s="143"/>
      <c r="H87" s="142"/>
      <c r="I87" s="141"/>
      <c r="J87" s="144"/>
      <c r="K87" s="145"/>
    </row>
    <row r="88" spans="1:11" ht="13.8">
      <c r="A88" s="112"/>
      <c r="B88" s="56" t="s">
        <v>31</v>
      </c>
      <c r="C88" s="113" t="s">
        <v>24</v>
      </c>
      <c r="D88" s="114">
        <f>D87</f>
        <v>55.2</v>
      </c>
      <c r="E88" s="115"/>
      <c r="F88" s="116"/>
      <c r="G88" s="117"/>
      <c r="H88" s="116"/>
      <c r="I88" s="146"/>
      <c r="J88" s="118"/>
      <c r="K88" s="119"/>
    </row>
    <row r="89" spans="1:11" ht="13.8">
      <c r="A89" s="112"/>
      <c r="B89" s="30" t="s">
        <v>56</v>
      </c>
      <c r="C89" s="113" t="s">
        <v>11</v>
      </c>
      <c r="D89" s="114">
        <f>D87*0.4*1.25</f>
        <v>27.6</v>
      </c>
      <c r="E89" s="115"/>
      <c r="F89" s="116"/>
      <c r="G89" s="117"/>
      <c r="H89" s="116"/>
      <c r="I89" s="115"/>
      <c r="J89" s="118"/>
      <c r="K89" s="119"/>
    </row>
    <row r="90" spans="1:11" ht="13.8">
      <c r="A90" s="112"/>
      <c r="B90" s="56" t="s">
        <v>65</v>
      </c>
      <c r="C90" s="113" t="s">
        <v>12</v>
      </c>
      <c r="D90" s="114">
        <f>D87*0.15</f>
        <v>8.2799999999999994</v>
      </c>
      <c r="E90" s="115"/>
      <c r="F90" s="116"/>
      <c r="G90" s="117"/>
      <c r="H90" s="116"/>
      <c r="I90" s="115"/>
      <c r="J90" s="118"/>
      <c r="K90" s="119"/>
    </row>
    <row r="91" spans="1:11" ht="14.4" thickBot="1">
      <c r="A91" s="147"/>
      <c r="B91" s="58" t="s">
        <v>40</v>
      </c>
      <c r="C91" s="148" t="s">
        <v>14</v>
      </c>
      <c r="D91" s="149">
        <f>D87</f>
        <v>55.2</v>
      </c>
      <c r="E91" s="150"/>
      <c r="F91" s="151"/>
      <c r="G91" s="152"/>
      <c r="H91" s="151"/>
      <c r="I91" s="150"/>
      <c r="J91" s="153"/>
      <c r="K91" s="154"/>
    </row>
    <row r="92" spans="1:11" ht="13.8">
      <c r="A92" s="78">
        <f>MAX($A$6:A91)+1</f>
        <v>13</v>
      </c>
      <c r="B92" s="106" t="s">
        <v>67</v>
      </c>
      <c r="C92" s="107" t="s">
        <v>24</v>
      </c>
      <c r="D92" s="108">
        <v>30</v>
      </c>
      <c r="E92" s="82"/>
      <c r="F92" s="86"/>
      <c r="G92" s="82"/>
      <c r="H92" s="84"/>
      <c r="I92" s="85"/>
      <c r="J92" s="86"/>
      <c r="K92" s="87"/>
    </row>
    <row r="93" spans="1:11" ht="13.8">
      <c r="A93" s="109"/>
      <c r="B93" s="89" t="s">
        <v>31</v>
      </c>
      <c r="C93" s="110" t="str">
        <f>C92</f>
        <v>გრძ.მ</v>
      </c>
      <c r="D93" s="111">
        <f>D92</f>
        <v>30</v>
      </c>
      <c r="E93" s="120"/>
      <c r="F93" s="121"/>
      <c r="G93" s="120"/>
      <c r="H93" s="122"/>
      <c r="I93" s="123"/>
      <c r="J93" s="121"/>
      <c r="K93" s="155"/>
    </row>
    <row r="94" spans="1:11" ht="13.8">
      <c r="A94" s="124"/>
      <c r="B94" s="89" t="s">
        <v>68</v>
      </c>
      <c r="C94" s="110" t="s">
        <v>12</v>
      </c>
      <c r="D94" s="111">
        <v>42</v>
      </c>
      <c r="E94" s="92"/>
      <c r="F94" s="93"/>
      <c r="G94" s="92"/>
      <c r="H94" s="94"/>
      <c r="I94" s="95"/>
      <c r="J94" s="93"/>
      <c r="K94" s="96"/>
    </row>
    <row r="95" spans="1:11" ht="13.8">
      <c r="A95" s="124"/>
      <c r="B95" s="89" t="s">
        <v>69</v>
      </c>
      <c r="C95" s="110" t="s">
        <v>11</v>
      </c>
      <c r="D95" s="111">
        <f>2*3.14*0.25*D92*1.25</f>
        <v>58.875</v>
      </c>
      <c r="E95" s="115"/>
      <c r="F95" s="126"/>
      <c r="G95" s="125"/>
      <c r="H95" s="127"/>
      <c r="I95" s="128"/>
      <c r="J95" s="126"/>
      <c r="K95" s="129"/>
    </row>
    <row r="96" spans="1:11" ht="14.4" thickBot="1">
      <c r="A96" s="156"/>
      <c r="B96" s="133" t="s">
        <v>70</v>
      </c>
      <c r="C96" s="134" t="s">
        <v>12</v>
      </c>
      <c r="D96" s="157">
        <v>10</v>
      </c>
      <c r="E96" s="101"/>
      <c r="F96" s="102"/>
      <c r="G96" s="101"/>
      <c r="H96" s="103"/>
      <c r="I96" s="104"/>
      <c r="J96" s="102"/>
      <c r="K96" s="105"/>
    </row>
    <row r="97" spans="1:13" ht="13.8">
      <c r="A97" s="78">
        <f>MAX($A$6:A96)+1</f>
        <v>14</v>
      </c>
      <c r="B97" s="53" t="s">
        <v>71</v>
      </c>
      <c r="C97" s="139" t="s">
        <v>24</v>
      </c>
      <c r="D97" s="140">
        <v>10</v>
      </c>
      <c r="E97" s="141"/>
      <c r="F97" s="142"/>
      <c r="G97" s="141"/>
      <c r="H97" s="144"/>
      <c r="I97" s="143"/>
      <c r="J97" s="142"/>
      <c r="K97" s="145"/>
    </row>
    <row r="98" spans="1:13" ht="13.8">
      <c r="A98" s="112"/>
      <c r="B98" s="56" t="s">
        <v>31</v>
      </c>
      <c r="C98" s="113" t="s">
        <v>16</v>
      </c>
      <c r="D98" s="114">
        <f>D97</f>
        <v>10</v>
      </c>
      <c r="E98" s="115"/>
      <c r="F98" s="116"/>
      <c r="G98" s="158"/>
      <c r="H98" s="118"/>
      <c r="I98" s="117"/>
      <c r="J98" s="116"/>
      <c r="K98" s="119"/>
    </row>
    <row r="99" spans="1:13" ht="13.8">
      <c r="A99" s="112"/>
      <c r="B99" s="56" t="s">
        <v>56</v>
      </c>
      <c r="C99" s="113" t="s">
        <v>11</v>
      </c>
      <c r="D99" s="114">
        <f>2*3.14*0.25*D97*1.25</f>
        <v>19.625</v>
      </c>
      <c r="E99" s="115"/>
      <c r="F99" s="116"/>
      <c r="G99" s="115"/>
      <c r="H99" s="118"/>
      <c r="I99" s="117"/>
      <c r="J99" s="116"/>
      <c r="K99" s="119"/>
    </row>
    <row r="100" spans="1:13" ht="13.8">
      <c r="A100" s="112"/>
      <c r="B100" s="56" t="s">
        <v>72</v>
      </c>
      <c r="C100" s="113" t="s">
        <v>12</v>
      </c>
      <c r="D100" s="114">
        <f>D97/2</f>
        <v>5</v>
      </c>
      <c r="E100" s="115"/>
      <c r="F100" s="116"/>
      <c r="G100" s="115"/>
      <c r="H100" s="118"/>
      <c r="I100" s="117"/>
      <c r="J100" s="116"/>
      <c r="K100" s="119"/>
    </row>
    <row r="101" spans="1:13" ht="14.4" thickBot="1">
      <c r="A101" s="147"/>
      <c r="B101" s="58" t="s">
        <v>73</v>
      </c>
      <c r="C101" s="148" t="s">
        <v>12</v>
      </c>
      <c r="D101" s="149">
        <v>16</v>
      </c>
      <c r="E101" s="150"/>
      <c r="F101" s="151"/>
      <c r="G101" s="152"/>
      <c r="H101" s="151"/>
      <c r="I101" s="159"/>
      <c r="J101" s="151"/>
      <c r="K101" s="154"/>
    </row>
    <row r="102" spans="1:13" s="2" customFormat="1" ht="15" thickBot="1">
      <c r="A102" s="161"/>
      <c r="B102" s="162"/>
      <c r="C102" s="163"/>
      <c r="D102" s="163"/>
      <c r="E102" s="164"/>
      <c r="F102" s="165"/>
      <c r="G102" s="166"/>
      <c r="H102" s="167"/>
      <c r="I102" s="164"/>
      <c r="J102" s="165"/>
      <c r="K102" s="168"/>
      <c r="M102" s="169"/>
    </row>
    <row r="103" spans="1:13" s="2" customFormat="1" ht="14.4">
      <c r="A103" s="170"/>
      <c r="B103" s="23" t="s">
        <v>74</v>
      </c>
      <c r="C103" s="23"/>
      <c r="D103" s="171"/>
      <c r="E103" s="74"/>
      <c r="F103" s="26"/>
      <c r="G103" s="72"/>
      <c r="H103" s="26"/>
      <c r="I103" s="74"/>
      <c r="J103" s="26"/>
      <c r="K103" s="26"/>
    </row>
    <row r="104" spans="1:13" s="2" customFormat="1" ht="14.4">
      <c r="A104" s="172"/>
      <c r="B104" s="173" t="s">
        <v>75</v>
      </c>
      <c r="C104" s="174"/>
      <c r="D104" s="175"/>
      <c r="E104" s="42"/>
      <c r="F104" s="39"/>
      <c r="G104" s="40"/>
      <c r="H104" s="41"/>
      <c r="I104" s="42"/>
      <c r="J104" s="39"/>
      <c r="K104" s="160"/>
    </row>
    <row r="105" spans="1:13" s="2" customFormat="1" ht="14.4">
      <c r="A105" s="176"/>
      <c r="B105" s="177" t="s">
        <v>74</v>
      </c>
      <c r="C105" s="178"/>
      <c r="D105" s="179"/>
      <c r="E105" s="180"/>
      <c r="F105" s="181"/>
      <c r="G105" s="182"/>
      <c r="H105" s="181"/>
      <c r="I105" s="182"/>
      <c r="J105" s="181"/>
      <c r="K105" s="183"/>
    </row>
    <row r="106" spans="1:13" s="2" customFormat="1" ht="14.4">
      <c r="A106" s="184"/>
      <c r="B106" s="185" t="s">
        <v>76</v>
      </c>
      <c r="C106" s="186"/>
      <c r="D106" s="187"/>
      <c r="E106" s="188"/>
      <c r="F106" s="34"/>
      <c r="G106" s="36"/>
      <c r="H106" s="34"/>
      <c r="I106" s="36"/>
      <c r="J106" s="34"/>
      <c r="K106" s="160"/>
    </row>
    <row r="107" spans="1:13" s="2" customFormat="1" ht="14.4">
      <c r="A107" s="176"/>
      <c r="B107" s="177" t="s">
        <v>74</v>
      </c>
      <c r="C107" s="178"/>
      <c r="D107" s="179"/>
      <c r="E107" s="180"/>
      <c r="F107" s="181"/>
      <c r="G107" s="182"/>
      <c r="H107" s="181"/>
      <c r="I107" s="182"/>
      <c r="J107" s="181"/>
      <c r="K107" s="183"/>
    </row>
    <row r="108" spans="1:13" s="2" customFormat="1" ht="14.4">
      <c r="A108" s="176"/>
      <c r="B108" s="185" t="s">
        <v>77</v>
      </c>
      <c r="C108" s="186"/>
      <c r="D108" s="189"/>
      <c r="E108" s="180"/>
      <c r="F108" s="181"/>
      <c r="G108" s="182"/>
      <c r="H108" s="181"/>
      <c r="I108" s="182"/>
      <c r="J108" s="181"/>
      <c r="K108" s="160"/>
    </row>
    <row r="109" spans="1:13" s="2" customFormat="1" ht="14.4">
      <c r="A109" s="176"/>
      <c r="B109" s="177" t="s">
        <v>74</v>
      </c>
      <c r="C109" s="178"/>
      <c r="D109" s="179"/>
      <c r="E109" s="180"/>
      <c r="F109" s="181"/>
      <c r="G109" s="182"/>
      <c r="H109" s="181"/>
      <c r="I109" s="182"/>
      <c r="J109" s="181"/>
      <c r="K109" s="183"/>
    </row>
    <row r="110" spans="1:13" s="2" customFormat="1" ht="28.8">
      <c r="A110" s="184"/>
      <c r="B110" s="185" t="s">
        <v>78</v>
      </c>
      <c r="C110" s="186"/>
      <c r="D110" s="187"/>
      <c r="E110" s="188"/>
      <c r="F110" s="34"/>
      <c r="G110" s="36"/>
      <c r="H110" s="34"/>
      <c r="I110" s="36"/>
      <c r="J110" s="34"/>
      <c r="K110" s="160"/>
    </row>
    <row r="111" spans="1:13" s="2" customFormat="1" ht="14.4">
      <c r="A111" s="176"/>
      <c r="B111" s="177" t="s">
        <v>74</v>
      </c>
      <c r="C111" s="178"/>
      <c r="D111" s="190"/>
      <c r="E111" s="180"/>
      <c r="F111" s="181"/>
      <c r="G111" s="182"/>
      <c r="H111" s="181"/>
      <c r="I111" s="182"/>
      <c r="J111" s="181"/>
      <c r="K111" s="183"/>
    </row>
    <row r="112" spans="1:13" s="2" customFormat="1" ht="14.4">
      <c r="A112" s="184"/>
      <c r="B112" s="185" t="s">
        <v>79</v>
      </c>
      <c r="C112" s="186"/>
      <c r="D112" s="187"/>
      <c r="E112" s="188"/>
      <c r="F112" s="34"/>
      <c r="G112" s="36"/>
      <c r="H112" s="34"/>
      <c r="I112" s="36"/>
      <c r="J112" s="34"/>
      <c r="K112" s="160"/>
    </row>
    <row r="113" spans="1:11" s="2" customFormat="1" ht="15" thickBot="1">
      <c r="A113" s="191"/>
      <c r="B113" s="192" t="s">
        <v>80</v>
      </c>
      <c r="C113" s="193"/>
      <c r="D113" s="194"/>
      <c r="E113" s="195"/>
      <c r="F113" s="196"/>
      <c r="G113" s="197"/>
      <c r="H113" s="196"/>
      <c r="I113" s="197"/>
      <c r="J113" s="196"/>
      <c r="K113" s="198"/>
    </row>
    <row r="114" spans="1:11" ht="13.8"/>
    <row r="115" spans="1:11" ht="13.8">
      <c r="K115" s="200"/>
    </row>
    <row r="116" spans="1:11" ht="13.8">
      <c r="E116" s="201"/>
    </row>
  </sheetData>
  <mergeCells count="3">
    <mergeCell ref="E3:F3"/>
    <mergeCell ref="G3:H3"/>
    <mergeCell ref="I3:J3"/>
  </mergeCells>
  <pageMargins left="0.7" right="0.7" top="0.75" bottom="0.75" header="0.3" footer="0.3"/>
  <pageSetup scale="48" orientation="portrait" r:id="rId1"/>
  <rowBreaks count="1" manualBreakCount="1">
    <brk id="91" max="10" man="1"/>
  </rowBreaks>
  <colBreaks count="1" manualBreakCount="1">
    <brk id="1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სამუშაო</vt:lpstr>
      <vt:lpstr>სამუშაო!Print_Area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GlobalTech</cp:lastModifiedBy>
  <dcterms:created xsi:type="dcterms:W3CDTF">2025-10-01T07:05:00Z</dcterms:created>
  <dcterms:modified xsi:type="dcterms:W3CDTF">2025-10-28T13:51:58Z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E88B9593DC484169BAF8B3E302649634_12</vt:lpwstr>
  </property>
  <property fmtid="{D5CDD505-2E9C-101B-9397-08002B2CF9AE}" pid="3" name="KSOProductBuildVer">
    <vt:lpwstr>1033-12.2.0.23131</vt:lpwstr>
  </property>
</Properties>
</file>