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Architects\ლაშა ხულორდავა\Data Center\Satendero\New Tender\"/>
    </mc:Choice>
  </mc:AlternateContent>
  <xr:revisionPtr revIDLastSave="0" documentId="8_{DDEEAD1F-C9FB-4C6A-8C13-1E57B335BAD6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თავფურცელი" sheetId="1" r:id="rId1"/>
    <sheet name="ნაკრები ხარჯთაღრიცხვა" sheetId="6" r:id="rId2"/>
    <sheet name="კონსტრუქცია" sheetId="24" r:id="rId3"/>
    <sheet name="სამშენებლო მოსაპირკეთებელი სამუ" sheetId="25" r:id="rId4"/>
    <sheet name="გზა" sheetId="26" r:id="rId5"/>
    <sheet name="ელ. სამუშაოები" sheetId="27" r:id="rId6"/>
  </sheets>
  <definedNames>
    <definedName name="_xlnm._FilterDatabase" localSheetId="4" hidden="1">გზა!$A$9:$L$30</definedName>
    <definedName name="_xlnm._FilterDatabase" localSheetId="2" hidden="1">კონსტრუქცია!$A$11:$L$124</definedName>
    <definedName name="_xlnm._FilterDatabase" localSheetId="3" hidden="1">'სამშენებლო მოსაპირკეთებელი სამუ'!$A$9:$L$162</definedName>
    <definedName name="_xlnm.Print_Area" localSheetId="4">გზა!$A$1:$L$31</definedName>
    <definedName name="_xlnm.Print_Area" localSheetId="0">თავფურცელი!$A$4:$R$24</definedName>
    <definedName name="_xlnm.Print_Area" localSheetId="2">კონსტრუქცია!$A$1:$L$124</definedName>
    <definedName name="_xlnm.Print_Area" localSheetId="1">'ნაკრები ხარჯთაღრიცხვა'!$A$1:$I$14</definedName>
    <definedName name="_xlnm.Print_Area" localSheetId="3">'სამშენებლო მოსაპირკეთებელი სამუ'!$A$1:$L$163</definedName>
    <definedName name="Summary" localSheetId="4">#REF!</definedName>
    <definedName name="Summary" localSheetId="2">#REF!</definedName>
    <definedName name="Summary" localSheetId="3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5" i="25" l="1"/>
  <c r="G125" i="25" s="1"/>
  <c r="L125" i="25" s="1"/>
  <c r="E71" i="25"/>
  <c r="G71" i="25" s="1"/>
  <c r="E70" i="25"/>
  <c r="I70" i="25" s="1"/>
  <c r="E69" i="25"/>
  <c r="K69" i="25" s="1"/>
  <c r="E68" i="25"/>
  <c r="K68" i="25" s="1"/>
  <c r="E67" i="25"/>
  <c r="G67" i="25" s="1"/>
  <c r="E66" i="25"/>
  <c r="K66" i="25" s="1"/>
  <c r="E65" i="25"/>
  <c r="K65" i="25" s="1"/>
  <c r="E64" i="25"/>
  <c r="K64" i="25" s="1"/>
  <c r="E63" i="25"/>
  <c r="K63" i="25" s="1"/>
  <c r="K62" i="25"/>
  <c r="I62" i="25"/>
  <c r="G62" i="25"/>
  <c r="I71" i="25" l="1"/>
  <c r="K71" i="25"/>
  <c r="E74" i="25"/>
  <c r="I74" i="25" s="1"/>
  <c r="E75" i="25"/>
  <c r="E79" i="25" s="1"/>
  <c r="I67" i="25"/>
  <c r="K67" i="25"/>
  <c r="L67" i="25" s="1"/>
  <c r="G68" i="25"/>
  <c r="I68" i="25"/>
  <c r="E124" i="25"/>
  <c r="I124" i="25" s="1"/>
  <c r="L124" i="25" s="1"/>
  <c r="L62" i="25"/>
  <c r="K70" i="25"/>
  <c r="G64" i="25"/>
  <c r="I64" i="25"/>
  <c r="E72" i="25"/>
  <c r="K72" i="25" s="1"/>
  <c r="G65" i="25"/>
  <c r="I65" i="25"/>
  <c r="G69" i="25"/>
  <c r="K75" i="25"/>
  <c r="G66" i="25"/>
  <c r="I69" i="25"/>
  <c r="G63" i="25"/>
  <c r="I66" i="25"/>
  <c r="I63" i="25"/>
  <c r="E73" i="25"/>
  <c r="G70" i="25"/>
  <c r="L147" i="25"/>
  <c r="K146" i="25"/>
  <c r="I146" i="25"/>
  <c r="G146" i="25"/>
  <c r="K145" i="25"/>
  <c r="I145" i="25"/>
  <c r="G145" i="25"/>
  <c r="K144" i="25"/>
  <c r="I144" i="25"/>
  <c r="G144" i="25"/>
  <c r="K149" i="25"/>
  <c r="I149" i="25"/>
  <c r="G149" i="25"/>
  <c r="I75" i="25" l="1"/>
  <c r="E78" i="25"/>
  <c r="K78" i="25" s="1"/>
  <c r="L64" i="25"/>
  <c r="K74" i="25"/>
  <c r="L74" i="25" s="1"/>
  <c r="G74" i="25"/>
  <c r="L65" i="25"/>
  <c r="L71" i="25"/>
  <c r="L68" i="25"/>
  <c r="G75" i="25"/>
  <c r="I72" i="25"/>
  <c r="E80" i="25"/>
  <c r="E77" i="25"/>
  <c r="L63" i="25"/>
  <c r="E76" i="25"/>
  <c r="K76" i="25" s="1"/>
  <c r="L66" i="25"/>
  <c r="G72" i="25"/>
  <c r="L72" i="25" s="1"/>
  <c r="L70" i="25"/>
  <c r="I78" i="25"/>
  <c r="G78" i="25"/>
  <c r="L69" i="25"/>
  <c r="K73" i="25"/>
  <c r="I73" i="25"/>
  <c r="G73" i="25"/>
  <c r="K79" i="25"/>
  <c r="I79" i="25"/>
  <c r="G79" i="25"/>
  <c r="L144" i="25"/>
  <c r="L145" i="25"/>
  <c r="L146" i="25"/>
  <c r="L149" i="25"/>
  <c r="L75" i="25" l="1"/>
  <c r="G76" i="25"/>
  <c r="L78" i="25"/>
  <c r="I76" i="25"/>
  <c r="K77" i="25"/>
  <c r="G77" i="25"/>
  <c r="I77" i="25"/>
  <c r="L77" i="25" s="1"/>
  <c r="G80" i="25"/>
  <c r="K80" i="25"/>
  <c r="I80" i="25"/>
  <c r="L79" i="25"/>
  <c r="L73" i="25"/>
  <c r="I142" i="25"/>
  <c r="L142" i="25" s="1"/>
  <c r="I141" i="25"/>
  <c r="G141" i="25"/>
  <c r="I140" i="25"/>
  <c r="G140" i="25"/>
  <c r="E139" i="25"/>
  <c r="G139" i="25" s="1"/>
  <c r="I138" i="25"/>
  <c r="L138" i="25" s="1"/>
  <c r="L119" i="27"/>
  <c r="L100" i="27"/>
  <c r="L98" i="27"/>
  <c r="L97" i="27"/>
  <c r="L96" i="27"/>
  <c r="L94" i="27"/>
  <c r="L93" i="27"/>
  <c r="L92" i="27"/>
  <c r="L90" i="27"/>
  <c r="L88" i="27"/>
  <c r="L62" i="27"/>
  <c r="L54" i="27"/>
  <c r="L53" i="27"/>
  <c r="L52" i="27"/>
  <c r="L51" i="27"/>
  <c r="L50" i="27"/>
  <c r="L49" i="27"/>
  <c r="L48" i="27"/>
  <c r="L47" i="27"/>
  <c r="L46" i="27"/>
  <c r="L45" i="27"/>
  <c r="N43" i="27"/>
  <c r="L43" i="27"/>
  <c r="N42" i="27"/>
  <c r="L42" i="27"/>
  <c r="N41" i="27"/>
  <c r="M42" i="27" s="1"/>
  <c r="N40" i="27"/>
  <c r="N39" i="27"/>
  <c r="N38" i="27"/>
  <c r="M39" i="27" s="1"/>
  <c r="L39" i="27"/>
  <c r="N37" i="27"/>
  <c r="L21" i="27"/>
  <c r="N16" i="27"/>
  <c r="N15" i="27"/>
  <c r="L16" i="27"/>
  <c r="E20" i="25"/>
  <c r="E14" i="26"/>
  <c r="K17" i="26"/>
  <c r="I17" i="26"/>
  <c r="G17" i="26"/>
  <c r="I16" i="26"/>
  <c r="E16" i="26"/>
  <c r="G16" i="26" s="1"/>
  <c r="E15" i="26"/>
  <c r="K15" i="26" s="1"/>
  <c r="G14" i="26"/>
  <c r="K14" i="26"/>
  <c r="K13" i="26"/>
  <c r="I13" i="26"/>
  <c r="G13" i="26"/>
  <c r="E12" i="26"/>
  <c r="K12" i="26" s="1"/>
  <c r="E11" i="26"/>
  <c r="K11" i="26" s="1"/>
  <c r="E10" i="26"/>
  <c r="K10" i="26" s="1"/>
  <c r="L76" i="25" l="1"/>
  <c r="I15" i="26"/>
  <c r="I11" i="26"/>
  <c r="G12" i="26"/>
  <c r="L80" i="25"/>
  <c r="L140" i="25"/>
  <c r="L141" i="25"/>
  <c r="L118" i="27"/>
  <c r="L44" i="27"/>
  <c r="L101" i="27"/>
  <c r="L67" i="27"/>
  <c r="L102" i="27"/>
  <c r="L99" i="27"/>
  <c r="L95" i="27"/>
  <c r="L103" i="27"/>
  <c r="L17" i="27"/>
  <c r="L24" i="27"/>
  <c r="L106" i="27"/>
  <c r="L75" i="27"/>
  <c r="L13" i="27"/>
  <c r="L114" i="27"/>
  <c r="L64" i="27"/>
  <c r="L71" i="27"/>
  <c r="L91" i="27"/>
  <c r="L109" i="27"/>
  <c r="L12" i="27"/>
  <c r="L25" i="27"/>
  <c r="L27" i="27"/>
  <c r="L105" i="27"/>
  <c r="L110" i="27"/>
  <c r="L34" i="27"/>
  <c r="L55" i="27"/>
  <c r="L68" i="27"/>
  <c r="L77" i="27"/>
  <c r="L116" i="27"/>
  <c r="L111" i="27"/>
  <c r="L22" i="27"/>
  <c r="L23" i="27"/>
  <c r="L40" i="27"/>
  <c r="L69" i="27"/>
  <c r="L112" i="27"/>
  <c r="L115" i="27"/>
  <c r="L65" i="27"/>
  <c r="L89" i="27"/>
  <c r="L79" i="27"/>
  <c r="L113" i="27"/>
  <c r="L66" i="27"/>
  <c r="L108" i="27"/>
  <c r="L15" i="27"/>
  <c r="L78" i="27"/>
  <c r="L107" i="27"/>
  <c r="L28" i="27"/>
  <c r="L63" i="27"/>
  <c r="L80" i="27"/>
  <c r="L70" i="27"/>
  <c r="L13" i="26"/>
  <c r="L10" i="26"/>
  <c r="L17" i="26"/>
  <c r="I14" i="26"/>
  <c r="L14" i="26" s="1"/>
  <c r="K16" i="26"/>
  <c r="K18" i="26" s="1"/>
  <c r="I12" i="26"/>
  <c r="I18" i="26" s="1"/>
  <c r="L27" i="26" s="1"/>
  <c r="G11" i="26"/>
  <c r="G15" i="26"/>
  <c r="L15" i="26" l="1"/>
  <c r="L31" i="27"/>
  <c r="L81" i="27"/>
  <c r="L20" i="27"/>
  <c r="L26" i="27"/>
  <c r="L58" i="27"/>
  <c r="L19" i="27"/>
  <c r="L32" i="27"/>
  <c r="L30" i="27"/>
  <c r="L18" i="27"/>
  <c r="L29" i="27"/>
  <c r="L56" i="27"/>
  <c r="L33" i="27"/>
  <c r="L76" i="27"/>
  <c r="L72" i="27"/>
  <c r="L12" i="26"/>
  <c r="M12" i="26" s="1"/>
  <c r="G18" i="26"/>
  <c r="L19" i="26" s="1"/>
  <c r="L11" i="26"/>
  <c r="M11" i="26" s="1"/>
  <c r="L16" i="26"/>
  <c r="L84" i="27" l="1"/>
  <c r="L73" i="27"/>
  <c r="L60" i="27"/>
  <c r="L74" i="27"/>
  <c r="L36" i="27"/>
  <c r="L83" i="27"/>
  <c r="L82" i="27"/>
  <c r="G120" i="27"/>
  <c r="L121" i="27" s="1"/>
  <c r="L35" i="27"/>
  <c r="I120" i="27"/>
  <c r="L129" i="27" s="1"/>
  <c r="L59" i="27"/>
  <c r="L57" i="27"/>
  <c r="L18" i="26"/>
  <c r="L20" i="26" s="1"/>
  <c r="L85" i="27" l="1"/>
  <c r="K120" i="27"/>
  <c r="L86" i="27"/>
  <c r="L21" i="26"/>
  <c r="L22" i="26" s="1"/>
  <c r="L120" i="27" l="1"/>
  <c r="L122" i="27" s="1"/>
  <c r="L123" i="27" s="1"/>
  <c r="L124" i="27" s="1"/>
  <c r="L23" i="26"/>
  <c r="L24" i="26" s="1"/>
  <c r="L125" i="27" l="1"/>
  <c r="L126" i="27" s="1"/>
  <c r="L25" i="26"/>
  <c r="L26" i="26" s="1"/>
  <c r="L28" i="26" s="1"/>
  <c r="L127" i="27" l="1"/>
  <c r="L128" i="27" s="1"/>
  <c r="L130" i="27" s="1"/>
  <c r="L29" i="26"/>
  <c r="L30" i="26" s="1"/>
  <c r="E12" i="6" l="1"/>
  <c r="I12" i="6" s="1"/>
  <c r="L131" i="27"/>
  <c r="L132" i="27" s="1"/>
  <c r="E13" i="6" s="1"/>
  <c r="I13" i="6" s="1"/>
  <c r="E108" i="25"/>
  <c r="G108" i="25" s="1"/>
  <c r="E95" i="24"/>
  <c r="E38" i="25"/>
  <c r="E102" i="25"/>
  <c r="E110" i="25"/>
  <c r="E109" i="25"/>
  <c r="E107" i="25"/>
  <c r="G107" i="25" s="1"/>
  <c r="E106" i="25"/>
  <c r="E105" i="25"/>
  <c r="E103" i="25"/>
  <c r="E101" i="25"/>
  <c r="E24" i="25"/>
  <c r="E39" i="24"/>
  <c r="I93" i="25"/>
  <c r="G93" i="25"/>
  <c r="I133" i="25"/>
  <c r="G133" i="25"/>
  <c r="I131" i="25"/>
  <c r="L131" i="25" s="1"/>
  <c r="G134" i="25"/>
  <c r="E136" i="25"/>
  <c r="E135" i="25"/>
  <c r="G135" i="25" s="1"/>
  <c r="I134" i="25"/>
  <c r="E132" i="25"/>
  <c r="G132" i="25" s="1"/>
  <c r="L130" i="25"/>
  <c r="I97" i="25"/>
  <c r="G97" i="25"/>
  <c r="I96" i="25"/>
  <c r="G96" i="25"/>
  <c r="I95" i="25"/>
  <c r="G95" i="25"/>
  <c r="I91" i="25"/>
  <c r="I92" i="25"/>
  <c r="I94" i="25"/>
  <c r="G94" i="25"/>
  <c r="G92" i="25"/>
  <c r="G91" i="25"/>
  <c r="I86" i="25"/>
  <c r="I87" i="25"/>
  <c r="I88" i="25"/>
  <c r="I89" i="25"/>
  <c r="I90" i="25"/>
  <c r="G90" i="25"/>
  <c r="G89" i="25"/>
  <c r="G88" i="25"/>
  <c r="G87" i="25"/>
  <c r="G86" i="25"/>
  <c r="E83" i="25"/>
  <c r="I83" i="25" s="1"/>
  <c r="I85" i="25"/>
  <c r="G85" i="25"/>
  <c r="I84" i="25"/>
  <c r="G84" i="25"/>
  <c r="K84" i="25"/>
  <c r="I82" i="25"/>
  <c r="K82" i="25"/>
  <c r="G82" i="25"/>
  <c r="E30" i="25"/>
  <c r="E23" i="25"/>
  <c r="E22" i="25"/>
  <c r="K22" i="25" s="1"/>
  <c r="E21" i="25"/>
  <c r="I21" i="25" s="1"/>
  <c r="E19" i="25"/>
  <c r="I19" i="25" s="1"/>
  <c r="E18" i="25"/>
  <c r="G18" i="25" s="1"/>
  <c r="K17" i="25"/>
  <c r="I17" i="25"/>
  <c r="G17" i="25"/>
  <c r="E36" i="25" l="1"/>
  <c r="K36" i="25" s="1"/>
  <c r="E33" i="25"/>
  <c r="G24" i="25"/>
  <c r="E27" i="25"/>
  <c r="K23" i="25"/>
  <c r="I108" i="25"/>
  <c r="L108" i="25" s="1"/>
  <c r="I109" i="25"/>
  <c r="E55" i="25"/>
  <c r="E56" i="25" s="1"/>
  <c r="I56" i="25" s="1"/>
  <c r="I136" i="25"/>
  <c r="G109" i="25"/>
  <c r="I107" i="25"/>
  <c r="L107" i="25" s="1"/>
  <c r="I106" i="25"/>
  <c r="G106" i="25"/>
  <c r="L106" i="25" s="1"/>
  <c r="L93" i="25"/>
  <c r="I135" i="25"/>
  <c r="L135" i="25" s="1"/>
  <c r="L133" i="25"/>
  <c r="I132" i="25"/>
  <c r="L132" i="25" s="1"/>
  <c r="G136" i="25"/>
  <c r="L134" i="25"/>
  <c r="L92" i="25"/>
  <c r="L91" i="25"/>
  <c r="L95" i="25"/>
  <c r="L87" i="25"/>
  <c r="L90" i="25"/>
  <c r="L97" i="25"/>
  <c r="L96" i="25"/>
  <c r="L85" i="25"/>
  <c r="L88" i="25"/>
  <c r="L94" i="25"/>
  <c r="L86" i="25"/>
  <c r="L89" i="25"/>
  <c r="G83" i="25"/>
  <c r="K83" i="25"/>
  <c r="L84" i="25"/>
  <c r="L82" i="25"/>
  <c r="I30" i="25"/>
  <c r="G30" i="25"/>
  <c r="K30" i="25"/>
  <c r="E31" i="25"/>
  <c r="E32" i="25"/>
  <c r="K32" i="25" s="1"/>
  <c r="E34" i="25"/>
  <c r="K34" i="25" s="1"/>
  <c r="E35" i="25"/>
  <c r="E25" i="25"/>
  <c r="G25" i="25" s="1"/>
  <c r="I24" i="25"/>
  <c r="K24" i="25"/>
  <c r="E28" i="25"/>
  <c r="E29" i="25"/>
  <c r="E26" i="25"/>
  <c r="K26" i="25" s="1"/>
  <c r="K21" i="25"/>
  <c r="G21" i="25"/>
  <c r="K18" i="25"/>
  <c r="I18" i="25"/>
  <c r="L17" i="25"/>
  <c r="G22" i="25"/>
  <c r="I22" i="25"/>
  <c r="K19" i="25"/>
  <c r="G23" i="25"/>
  <c r="I23" i="25"/>
  <c r="G19" i="25"/>
  <c r="L109" i="25" l="1"/>
  <c r="G36" i="25"/>
  <c r="I36" i="25"/>
  <c r="G33" i="25"/>
  <c r="K33" i="25"/>
  <c r="I33" i="25"/>
  <c r="K31" i="25"/>
  <c r="I27" i="25"/>
  <c r="G27" i="25"/>
  <c r="K27" i="25"/>
  <c r="L136" i="25"/>
  <c r="E60" i="25"/>
  <c r="K60" i="25" s="1"/>
  <c r="G55" i="25"/>
  <c r="K56" i="25"/>
  <c r="G56" i="25"/>
  <c r="E57" i="25"/>
  <c r="K57" i="25" s="1"/>
  <c r="E58" i="25"/>
  <c r="I58" i="25" s="1"/>
  <c r="K55" i="25"/>
  <c r="I55" i="25"/>
  <c r="E59" i="25"/>
  <c r="G59" i="25" s="1"/>
  <c r="L83" i="25"/>
  <c r="L21" i="25"/>
  <c r="L24" i="25"/>
  <c r="L30" i="25"/>
  <c r="G34" i="25"/>
  <c r="I32" i="25"/>
  <c r="I31" i="25"/>
  <c r="G32" i="25"/>
  <c r="I34" i="25"/>
  <c r="G31" i="25"/>
  <c r="G35" i="25"/>
  <c r="K35" i="25"/>
  <c r="I35" i="25"/>
  <c r="G26" i="25"/>
  <c r="K25" i="25"/>
  <c r="L22" i="25"/>
  <c r="I25" i="25"/>
  <c r="I28" i="25"/>
  <c r="K28" i="25"/>
  <c r="G28" i="25"/>
  <c r="I29" i="25"/>
  <c r="K29" i="25"/>
  <c r="G29" i="25"/>
  <c r="I26" i="25"/>
  <c r="L23" i="25"/>
  <c r="L18" i="25"/>
  <c r="L19" i="25"/>
  <c r="L36" i="25" l="1"/>
  <c r="L33" i="25"/>
  <c r="L56" i="25"/>
  <c r="G60" i="25"/>
  <c r="I60" i="25"/>
  <c r="L60" i="25" s="1"/>
  <c r="L27" i="25"/>
  <c r="I59" i="25"/>
  <c r="K59" i="25"/>
  <c r="G58" i="25"/>
  <c r="L55" i="25"/>
  <c r="K58" i="25"/>
  <c r="G57" i="25"/>
  <c r="I57" i="25"/>
  <c r="L57" i="25" s="1"/>
  <c r="L31" i="25"/>
  <c r="L26" i="25"/>
  <c r="L34" i="25"/>
  <c r="L32" i="25"/>
  <c r="L35" i="25"/>
  <c r="L25" i="25"/>
  <c r="L29" i="25"/>
  <c r="L28" i="25"/>
  <c r="L59" i="25" l="1"/>
  <c r="L58" i="25"/>
  <c r="E104" i="25"/>
  <c r="E100" i="25"/>
  <c r="E99" i="25"/>
  <c r="G99" i="25" s="1"/>
  <c r="I102" i="25" l="1"/>
  <c r="G110" i="25"/>
  <c r="G102" i="25"/>
  <c r="I110" i="25"/>
  <c r="G105" i="25"/>
  <c r="I105" i="25"/>
  <c r="I104" i="25"/>
  <c r="G104" i="25"/>
  <c r="I103" i="25"/>
  <c r="G103" i="25"/>
  <c r="G101" i="25"/>
  <c r="I101" i="25"/>
  <c r="G100" i="25"/>
  <c r="I100" i="25"/>
  <c r="I99" i="25"/>
  <c r="E42" i="25"/>
  <c r="L104" i="25" l="1"/>
  <c r="L110" i="25"/>
  <c r="L105" i="25"/>
  <c r="L102" i="25"/>
  <c r="L100" i="25"/>
  <c r="L101" i="25"/>
  <c r="L103" i="25"/>
  <c r="L99" i="25"/>
  <c r="G43" i="25"/>
  <c r="I42" i="25"/>
  <c r="E54" i="25"/>
  <c r="E53" i="25"/>
  <c r="G53" i="25" s="1"/>
  <c r="E52" i="25"/>
  <c r="E51" i="25"/>
  <c r="E50" i="25"/>
  <c r="E49" i="25"/>
  <c r="D48" i="25"/>
  <c r="E48" i="25" s="1"/>
  <c r="D47" i="25"/>
  <c r="E47" i="25" s="1"/>
  <c r="E46" i="25"/>
  <c r="E45" i="25"/>
  <c r="K44" i="25"/>
  <c r="I44" i="25"/>
  <c r="G44" i="25"/>
  <c r="L43" i="25" l="1"/>
  <c r="L42" i="25"/>
  <c r="G52" i="25"/>
  <c r="L44" i="25"/>
  <c r="G49" i="25"/>
  <c r="G48" i="25"/>
  <c r="G46" i="25"/>
  <c r="I45" i="25"/>
  <c r="L45" i="25" s="1"/>
  <c r="G51" i="25"/>
  <c r="G47" i="25"/>
  <c r="G54" i="25"/>
  <c r="G50" i="25"/>
  <c r="L52" i="25" l="1"/>
  <c r="L49" i="25"/>
  <c r="L54" i="25"/>
  <c r="L51" i="25"/>
  <c r="L53" i="25"/>
  <c r="L47" i="25"/>
  <c r="L50" i="25"/>
  <c r="L46" i="25"/>
  <c r="L48" i="25"/>
  <c r="E40" i="25" l="1"/>
  <c r="E113" i="25"/>
  <c r="E115" i="25" s="1"/>
  <c r="E126" i="25"/>
  <c r="I112" i="25"/>
  <c r="G112" i="25"/>
  <c r="E14" i="25"/>
  <c r="E102" i="24"/>
  <c r="G102" i="24" s="1"/>
  <c r="L102" i="24" s="1"/>
  <c r="E101" i="24"/>
  <c r="G101" i="24" s="1"/>
  <c r="L101" i="24" s="1"/>
  <c r="P107" i="24"/>
  <c r="P108" i="24" s="1"/>
  <c r="E99" i="24"/>
  <c r="E100" i="24"/>
  <c r="E104" i="24" s="1"/>
  <c r="G104" i="24" s="1"/>
  <c r="L104" i="24" s="1"/>
  <c r="E98" i="24"/>
  <c r="G98" i="24" s="1"/>
  <c r="L98" i="24" s="1"/>
  <c r="E97" i="24"/>
  <c r="G95" i="24"/>
  <c r="L95" i="24" s="1"/>
  <c r="E94" i="24"/>
  <c r="E93" i="24" s="1"/>
  <c r="E86" i="24"/>
  <c r="G86" i="24" s="1"/>
  <c r="L86" i="24" s="1"/>
  <c r="E85" i="24"/>
  <c r="G85" i="24" s="1"/>
  <c r="L85" i="24" s="1"/>
  <c r="E84" i="24"/>
  <c r="G84" i="24" s="1"/>
  <c r="L84" i="24" s="1"/>
  <c r="E83" i="24"/>
  <c r="G83" i="24" s="1"/>
  <c r="L83" i="24" s="1"/>
  <c r="E82" i="24"/>
  <c r="G82" i="24" s="1"/>
  <c r="L82" i="24" s="1"/>
  <c r="E81" i="24"/>
  <c r="G81" i="24" s="1"/>
  <c r="L81" i="24" s="1"/>
  <c r="E80" i="24"/>
  <c r="G80" i="24" s="1"/>
  <c r="L80" i="24" s="1"/>
  <c r="E79" i="24"/>
  <c r="G79" i="24" s="1"/>
  <c r="L79" i="24" s="1"/>
  <c r="E78" i="24"/>
  <c r="G78" i="24" s="1"/>
  <c r="L78" i="24" s="1"/>
  <c r="E77" i="24"/>
  <c r="E76" i="24"/>
  <c r="N77" i="24" s="1"/>
  <c r="E75" i="24"/>
  <c r="G75" i="24" s="1"/>
  <c r="L75" i="24" s="1"/>
  <c r="E74" i="24"/>
  <c r="E73" i="24"/>
  <c r="E72" i="24"/>
  <c r="G72" i="24" s="1"/>
  <c r="L72" i="24" s="1"/>
  <c r="E71" i="24"/>
  <c r="G71" i="24" s="1"/>
  <c r="L71" i="24" s="1"/>
  <c r="E70" i="24"/>
  <c r="G70" i="24" s="1"/>
  <c r="L70" i="24" s="1"/>
  <c r="P76" i="24"/>
  <c r="P77" i="24" s="1"/>
  <c r="E16" i="24"/>
  <c r="E14" i="24" s="1"/>
  <c r="E50" i="24"/>
  <c r="E56" i="24" s="1"/>
  <c r="G56" i="24" s="1"/>
  <c r="L56" i="24" s="1"/>
  <c r="E62" i="24"/>
  <c r="G62" i="24" s="1"/>
  <c r="L62" i="24" s="1"/>
  <c r="E61" i="24"/>
  <c r="G61" i="24" s="1"/>
  <c r="L61" i="24" s="1"/>
  <c r="E60" i="24"/>
  <c r="E67" i="24" s="1"/>
  <c r="N68" i="24" s="1"/>
  <c r="P67" i="24"/>
  <c r="P68" i="24" s="1"/>
  <c r="N59" i="24"/>
  <c r="L59" i="24"/>
  <c r="E52" i="24"/>
  <c r="G52" i="24" s="1"/>
  <c r="L52" i="24" s="1"/>
  <c r="E51" i="24"/>
  <c r="G51" i="24" s="1"/>
  <c r="L51" i="24" s="1"/>
  <c r="P57" i="24"/>
  <c r="P58" i="24" s="1"/>
  <c r="N49" i="24"/>
  <c r="L49" i="24"/>
  <c r="E29" i="24"/>
  <c r="E35" i="24" s="1"/>
  <c r="E32" i="24"/>
  <c r="E31" i="24"/>
  <c r="E30" i="24"/>
  <c r="E18" i="24"/>
  <c r="E26" i="24" s="1"/>
  <c r="E27" i="24" s="1"/>
  <c r="G27" i="24" s="1"/>
  <c r="L27" i="24" s="1"/>
  <c r="P26" i="24"/>
  <c r="P27" i="24" s="1"/>
  <c r="E21" i="24"/>
  <c r="G21" i="24" s="1"/>
  <c r="L21" i="24" s="1"/>
  <c r="E20" i="24"/>
  <c r="G20" i="24" s="1"/>
  <c r="L20" i="24" s="1"/>
  <c r="E19" i="24"/>
  <c r="G19" i="24" s="1"/>
  <c r="L19" i="24" s="1"/>
  <c r="N17" i="24"/>
  <c r="L17" i="24"/>
  <c r="K39" i="24"/>
  <c r="E42" i="24"/>
  <c r="G42" i="24" s="1"/>
  <c r="L42" i="24" s="1"/>
  <c r="E41" i="24"/>
  <c r="E47" i="24" s="1"/>
  <c r="N40" i="24"/>
  <c r="P47" i="24"/>
  <c r="P48" i="24" s="1"/>
  <c r="P37" i="24"/>
  <c r="P38" i="24" s="1"/>
  <c r="E39" i="25" l="1"/>
  <c r="L112" i="25"/>
  <c r="G115" i="25"/>
  <c r="E114" i="25"/>
  <c r="E119" i="25"/>
  <c r="I113" i="25"/>
  <c r="E116" i="25"/>
  <c r="G40" i="25"/>
  <c r="E103" i="24"/>
  <c r="G103" i="24" s="1"/>
  <c r="L103" i="24" s="1"/>
  <c r="E105" i="24"/>
  <c r="E106" i="24"/>
  <c r="G106" i="24" s="1"/>
  <c r="L106" i="24" s="1"/>
  <c r="E107" i="24"/>
  <c r="E108" i="24" s="1"/>
  <c r="G105" i="24"/>
  <c r="L105" i="24" s="1"/>
  <c r="I99" i="24"/>
  <c r="L99" i="24" s="1"/>
  <c r="E33" i="24"/>
  <c r="G33" i="24" s="1"/>
  <c r="L33" i="24" s="1"/>
  <c r="I93" i="24"/>
  <c r="L93" i="24" s="1"/>
  <c r="E96" i="24"/>
  <c r="I96" i="24" s="1"/>
  <c r="L96" i="24" s="1"/>
  <c r="G97" i="24"/>
  <c r="L97" i="24" s="1"/>
  <c r="G94" i="24"/>
  <c r="L94" i="24" s="1"/>
  <c r="E69" i="24"/>
  <c r="E89" i="24"/>
  <c r="E65" i="24"/>
  <c r="G65" i="24" s="1"/>
  <c r="L65" i="24" s="1"/>
  <c r="G60" i="24"/>
  <c r="L60" i="24" s="1"/>
  <c r="E63" i="24"/>
  <c r="G63" i="24" s="1"/>
  <c r="L63" i="24" s="1"/>
  <c r="E23" i="24"/>
  <c r="G23" i="24" s="1"/>
  <c r="L23" i="24" s="1"/>
  <c r="E22" i="24"/>
  <c r="G22" i="24" s="1"/>
  <c r="L22" i="24" s="1"/>
  <c r="E24" i="24"/>
  <c r="G24" i="24" s="1"/>
  <c r="L24" i="24" s="1"/>
  <c r="G74" i="24"/>
  <c r="L74" i="24" s="1"/>
  <c r="G76" i="24"/>
  <c r="L76" i="24" s="1"/>
  <c r="G73" i="24"/>
  <c r="L73" i="24" s="1"/>
  <c r="E66" i="24"/>
  <c r="G66" i="24" s="1"/>
  <c r="L66" i="24" s="1"/>
  <c r="G77" i="24"/>
  <c r="L77" i="24" s="1"/>
  <c r="G67" i="24"/>
  <c r="L67" i="24" s="1"/>
  <c r="E25" i="24"/>
  <c r="G25" i="24" s="1"/>
  <c r="L25" i="24" s="1"/>
  <c r="E64" i="24"/>
  <c r="G64" i="24" s="1"/>
  <c r="L64" i="24" s="1"/>
  <c r="E68" i="24"/>
  <c r="G68" i="24" s="1"/>
  <c r="L68" i="24" s="1"/>
  <c r="E34" i="24"/>
  <c r="G34" i="24" s="1"/>
  <c r="L34" i="24" s="1"/>
  <c r="E57" i="24"/>
  <c r="G57" i="24" s="1"/>
  <c r="L57" i="24" s="1"/>
  <c r="G50" i="24"/>
  <c r="L50" i="24" s="1"/>
  <c r="E54" i="24"/>
  <c r="G54" i="24" s="1"/>
  <c r="L54" i="24" s="1"/>
  <c r="E55" i="24"/>
  <c r="G55" i="24" s="1"/>
  <c r="L55" i="24" s="1"/>
  <c r="E37" i="24"/>
  <c r="G37" i="24" s="1"/>
  <c r="L37" i="24" s="1"/>
  <c r="E36" i="24"/>
  <c r="G36" i="24" s="1"/>
  <c r="L36" i="24" s="1"/>
  <c r="E53" i="24"/>
  <c r="G53" i="24" s="1"/>
  <c r="L53" i="24" s="1"/>
  <c r="N27" i="24"/>
  <c r="G18" i="24"/>
  <c r="G26" i="24"/>
  <c r="L26" i="24" s="1"/>
  <c r="G39" i="24"/>
  <c r="I39" i="24"/>
  <c r="N48" i="24"/>
  <c r="E43" i="24"/>
  <c r="G43" i="24" s="1"/>
  <c r="L43" i="24" s="1"/>
  <c r="E45" i="24"/>
  <c r="G45" i="24" s="1"/>
  <c r="L45" i="24" s="1"/>
  <c r="E46" i="24"/>
  <c r="G46" i="24" s="1"/>
  <c r="L46" i="24" s="1"/>
  <c r="E44" i="24"/>
  <c r="G44" i="24" s="1"/>
  <c r="L44" i="24" s="1"/>
  <c r="G41" i="24"/>
  <c r="L41" i="24" s="1"/>
  <c r="I40" i="24"/>
  <c r="L40" i="24" s="1"/>
  <c r="G47" i="24"/>
  <c r="L47" i="24" s="1"/>
  <c r="E48" i="24"/>
  <c r="G48" i="24" s="1"/>
  <c r="L48" i="24" s="1"/>
  <c r="G35" i="24"/>
  <c r="L35" i="24" s="1"/>
  <c r="E88" i="24" l="1"/>
  <c r="G88" i="24" s="1"/>
  <c r="L88" i="24" s="1"/>
  <c r="L40" i="25"/>
  <c r="I39" i="25"/>
  <c r="L113" i="25"/>
  <c r="G114" i="25"/>
  <c r="E118" i="25"/>
  <c r="E117" i="25"/>
  <c r="I116" i="25"/>
  <c r="I119" i="25"/>
  <c r="E120" i="25"/>
  <c r="E121" i="25"/>
  <c r="L115" i="25"/>
  <c r="L18" i="24"/>
  <c r="G108" i="24"/>
  <c r="L108" i="24" s="1"/>
  <c r="G107" i="24"/>
  <c r="L107" i="24" s="1"/>
  <c r="N108" i="24"/>
  <c r="E87" i="24"/>
  <c r="G87" i="24" s="1"/>
  <c r="L87" i="24" s="1"/>
  <c r="I69" i="24"/>
  <c r="L69" i="24" s="1"/>
  <c r="K69" i="24"/>
  <c r="E92" i="24"/>
  <c r="G92" i="24" s="1"/>
  <c r="L92" i="24" s="1"/>
  <c r="E91" i="24"/>
  <c r="G91" i="24" s="1"/>
  <c r="L91" i="24" s="1"/>
  <c r="E90" i="24"/>
  <c r="G90" i="24" s="1"/>
  <c r="L90" i="24" s="1"/>
  <c r="N69" i="24"/>
  <c r="E58" i="24"/>
  <c r="G58" i="24" s="1"/>
  <c r="L58" i="24" s="1"/>
  <c r="N58" i="24"/>
  <c r="E38" i="24"/>
  <c r="G38" i="24" s="1"/>
  <c r="L38" i="24" s="1"/>
  <c r="L39" i="24"/>
  <c r="N38" i="24"/>
  <c r="L39" i="25" l="1"/>
  <c r="L119" i="25"/>
  <c r="G117" i="25"/>
  <c r="L116" i="25"/>
  <c r="G120" i="25"/>
  <c r="G118" i="25"/>
  <c r="G121" i="25"/>
  <c r="L114" i="25"/>
  <c r="E16" i="25"/>
  <c r="G16" i="25" l="1"/>
  <c r="L16" i="25" s="1"/>
  <c r="L120" i="25"/>
  <c r="L121" i="25"/>
  <c r="L117" i="25"/>
  <c r="L118" i="25"/>
  <c r="E15" i="25"/>
  <c r="I15" i="25" s="1"/>
  <c r="L15" i="25" s="1"/>
  <c r="E13" i="25"/>
  <c r="E12" i="25"/>
  <c r="K20" i="25" l="1"/>
  <c r="G20" i="25"/>
  <c r="I20" i="25"/>
  <c r="G13" i="25"/>
  <c r="I12" i="25"/>
  <c r="L20" i="25" l="1"/>
  <c r="L12" i="25"/>
  <c r="L13" i="25"/>
  <c r="P117" i="24" l="1"/>
  <c r="P116" i="24"/>
  <c r="G100" i="24" l="1"/>
  <c r="L100" i="24" s="1"/>
  <c r="G109" i="24" l="1"/>
  <c r="N28" i="24"/>
  <c r="G32" i="24"/>
  <c r="L32" i="24" s="1"/>
  <c r="G31" i="24"/>
  <c r="L31" i="24" s="1"/>
  <c r="G30" i="24"/>
  <c r="L30" i="24" s="1"/>
  <c r="E15" i="24"/>
  <c r="G13" i="24"/>
  <c r="K13" i="24"/>
  <c r="K12" i="24"/>
  <c r="L12" i="24" s="1"/>
  <c r="I89" i="24" l="1"/>
  <c r="L89" i="24" s="1"/>
  <c r="N89" i="24"/>
  <c r="I109" i="24"/>
  <c r="L28" i="24"/>
  <c r="I15" i="24"/>
  <c r="L15" i="24" s="1"/>
  <c r="G16" i="24"/>
  <c r="L16" i="24" s="1"/>
  <c r="G29" i="24"/>
  <c r="I13" i="24"/>
  <c r="L13" i="24" s="1"/>
  <c r="L29" i="24" l="1"/>
  <c r="G110" i="24"/>
  <c r="L109" i="24"/>
  <c r="E127" i="25" l="1"/>
  <c r="I126" i="25"/>
  <c r="G127" i="25" l="1"/>
  <c r="G129" i="25"/>
  <c r="L126" i="25"/>
  <c r="G128" i="25"/>
  <c r="L127" i="25" l="1"/>
  <c r="L128" i="25"/>
  <c r="L129" i="25"/>
  <c r="G150" i="25" l="1"/>
  <c r="L151" i="25" s="1"/>
  <c r="K150" i="25" l="1"/>
  <c r="I150" i="25"/>
  <c r="L159" i="25" s="1"/>
  <c r="L150" i="25" l="1"/>
  <c r="L152" i="25" s="1"/>
  <c r="L153" i="25" s="1"/>
  <c r="L154" i="25" s="1"/>
  <c r="L155" i="25" l="1"/>
  <c r="L156" i="25" s="1"/>
  <c r="L157" i="25" s="1"/>
  <c r="L158" i="25" s="1"/>
  <c r="L160" i="25" s="1"/>
  <c r="L161" i="25" s="1"/>
  <c r="L162" i="25" s="1"/>
  <c r="E11" i="6" s="1"/>
  <c r="K110" i="24" l="1"/>
  <c r="I110" i="24"/>
  <c r="L121" i="24" s="1"/>
  <c r="I11" i="6" l="1"/>
  <c r="L111" i="24"/>
  <c r="L110" i="24" l="1"/>
  <c r="L112" i="24" s="1"/>
  <c r="L113" i="24" l="1"/>
  <c r="L114" i="24" s="1"/>
  <c r="L115" i="24" l="1"/>
  <c r="L116" i="24" s="1"/>
  <c r="L117" i="24" l="1"/>
  <c r="L118" i="24" s="1"/>
  <c r="L119" i="24" l="1"/>
  <c r="L120" i="24" s="1"/>
  <c r="L122" i="24" s="1"/>
  <c r="L123" i="24" l="1"/>
  <c r="L124" i="24" s="1"/>
  <c r="E10" i="6" s="1"/>
  <c r="I10" i="6" s="1"/>
  <c r="E14" i="6" l="1"/>
  <c r="I14" i="6" l="1"/>
</calcChain>
</file>

<file path=xl/sharedStrings.xml><?xml version="1.0" encoding="utf-8"?>
<sst xmlns="http://schemas.openxmlformats.org/spreadsheetml/2006/main" count="850" uniqueCount="358">
  <si>
    <t xml:space="preserve"> </t>
  </si>
  <si>
    <t>ლარი</t>
  </si>
  <si>
    <t>რაოდენობა</t>
  </si>
  <si>
    <t>სულ</t>
  </si>
  <si>
    <t>კაც/სთ</t>
  </si>
  <si>
    <t>ტ</t>
  </si>
  <si>
    <t>მ2</t>
  </si>
  <si>
    <t>მ3</t>
  </si>
  <si>
    <t>ჯამი</t>
  </si>
  <si>
    <t>დღგ</t>
  </si>
  <si>
    <t>კგ</t>
  </si>
  <si>
    <t>ც</t>
  </si>
  <si>
    <t>ელექტროდი</t>
  </si>
  <si>
    <t>№ 1</t>
  </si>
  <si>
    <t>საერთო სახარჯთაღრიცხვო ღირებულება ლარი</t>
  </si>
  <si>
    <t>სხვა დანახარჯები</t>
  </si>
  <si>
    <t>მოწყობილობა და ინვენტარი</t>
  </si>
  <si>
    <t>სამონტაჟო სამუშაოები</t>
  </si>
  <si>
    <t>საამშენებლო სამუშაოები</t>
  </si>
  <si>
    <t>სახარჯთაღრიცხვო ღირებულება ლარი</t>
  </si>
  <si>
    <t>%</t>
  </si>
  <si>
    <t>თავების, ობიექტების, სამუშაოების და დანახარჯების დასახელება</t>
  </si>
  <si>
    <t>ხარჯთაღრიცხვის №</t>
  </si>
  <si>
    <t xml:space="preserve">  № რიგზე</t>
  </si>
  <si>
    <t xml:space="preserve">                                   Sedgenilia:</t>
  </si>
  <si>
    <t>ნაკრები ხარჯთაღრიცხვა</t>
  </si>
  <si>
    <t>7</t>
  </si>
  <si>
    <t xml:space="preserve">ერთ. ფასი </t>
  </si>
  <si>
    <t>ერთ. ფასი</t>
  </si>
  <si>
    <t>ერთ.</t>
  </si>
  <si>
    <t xml:space="preserve"> მანქანა მექანიზმები</t>
  </si>
  <si>
    <t>ხელფასი</t>
  </si>
  <si>
    <t>მასალა</t>
  </si>
  <si>
    <t>განზ,</t>
  </si>
  <si>
    <t>სამუშაოების დასახელება</t>
  </si>
  <si>
    <t>NN</t>
  </si>
  <si>
    <t>ლოკალურ-რესურსული ხარჯთაღრიცხვა № 1</t>
  </si>
  <si>
    <t xml:space="preserve">       </t>
  </si>
  <si>
    <t>სულ ხარჯთაღრიცხვით</t>
  </si>
  <si>
    <t>ლითონის საჭრელი დისკი</t>
  </si>
  <si>
    <t>საქსოვი მავთული</t>
  </si>
  <si>
    <t>მოგება</t>
  </si>
  <si>
    <t>არმატურა ა-1 d=8</t>
  </si>
  <si>
    <t>არმატურა ა-3 d=16</t>
  </si>
  <si>
    <t>ტნ</t>
  </si>
  <si>
    <t>ცალი</t>
  </si>
  <si>
    <t>კვ.მ.</t>
  </si>
  <si>
    <t>ლურსმანი</t>
  </si>
  <si>
    <t>არმატურა ა-3 d=10</t>
  </si>
  <si>
    <t>1</t>
  </si>
  <si>
    <t>შრომის დანახარჯები</t>
  </si>
  <si>
    <t>მოაჯირების ანტიკოროზიული დამუშავება</t>
  </si>
  <si>
    <t>ჟანგის მოსახსნელი სითხე</t>
  </si>
  <si>
    <t>ზუმფარა</t>
  </si>
  <si>
    <t>მოაჯირების დაგრუნტვა</t>
  </si>
  <si>
    <t>გრუნტი ემალი</t>
  </si>
  <si>
    <t>გამხსნელი</t>
  </si>
  <si>
    <t>მოაჯირების შეღებვა ანტიკოროზიული საღებავით 2-ჯერ</t>
  </si>
  <si>
    <t>ანტიკოროზიული საღებავი</t>
  </si>
  <si>
    <t>შრომის დანახარჯი</t>
  </si>
  <si>
    <t>მ</t>
  </si>
  <si>
    <r>
      <t>მ</t>
    </r>
    <r>
      <rPr>
        <b/>
        <vertAlign val="superscript"/>
        <sz val="10"/>
        <rFont val="Sylfaen"/>
        <family val="1"/>
      </rPr>
      <t>2</t>
    </r>
  </si>
  <si>
    <t xml:space="preserve">შრომის დანახარჯები </t>
  </si>
  <si>
    <t>გრძ.მ</t>
  </si>
  <si>
    <t>კაც/დღე</t>
  </si>
  <si>
    <t xml:space="preserve"> ჯამი</t>
  </si>
  <si>
    <t>სატრანსპორტო ხარჯი (მასალებზე)</t>
  </si>
  <si>
    <t>jami</t>
  </si>
  <si>
    <t>გაუთვალისწინებელი დანახარჯები</t>
  </si>
  <si>
    <t>სულ ჯამი</t>
  </si>
  <si>
    <t>№ 2</t>
  </si>
  <si>
    <t>სამშენებლო მოსაპიკეთებელი სამუშაოები</t>
  </si>
  <si>
    <t xml:space="preserve"> გრუნტის დამუშავება ქვაბულისთვის ექსკავატორით 0.65 მ3  ჩამჩით და თვითმცლელზე დაყრა და გატანა 25 კმ-მდე</t>
  </si>
  <si>
    <t xml:space="preserve"> მ3</t>
  </si>
  <si>
    <t>ქვაბული შევსება ბალასტით (ფრაქცია 0-120 მმ) მექანიზმის გამოყენებით, 50 მ-ზე გადაადგილებით, 10 ტ-იანი პნევმოსვლიანი სატკეპნით  (k=0.98-1.25)</t>
  </si>
  <si>
    <r>
      <t>მ</t>
    </r>
    <r>
      <rPr>
        <b/>
        <vertAlign val="superscript"/>
        <sz val="12"/>
        <rFont val="Sylfaen"/>
        <family val="1"/>
      </rPr>
      <t>3</t>
    </r>
  </si>
  <si>
    <t>შრომითი  დანახარჯები</t>
  </si>
  <si>
    <t>ზედნადები ხარჯი</t>
  </si>
  <si>
    <t>B-25 მარკის  ბეტონი (პომპის მომსახურების ჩათვლით)</t>
  </si>
  <si>
    <t>B-25 მარკის   ბეტონი (პომპის მომსახურების ჩათვლით)</t>
  </si>
  <si>
    <t xml:space="preserve">დროებითი ნაგებობები </t>
  </si>
  <si>
    <t>შრომის ხარჯი</t>
  </si>
  <si>
    <t xml:space="preserve">წყალშემკრები დგარი </t>
  </si>
  <si>
    <t>მილის სამაგრები</t>
  </si>
  <si>
    <t>დუბელ-შურუპი</t>
  </si>
  <si>
    <t>იატაკის მოპირკეთება</t>
  </si>
  <si>
    <t xml:space="preserve">ქვიშა-ცემენტის ხსნარი </t>
  </si>
  <si>
    <t>ქალაქი თბილისი, როსტომ აბრამიშვილის II შესახვევი, N 4
(ს/კ: 01.19.14.004.022) სამშენებლო სამუშაოები</t>
  </si>
  <si>
    <t>საპენსიო დანარიცხი ხელფასზე</t>
  </si>
  <si>
    <t>ბეტონი B-15</t>
  </si>
  <si>
    <t xml:space="preserve">საყალიბე ფანერა </t>
  </si>
  <si>
    <t>ხის მასალა</t>
  </si>
  <si>
    <t>საძირკველის ფილის მოწყობა ბეტონით B-25 მარკის ბეტონი ჰ=0,12მ (-0,1 ნიშნულზე)</t>
  </si>
  <si>
    <t>ქვაბული შევსება ღორღით (ფრაქცია 0-40 მმ) მექანიზმის გამოყენებით, 50 მ-ზე გადაადგილებით, 10 ტ-იანი პნევმოსვლიანი სატკეპნით  (k=0.98-1.25)</t>
  </si>
  <si>
    <t>წერტილოვანი საძირკველის  მოწყობა ბეტონით B-25 მარკის ბეტონი ჰ=1.0მ (-2,2-დან -0,1 ნიშნულზე) წს-2</t>
  </si>
  <si>
    <t>წერტილოვანი საძირკველის  მოწყობა ბეტონით B-25 მარკის ბეტონი ჰ=1.0მ (-2,2-დან -0,1 ნიშნულზე) წს-1</t>
  </si>
  <si>
    <t>რანდკოჭის  მოწყობა ბეტონით B-25 მარკის ბეტონი რკ-1</t>
  </si>
  <si>
    <t>რანდკოჭის  მოწყობა ბეტონით B-25 მარკის ბეტონი რკ-2</t>
  </si>
  <si>
    <t>ბეტონის მოსამზადებელი ფენის მოწყობა ბეტონით B-15</t>
  </si>
  <si>
    <t>ორტესებური კოჭი #16</t>
  </si>
  <si>
    <t>მილკვადრატი 100*4მმ</t>
  </si>
  <si>
    <t>მილკვადრატი 50*3მმ</t>
  </si>
  <si>
    <t>მილკვადრატი 160*80*4მმ</t>
  </si>
  <si>
    <t>მილკვადრატი 160*5მმ</t>
  </si>
  <si>
    <t>ფოლადის ფურცელი 100*8</t>
  </si>
  <si>
    <t>ფოლადის ფურცელი 180*8</t>
  </si>
  <si>
    <t>ფოლადის ფურცელი 220*8</t>
  </si>
  <si>
    <t>ფოლადის ფურცელი 120*8</t>
  </si>
  <si>
    <t>ფოლადის ფურცელი 130*8</t>
  </si>
  <si>
    <t>ფოლადის ფურცელი 430*8</t>
  </si>
  <si>
    <t>ფოლადის ფურცელი 90*8</t>
  </si>
  <si>
    <t>ფოლადის ფურცელი 160*8</t>
  </si>
  <si>
    <t>ფოლადის ფურცელი 150*6</t>
  </si>
  <si>
    <t>ფოლადის ფურცელი 240*6</t>
  </si>
  <si>
    <t>ფოლადის ფურცელი 400*16</t>
  </si>
  <si>
    <t>ჩასატანებელი დეტალების მოწყობა ჩდ-1</t>
  </si>
  <si>
    <t>გრუნტი</t>
  </si>
  <si>
    <t>ზეთოვანი საღებავი</t>
  </si>
  <si>
    <t>ლიტ</t>
  </si>
  <si>
    <t>ლითონ კოსნტრუქციების მოწყობა (იხ.პროექტი)</t>
  </si>
  <si>
    <t>ლითონ კოსნტრუქციების შეღებვა</t>
  </si>
  <si>
    <t>ჩასატანებელი დეტალების მოწყობა ჩდ-2</t>
  </si>
  <si>
    <t>ფოლადის ფურცელი 350*16</t>
  </si>
  <si>
    <t xml:space="preserve">პანდუსის ფილის და კედლების მოწყობა ბეტონით B-25 </t>
  </si>
  <si>
    <t>დამხმარე მუშა 1 თვე (2-კაცი დღიური)</t>
  </si>
  <si>
    <t xml:space="preserve"> საიზოლაციო მემბრანა</t>
  </si>
  <si>
    <t>იატაკების იზოლაციის მოწყობა</t>
  </si>
  <si>
    <t xml:space="preserve">იატაკზე ქვიშა-ცემენტის მოჭიმვის მოწყობა 100მმ-ის სისქით </t>
  </si>
  <si>
    <t>კედლის სენდვიჩ პანელები</t>
  </si>
  <si>
    <t>პოლიუთერანის სენდვიჩ პანელები სისქით 80მმ</t>
  </si>
  <si>
    <t>წყალშემკრები მილის მოწყობა</t>
  </si>
  <si>
    <r>
      <t>მ</t>
    </r>
    <r>
      <rPr>
        <b/>
        <vertAlign val="superscript"/>
        <sz val="10"/>
        <rFont val="AcadNusx"/>
      </rPr>
      <t>2</t>
    </r>
  </si>
  <si>
    <r>
      <t>მ</t>
    </r>
    <r>
      <rPr>
        <vertAlign val="superscript"/>
        <sz val="10"/>
        <rFont val="Times New Roman"/>
        <family val="1"/>
        <charset val="204"/>
      </rPr>
      <t>2</t>
    </r>
  </si>
  <si>
    <r>
      <t>კნაუფის დგარის პროფილი @</t>
    </r>
    <r>
      <rPr>
        <sz val="10"/>
        <rFont val="Arial"/>
        <family val="2"/>
      </rPr>
      <t xml:space="preserve"> C 50\100\50\0.6 \3000     KNAUF</t>
    </r>
  </si>
  <si>
    <t>კნაუფის მიმმართველი  პროფილი @ U 40\100\40\0.6 \3000     KNAUF</t>
  </si>
  <si>
    <t>გამჭედი დუბელი `კ`6*35</t>
  </si>
  <si>
    <t xml:space="preserve">შურუპი თვითმჭრელი ((TN) 3.5*25 </t>
  </si>
  <si>
    <t xml:space="preserve">შურუპი თვითმჭრელი ((TN) 3.5*35 </t>
  </si>
  <si>
    <t>საიზოლაციო ლენტი პროფილებისათვის PE 100 25მ</t>
  </si>
  <si>
    <t>ფითხი   უნიფლოტი</t>
  </si>
  <si>
    <t>საიზოლაციო მასალა (ქვაბამბა)50მმ</t>
  </si>
  <si>
    <r>
      <t>მ</t>
    </r>
    <r>
      <rPr>
        <vertAlign val="superscript"/>
        <sz val="10"/>
        <rFont val="AcadNusx"/>
      </rPr>
      <t>2</t>
    </r>
  </si>
  <si>
    <r>
      <t xml:space="preserve">კნაუფის ჭერის პროფილი @ C 27\60\27\0.6 \3000     </t>
    </r>
    <r>
      <rPr>
        <sz val="10"/>
        <rFont val="Arial"/>
        <family val="2"/>
      </rPr>
      <t>KNAUF</t>
    </r>
  </si>
  <si>
    <t>კნაუფის ჭერის მიმმართველი პროფილი @ U 27\28\27\0.6 \3000  KNAUF</t>
  </si>
  <si>
    <t>რკინის დიუბელი</t>
  </si>
  <si>
    <t>მავთული ყულფით</t>
  </si>
  <si>
    <t>ანკერი სწრაფსაკიდი</t>
  </si>
  <si>
    <r>
      <rPr>
        <sz val="10"/>
        <rFont val="Arial"/>
        <family val="2"/>
      </rPr>
      <t xml:space="preserve">CD </t>
    </r>
    <r>
      <rPr>
        <sz val="10"/>
        <rFont val="AcadNusx"/>
      </rPr>
      <t>პროფილის დამაგრძელებელი</t>
    </r>
  </si>
  <si>
    <r>
      <rPr>
        <sz val="10"/>
        <rFont val="Arial"/>
        <family val="2"/>
      </rPr>
      <t xml:space="preserve">CD </t>
    </r>
    <r>
      <rPr>
        <sz val="10"/>
        <rFont val="AcadNusx"/>
      </rPr>
      <t>პროფილის jvარედინი გადასაბმელი</t>
    </r>
  </si>
  <si>
    <t xml:space="preserve"> კნაუფის თაბაშირ–მუყაოს ფილა 2500*1200*12.5 </t>
  </si>
  <si>
    <t>ფითხი    Knauf Fugenfuller</t>
  </si>
  <si>
    <t>ჭერი</t>
  </si>
  <si>
    <t>კარ ფანჯრები</t>
  </si>
  <si>
    <t>მოაჯირი</t>
  </si>
  <si>
    <t>სახურავი</t>
  </si>
  <si>
    <t xml:space="preserve">კიბის  ლითონის  მოაჯირის მოწყობა </t>
  </si>
  <si>
    <t>გამწვანება</t>
  </si>
  <si>
    <t>ნაზავი მიწის დაყრა საშუალოდ 20სმ სისქით</t>
  </si>
  <si>
    <t>კუბ.მ</t>
  </si>
  <si>
    <t>ტერიტორიის პლანირება და ნაზავი მიწის შეტანა-გაშლით</t>
  </si>
  <si>
    <t>რულონი ბალახის  დაგება</t>
  </si>
  <si>
    <t xml:space="preserve">ტიხრების მოწყობა თაბაშირმუყაოს  ცეცხლგამძლე ორმაგი ფილებით  სისქით 10სმ ქვაბამბის დათბუნებით </t>
  </si>
  <si>
    <t xml:space="preserve">კნაუფის თაბაშირმუყაოს (ცეცხლგამძლე) ფილა 2500*1200*12.5 </t>
  </si>
  <si>
    <t>მანქანები</t>
  </si>
  <si>
    <t>წებო-ცემენტი (ყინვაგამძლე)</t>
  </si>
  <si>
    <t>ნაკერების შემავსებელი(ფუგა)</t>
  </si>
  <si>
    <t>სხვა მასალები</t>
  </si>
  <si>
    <t xml:space="preserve">საღებავი </t>
  </si>
  <si>
    <t>ფითხი</t>
  </si>
  <si>
    <t>წყალ-კანალიზაციის მილები და სანტექნიკის ფურნიტურა</t>
  </si>
  <si>
    <t>წყლის  მილი დ=25მმ პოლიპროპილენის</t>
  </si>
  <si>
    <t>არკოს ვენტილი</t>
  </si>
  <si>
    <t>ვენტილი დ=20მმ</t>
  </si>
  <si>
    <t>მილის სამაგრი</t>
  </si>
  <si>
    <t>გადამყვანი 25*32-ზე</t>
  </si>
  <si>
    <t>სამკაპი დ=25მმ</t>
  </si>
  <si>
    <t>ქურო დ=25მმ</t>
  </si>
  <si>
    <t>მუხლი დ=25მმ</t>
  </si>
  <si>
    <t>კანალიზაცის მილი დ=50მმ</t>
  </si>
  <si>
    <t>კანალიზაციის მუხლი დ=50</t>
  </si>
  <si>
    <t>გადამყვანი 50*100</t>
  </si>
  <si>
    <t>კომპ</t>
  </si>
  <si>
    <t xml:space="preserve">შშმ პირებისათვის ხელსაბანის „ევროპული“ მოწყობა (შემრევით და სიფონით) </t>
  </si>
  <si>
    <t>შშმ პირებისათვის უნიტაზის „ევროპული“ მოწყობა (გოფრეთი და ჩამრეცხი ავზით) ხელჩასავლები აქსესუარების გათვალისწინებით</t>
  </si>
  <si>
    <t>ევროპული ხარისხის უნიტაზის (გოფრეთი და ჩამრეცხი ავზით) მოწყობა</t>
  </si>
  <si>
    <t>ევროპული ხარისხის ხელსაბანის (შემრევით და სიფონით)  მოწყობა</t>
  </si>
  <si>
    <t>სხვადასხვა</t>
  </si>
  <si>
    <t>კაბელ არხის გვერდებზე კუთხოვანების მოწყობა</t>
  </si>
  <si>
    <t>ღიობების მოწყობა ტიხრებში ზომით 300*300 სიმაღლე 3 მეტრი</t>
  </si>
  <si>
    <t>კაბელებისთვის რკინა/ბეტონის იატაკის ამოჭრა (3,55კვ.მ) (ელ.კაბელებისთვის)</t>
  </si>
  <si>
    <t>კაბელ არხისთვის თავსახურის მოწყობა</t>
  </si>
  <si>
    <t>სამკაპი 50*50</t>
  </si>
  <si>
    <t>კარებებზე „ე.წ კაზიროგები“ ფართუკებისა და საცრემლეების მოწყობა თუნუქის ფურცლისაგან (ყველა დამხმარე მასალების გათვალისწინებით)</t>
  </si>
  <si>
    <t>ფანრჯრებზე „ე.წ კაზიროგები“ ფართუკებისა და საცრემლეების მოწყობა თუნუქის ფურცლისაგან (ყველა დამხმარე მასალების გათვალისწინებით)</t>
  </si>
  <si>
    <t>ლითონის კარები 1-ცალი (ტიპი-1) ცეცხგამძლე მოწყობა (სამონტაჟო მასალების გათვალისიწნებით)</t>
  </si>
  <si>
    <t>ლითონის კარები 2-ცალი (ტიპი-2) ცეცხგამძლე მოწყობა (სამონტაჟო მასალების გათვალისიწნებით)</t>
  </si>
  <si>
    <t>MDF_ით დაფარული კარები 2-ცალი (ტიპი-3) მოწყობა (სამონტაჟო მასალების გათვალისიწნებით)</t>
  </si>
  <si>
    <t>მეტალოპლასტმასის ფანჯრები 1-ცალი მოწყობა (სამონტაჟო მასალების გათვალისიწნებით)</t>
  </si>
  <si>
    <t>კედლების ლითონის კონსტრუქციაზე პოლიუთერანის სენდვიჩ პანელების გაკვრა სისქით 80მმ  (სამონტაჟო მასალების გათვალისიწნებით)</t>
  </si>
  <si>
    <t>მასალა შესაბამისი</t>
  </si>
  <si>
    <t>მეტალოპლასტმასის ვიტრაჟი 1-ცალი მოწყობა (სამონტაჟო მასალების გათვალისიწნებით)</t>
  </si>
  <si>
    <t>მეტალოპლასტმასის ვიტრაჟი 2-ცალი მოწყობა (სამონტაჟო მასალების გათვალისიწნებით)</t>
  </si>
  <si>
    <t>მეტალოპლასტმასის კარის 2-ცალი მოწყობა (სამონტაჟო მასალების გათვალისიწნებით)</t>
  </si>
  <si>
    <t>მეტალოპლასტმასის ფანჯრები 6-ცალი მოწყობა (სამონტაჟო მასალების გათვალისიწნებით)</t>
  </si>
  <si>
    <t>კედლების სენდვიჩ პანელების კუთხეებში თბოსაიზოაციო ლენტის მოწყობა, საჭიროების შემთხვევაში სამაგრი კონსტრუქციებით</t>
  </si>
  <si>
    <t>ტიხრის კედლების  შეღებვა და შეფითხვნა</t>
  </si>
  <si>
    <t>MDF_ით დაფარული 6-ცალი (ტიპი-2) მოწყობა (სამონტაჟო მასალების გათვალისიწნებით)</t>
  </si>
  <si>
    <t>ლითონის კარი 1-ცალი მოწყობა (სამონტაჟო მასალების გათვალისიწნებით)</t>
  </si>
  <si>
    <t>ხეების შეძენა-დარგვა (მ/შორის ელდარის ფიჭვი-2ცალი, ირმი რქა-6ცალი, ჩვეულებრივი იფანი 4ცალი)</t>
  </si>
  <si>
    <t>მიწის მოჭრა ექსკავატორით სისქით 37სმ, ავტოთვითმცლელზე დატვირთვა და გატანა საშუალოდ 25 კმ-ზე</t>
  </si>
  <si>
    <r>
      <t>მ</t>
    </r>
    <r>
      <rPr>
        <vertAlign val="superscript"/>
        <sz val="10"/>
        <rFont val="Segoe UI"/>
        <family val="2"/>
      </rPr>
      <t>3</t>
    </r>
  </si>
  <si>
    <t>ქვიშა-ხრეშოვანი მასალის მოწყობა (ფრაქცია 0-70 მმ) მექანიზმით, ასფალტის მომზადებამდე სისქით 25 სმ დატკეპნით</t>
  </si>
  <si>
    <t>ღორღის (ფრაქცია 0-40 მმ) საფარის მექანიზმით მოწყობა, ასფალტის მომზადებამდე სისქით 12 სმ დატკეპნით</t>
  </si>
  <si>
    <t>ასფალტობეტონის საფარის აღდგენა სისქით 7 სმ; მსხვილმარცვლოვანი 7 სმ /მასალის გათვალისწინებით/</t>
  </si>
  <si>
    <r>
      <t>მ</t>
    </r>
    <r>
      <rPr>
        <vertAlign val="superscript"/>
        <sz val="10"/>
        <rFont val="Segoe UI"/>
        <family val="2"/>
      </rPr>
      <t>2</t>
    </r>
  </si>
  <si>
    <t>4-1.</t>
  </si>
  <si>
    <t>ბიტუმი ნავთობის კ=0,6</t>
  </si>
  <si>
    <t>ასფალტობეტონის საფარის აღდგენა სისქით 5 სმ წვრილმარცვლოვანი 5 სმ /მასალის გათვალისწინებით/</t>
  </si>
  <si>
    <t>5-1.</t>
  </si>
  <si>
    <t>ბიტუმი ნავთობის კ=0,3</t>
  </si>
  <si>
    <t>ბორდიურის 30*15 სმ მოწყობა ბეტონის საფუძველზე</t>
  </si>
  <si>
    <t>№ 3</t>
  </si>
  <si>
    <t>გზა</t>
  </si>
  <si>
    <t xml:space="preserve">პლინტუსის მოწყობა </t>
  </si>
  <si>
    <t xml:space="preserve">პლინტუსი </t>
  </si>
  <si>
    <t>წებო</t>
  </si>
  <si>
    <t>მეტლახი</t>
  </si>
  <si>
    <t>კერამიკული ფილა</t>
  </si>
  <si>
    <t xml:space="preserve">კედლის მოპირკეთება კერამიკული ფილებით (30*60)  </t>
  </si>
  <si>
    <t>დეფექტური აქტი</t>
  </si>
  <si>
    <t>ელ. სამონტაჟო სამუშაოები</t>
  </si>
  <si>
    <t>კაბელები</t>
  </si>
  <si>
    <t>ძალოვანი კაბელი, არაჰალოგენური N2XH 3x1.5mm</t>
  </si>
  <si>
    <t>ძალოვანი კაბელი, არაჰალოგენური N2XH 3x2.5mm</t>
  </si>
  <si>
    <t>ძალოვანი კაბელი, არაჰალოგენური N2XH 5x2.5mm</t>
  </si>
  <si>
    <t>ძალოვანი კაბელი, არაჰალოგენური N2XH 3x4mm</t>
  </si>
  <si>
    <t>ძალოვანი კაბელი, არაჰალოგენური N2XH 5x10mm</t>
  </si>
  <si>
    <t>ძალოვანი კაბელი, არაჰალოგენური N2XH 5x16mm</t>
  </si>
  <si>
    <t>კომპიუტერის კაბელი 6 კატეგორია, ჰალოგენისგან თავისუფალი C6 U/FTP</t>
  </si>
  <si>
    <t>სამონტაჟო მასალები</t>
  </si>
  <si>
    <t>საკაბელო არხი პერფორირებული 200x50მმ T:1.2მმ, P.G</t>
  </si>
  <si>
    <t>საკაბელო არხი პერფორირებული 300x50მმ T:1.5მმ, P.G</t>
  </si>
  <si>
    <t>რკინის საკ.არხის ჭერზე საკიდი 500მმ</t>
  </si>
  <si>
    <t>რკინის საკაბელო არხის დასადები 300მმ</t>
  </si>
  <si>
    <t>რკინის საკაბელო არხის დასადები 230მმ</t>
  </si>
  <si>
    <t>ანკერი M10x70, F12 ნახვრეტისთვის</t>
  </si>
  <si>
    <t>ქანჩი M8 (გროვრული)</t>
  </si>
  <si>
    <t>დუბელ შურუფი 6x35</t>
  </si>
  <si>
    <t>კაბელის დამჭერი, ლითონის N6</t>
  </si>
  <si>
    <t>კაბელის დამჭერი, ლითონის N8</t>
  </si>
  <si>
    <t>ორი კაბელის დამჭერი, ლითონის N6</t>
  </si>
  <si>
    <t>საინსტ. გოფრ. მილი (D110მმ) წითელი, ტროსით (Courbi)</t>
  </si>
  <si>
    <t>საინსტ. გოფრ. მილი(შავი) დ160მმ</t>
  </si>
  <si>
    <t>გოფრირებული მილი, არაჰოლოგენური Ø32mm</t>
  </si>
  <si>
    <t>გოფრირებული მილი, არაჰოლოგენური Ø25mm</t>
  </si>
  <si>
    <t>მყარი სამონტაჟო მილი, არაჰალოგენური Ø32mm</t>
  </si>
  <si>
    <t>მყარი სამონტაჟო მილის მუხლი, არაჰალოგენური Ø32mm</t>
  </si>
  <si>
    <t>მყარი სამონტაჟო მილი კლიპსი, არაჰალოგენური Ø32mm</t>
  </si>
  <si>
    <t>თვითმჭრელი 6.3x35, ბეტონის</t>
  </si>
  <si>
    <t>კლემა 3-იანი ჩამკეტით, 0,2-4.0მმ2</t>
  </si>
  <si>
    <t>კლემა 5-იანი ჩამკეტით, 0,2-4.0მმ2</t>
  </si>
  <si>
    <t>კლემა ჩასარჭობი 4-იანი, 0,5-2,5მმ2</t>
  </si>
  <si>
    <t>კლემა ჩასარჭობი 5-იანი, 0,5-2,5მმ2</t>
  </si>
  <si>
    <t>გამანაწილებელი გ/მ კოლოფი 190x145x70, IP65, ნაცრისფერი</t>
  </si>
  <si>
    <t>გამანაწილებელი გ/მ კოლოფი 80X80X40mm, IP54, ნაცრისფერი</t>
  </si>
  <si>
    <t>კაბელის შემკვრელი 200x2.6 შავი, ჰალოგენისგან თავისუფალი, UV მედეგი, (100ც შეკვრაში)</t>
  </si>
  <si>
    <t>კაბელის შემკვრელი 360x4.5 შავი, ჰალოგენისგან თავისუფალი, UV მედეგი, (100ც შეკვრაში)</t>
  </si>
  <si>
    <t>როზეტის ბუდე გიფსო D=68mm, 47mm, ჰალოგენისგან თავისუფალი</t>
  </si>
  <si>
    <t>დამხმარე მასალები /Additional materials</t>
  </si>
  <si>
    <t>ელ. ფარები</t>
  </si>
  <si>
    <t>GC-DB1-00</t>
  </si>
  <si>
    <t>Neo კარადა WxHxD 800x2000x600 (H100), IP55</t>
  </si>
  <si>
    <t>Neo კარადის გვერდითი საფარი HxD: 2000x600, წყვილი</t>
  </si>
  <si>
    <t>Teo/Neo/Neo MB სამონტაჟო დაფა WxH 800x150</t>
  </si>
  <si>
    <t>Teo/Neo/Neo MB 800  სამონტაჟო U პროფილი LxH:691x50x25 2ც</t>
  </si>
  <si>
    <t>Teo/Neo/Neo MB სიღრმის პროფილი კომპლ. 2ც</t>
  </si>
  <si>
    <t>Teo/Neo/Neo MB, საფარების დამჭერი ჩარჩო WxH:800x2000, 1800შესავსები</t>
  </si>
  <si>
    <t>საფარი ამოჭრილით 36 MU,WxH:800x150, Teo/Neo/Neo MB</t>
  </si>
  <si>
    <t>საფარი WxH:800x200, Teo/Neo/Neo MB</t>
  </si>
  <si>
    <t>საფარი ამოჭრილით 36 MU,WxH:800x200, Teo/Neo/Neo MB</t>
  </si>
  <si>
    <t>საფარი WxH:800x250, Teo/Neo/Neo MB</t>
  </si>
  <si>
    <t>ავტომატური ამომრთველი 50ა I გაბარიტი 36kA</t>
  </si>
  <si>
    <t>ავტომატური ამომრთველი 63ა I გაბარიტი 36kA</t>
  </si>
  <si>
    <t>კონტაქტორი 65ა 30kW 230ვAC კოჭით</t>
  </si>
  <si>
    <t>დამხმარე კონტაქტი 2 ღია 2 დახურული DIL40-170</t>
  </si>
  <si>
    <t>კონტაქტორების მექანიკური ბლოკირება DIL40-72</t>
  </si>
  <si>
    <t>შუქმრძნობიაერე ჩამრთველი სენსორით, (ფოტორელე)</t>
  </si>
  <si>
    <t>დიფერენც. გაჟონვის რელე 4 პოლუსა 6kA, 25A/30mA, type AC</t>
  </si>
  <si>
    <t>დიფერენც. გაჟონვის რელე 4 პოლუსა 6kA, 40A/30mA, type AC</t>
  </si>
  <si>
    <t>ავტომატური ამომრთველი C/10A, 6kA, 1 პოლუსა</t>
  </si>
  <si>
    <t>ავტომატური ამომრთველი C/16A, 6kA, 1 პოლუსა</t>
  </si>
  <si>
    <t>ავტომატური ამომრთველი C/32A, 6kA, 1 პოლუსა</t>
  </si>
  <si>
    <t>ავტომატური ამომრთველი C/20A, 6kA, 3 პოლუსა</t>
  </si>
  <si>
    <t>ავტომატური ამომრთველი C/32A, 6kA, 3 პოლუსა</t>
  </si>
  <si>
    <t>გადაძაბვიდან და მეხისგან დაცვა type T2, 4p, 280VAC, 4x20kA, TN-C/S</t>
  </si>
  <si>
    <t>630ა სალტის დამჭერი ნეიტრალი დამიწება, 5-10მმ</t>
  </si>
  <si>
    <t>630ა სალტის დამჭერი სამფაზა, 5-10მმ</t>
  </si>
  <si>
    <t>სალტე სპილენძის  20\10, (4 მეტრი)</t>
  </si>
  <si>
    <t>ATS-ის მართვის ბლოკი</t>
  </si>
  <si>
    <t>ორმაგი კვების მოდული</t>
  </si>
  <si>
    <t>დნ. მცველის ამომრთველიანი ბუდე 3P, 32A-მდე,10x38 mm</t>
  </si>
  <si>
    <t>დნობადი მცველი 10x38 6ა</t>
  </si>
  <si>
    <t>დნ. მცველის ამომრთველიანი ბუდე 1P, 32A-მდე,10x38 mm</t>
  </si>
  <si>
    <t>კონტაქტი ღია, 1 N/O</t>
  </si>
  <si>
    <t>კონტაქტი დახურული, 1 N/C</t>
  </si>
  <si>
    <t>ნათურა მწვანე 230ვ</t>
  </si>
  <si>
    <t>სამაგრი ადაფტერი</t>
  </si>
  <si>
    <t>ღილაკი 0-1 ერთად</t>
  </si>
  <si>
    <t>საინდიკაციო ნათურის ბუდე მწვანე</t>
  </si>
  <si>
    <t>მბრუნავი გადამრთველი ფიქსაციით 3 პოზ, 1-0-2</t>
  </si>
  <si>
    <t>რელე 230V AC კოჭა, 2 გადამრთველი კონტაქტი, 12A</t>
  </si>
  <si>
    <t>რელეს სოკეტი, REL-IR2,4/LDP2,4, ჩასარჭობი კონტაქტებით</t>
  </si>
  <si>
    <t>კვების ბლოკი 110/230V AC-24V DC, 5A</t>
  </si>
  <si>
    <t>უწყვეტი კვების წყარო ფარში სამონტაჟო 220AC/24DC/5A</t>
  </si>
  <si>
    <t>აკუმულიატორის ბატარეა 24ვ 3.4ას</t>
  </si>
  <si>
    <t>ფარის მაკომპლექტებლები</t>
  </si>
  <si>
    <t>ფურნიტურა</t>
  </si>
  <si>
    <t>როზეტი SCHUKO, არაპრიალა თეთრი</t>
  </si>
  <si>
    <t>ჩარჩო 1-იანი, არაპრიალა თეთრი</t>
  </si>
  <si>
    <t>ჩარჩო 2-იანი, არაპრიალა თეთრი</t>
  </si>
  <si>
    <t>ჩარჩო 3-იანი, არაპრიალა თეთრი</t>
  </si>
  <si>
    <t>2-იანი კომპიუტერის/ტელეფონის პანელი, არაპრიალა თეთრი</t>
  </si>
  <si>
    <t>2-იანი კომპიუტერის არმატურა  (მე-6 კატეგორია)</t>
  </si>
  <si>
    <t>1-იანი ჩამრთველის კლავიში, არაპრიალა თეთრი</t>
  </si>
  <si>
    <t>1 ერთკლავიშა ჩამრთველი 10ა</t>
  </si>
  <si>
    <t>2-იანი ჩამრთველის კლავიში, არაპრიალა თეთრი</t>
  </si>
  <si>
    <t>2 ორკლავიშა ჩამრთველი 10ა</t>
  </si>
  <si>
    <t>IP 44 როზეტი გ/მ</t>
  </si>
  <si>
    <t>იატაკის სამონტაჟო კოლოფი 16მოდულიანი 253*253*70</t>
  </si>
  <si>
    <t>45X45 როზეტი SCHUKO, წითელი</t>
  </si>
  <si>
    <t>RJ45 კომპიუტერის Cat6, Keystone</t>
  </si>
  <si>
    <t>22.5x45 Keystone კომპიუტერის როზეტის პანელი</t>
  </si>
  <si>
    <t xml:space="preserve">სანათი მოწყობილობები </t>
  </si>
  <si>
    <t>L-01 - ჭერის  სანათი-600x600 ლედ პანელი 36W, 4000K, LED</t>
  </si>
  <si>
    <t>L-02 - ჭერის  სანათი - წერტილოვანი 12W, 4000K, LED</t>
  </si>
  <si>
    <t>L-03 - ჭერის სანათი - ზედაპირზე სამონტაჟო 2x18W 4000K, LED</t>
  </si>
  <si>
    <t>L-05 - ტერიტორიის განათება - ფასადზე სამონტაჟო პროჟექტორი, 50W, 3000K, LED</t>
  </si>
  <si>
    <t>LED ავარ. სანათი წერტილ. Omaha-3 3W 300lm 6400K IP20 3სთ /LED Emergency lamp Omaha-3 3W 300lm 6400K IP20 3h</t>
  </si>
  <si>
    <t>ავარიული გასასვლელის მანიშნებელი, 3 საათი, 3W</t>
  </si>
  <si>
    <t>მეტრი</t>
  </si>
  <si>
    <t>ღობე</t>
  </si>
  <si>
    <t>ღობის კედლების ლესვა შიდა მხარეს</t>
  </si>
  <si>
    <t>ქვიშა ყვითელი</t>
  </si>
  <si>
    <t>ცემენტი "ფაიდელბერგი"</t>
  </si>
  <si>
    <t>მავთულ-ხლართის მოწყობა ლითონკონსტრუქციაზე</t>
  </si>
  <si>
    <t>გათბობა-გაგრილების სისტემა</t>
  </si>
  <si>
    <t>№ 4</t>
  </si>
  <si>
    <t>სამშენებლო სამუშაოები (კონსტრუქცია)</t>
  </si>
  <si>
    <t>სამშენებლო მოსაპირკეთებელი სამუშაოები</t>
  </si>
  <si>
    <t>L-04 - ტერიტორიის განათება -ბოძზე სამონტაჟო სანათი 200W, 3000K, LED (ბოძთან კომპლექტში)</t>
  </si>
  <si>
    <t>თაბაშირმუყაოს ჭერების კარკასის მოწყობა სველ წერტილში</t>
  </si>
  <si>
    <t>ჭერების მოწყობა თაბაშირმუყაოს ნესტგამძლე ფილებისაგან  Dსველ წერტილში</t>
  </si>
  <si>
    <t>ჭერის შეღებვა და შეფითხვნა სველ წერტილში</t>
  </si>
  <si>
    <t>სახურავის პოლიუთერანის სენდვიჩ პანელები სისქით 80მმ</t>
  </si>
  <si>
    <t>ჭერის ლითონის კონსტრუქციაზე პოლიუთერანის სენდვიჩ პანელების მონტაჟი სისქით 80მმ  (სამონტაჟო მასალების გათვალისიწნებით)</t>
  </si>
  <si>
    <t>იატაკების მოწყობა მეტლახის ფილებით 60*60-ზე წებო-ცემენტზე ყინვაგამძლე</t>
  </si>
  <si>
    <t>შენობის გათბობა-გაგრილების სისტემის მოწყობა 
(24000 BTU სპლიტ კონდიციონერი სამონტაჟო ელემენტებით)</t>
  </si>
  <si>
    <t>თბილისი   2026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</si>
</sst>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.##0.00_);_(* \(#.##0.00\);_(* &quot;-&quot;??_);_(@_)"/>
    <numFmt numFmtId="168" formatCode="0.0000000"/>
    <numFmt numFmtId="169" formatCode="0.0%"/>
    <numFmt numFmtId="170" formatCode="_-* #,##0.00\ _₾_-;\-* #,##0.00\ _₾_-;_-* &quot;-&quot;??\ _₾_-;_-@_-"/>
    <numFmt numFmtId="171" formatCode="_-* #,##0.000_-;\-* #,##0.000_-;_-* &quot;-&quot;??_-;_-@_-"/>
    <numFmt numFmtId="172" formatCode="_-* #,##0.000\ _₾_-;\-* #,##0.000\ _₾_-;_-* &quot;-&quot;???\ _₾_-;_-@_-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Sylfaen"/>
      <family val="1"/>
    </font>
    <font>
      <b/>
      <sz val="12"/>
      <color theme="1"/>
      <name val="Sylfaen"/>
      <family val="1"/>
    </font>
    <font>
      <b/>
      <sz val="12"/>
      <color theme="1"/>
      <name val="Calibri"/>
      <family val="2"/>
      <charset val="204"/>
      <scheme val="minor"/>
    </font>
    <font>
      <sz val="12"/>
      <name val="Sylfaen"/>
      <family val="1"/>
      <charset val="204"/>
    </font>
    <font>
      <b/>
      <sz val="11"/>
      <color theme="1"/>
      <name val="Sylfaen"/>
      <family val="1"/>
    </font>
    <font>
      <b/>
      <sz val="12"/>
      <color theme="1"/>
      <name val="Sylfaen"/>
      <family val="2"/>
    </font>
    <font>
      <b/>
      <sz val="12"/>
      <name val="Times New Roman"/>
      <family val="1"/>
    </font>
    <font>
      <sz val="11"/>
      <color theme="1"/>
      <name val="Sylfaen"/>
      <family val="1"/>
    </font>
    <font>
      <b/>
      <sz val="12"/>
      <color theme="1"/>
      <name val="AcadNusx"/>
    </font>
    <font>
      <b/>
      <sz val="12"/>
      <name val="Sylfaen"/>
      <family val="1"/>
    </font>
    <font>
      <i/>
      <sz val="11"/>
      <color theme="1"/>
      <name val="Sylfaen"/>
      <family val="1"/>
    </font>
    <font>
      <b/>
      <i/>
      <sz val="11"/>
      <color theme="1"/>
      <name val="Sylfaen"/>
      <family val="1"/>
    </font>
    <font>
      <b/>
      <sz val="11"/>
      <name val="Sylfaen"/>
      <family val="1"/>
    </font>
    <font>
      <b/>
      <i/>
      <sz val="11"/>
      <color rgb="FFFF0000"/>
      <name val="Sylfae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Sylfaen"/>
      <family val="2"/>
    </font>
    <font>
      <b/>
      <sz val="20"/>
      <color theme="1"/>
      <name val="Sylfaen"/>
      <family val="1"/>
      <charset val="204"/>
    </font>
    <font>
      <sz val="20"/>
      <color theme="1"/>
      <name val="Sylfaen"/>
      <family val="1"/>
      <charset val="204"/>
    </font>
    <font>
      <sz val="10"/>
      <name val="Arial Cyr"/>
      <charset val="204"/>
    </font>
    <font>
      <sz val="12"/>
      <name val="Sylfaen"/>
      <family val="1"/>
    </font>
    <font>
      <sz val="10"/>
      <name val="Arial"/>
      <family val="2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b/>
      <sz val="10"/>
      <name val="AcadNusx"/>
    </font>
    <font>
      <sz val="10"/>
      <name val="AcadNusx"/>
    </font>
    <font>
      <sz val="10"/>
      <name val="ChveuNusx"/>
    </font>
    <font>
      <b/>
      <sz val="10"/>
      <name val="Sylfaen"/>
      <family val="1"/>
    </font>
    <font>
      <b/>
      <vertAlign val="superscript"/>
      <sz val="10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  <font>
      <b/>
      <sz val="12"/>
      <name val="AcadNusx"/>
    </font>
    <font>
      <b/>
      <sz val="12"/>
      <name val="AcadMtavr"/>
    </font>
    <font>
      <sz val="12"/>
      <name val="AcadNusx"/>
    </font>
    <font>
      <sz val="8"/>
      <name val="Calibri"/>
      <family val="2"/>
      <scheme val="minor"/>
    </font>
    <font>
      <b/>
      <vertAlign val="superscript"/>
      <sz val="12"/>
      <name val="Sylfaen"/>
      <family val="1"/>
    </font>
    <font>
      <b/>
      <sz val="10"/>
      <color theme="1"/>
      <name val="Sylfaen"/>
      <family val="1"/>
    </font>
    <font>
      <sz val="10"/>
      <color rgb="FF000000"/>
      <name val="Times New Roman"/>
      <family val="1"/>
    </font>
    <font>
      <sz val="10"/>
      <name val="Arial Cyr"/>
    </font>
    <font>
      <b/>
      <sz val="11"/>
      <color theme="1"/>
      <name val="Sylfaen"/>
      <family val="1"/>
      <charset val="1"/>
    </font>
    <font>
      <b/>
      <sz val="10"/>
      <color theme="1"/>
      <name val="AcadNusx"/>
    </font>
    <font>
      <sz val="11"/>
      <name val="Times New Roman"/>
      <family val="1"/>
      <charset val="204"/>
    </font>
    <font>
      <b/>
      <sz val="10"/>
      <name val="Times New Roman"/>
      <family val="1"/>
    </font>
    <font>
      <b/>
      <vertAlign val="superscript"/>
      <sz val="10"/>
      <name val="AcadNusx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name val="AcadNusx"/>
    </font>
    <font>
      <b/>
      <sz val="10"/>
      <name val="Arial"/>
      <family val="2"/>
      <charset val="204"/>
    </font>
    <font>
      <b/>
      <sz val="10"/>
      <name val="Sylfae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Sylfaen"/>
      <family val="1"/>
    </font>
    <font>
      <sz val="11"/>
      <name val="Arial"/>
      <family val="2"/>
      <charset val="204"/>
    </font>
    <font>
      <sz val="10"/>
      <name val="Sylfaen"/>
      <family val="1"/>
      <charset val="204"/>
    </font>
    <font>
      <sz val="10"/>
      <name val="Segoe UI"/>
      <family val="2"/>
    </font>
    <font>
      <vertAlign val="superscript"/>
      <sz val="10"/>
      <name val="Segoe U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4" fillId="0" borderId="0" applyFont="0" applyFill="0" applyBorder="0" applyAlignment="0" applyProtection="0"/>
    <xf numFmtId="0" fontId="13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/>
    <xf numFmtId="9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4" fillId="0" borderId="0"/>
    <xf numFmtId="0" fontId="26" fillId="0" borderId="0"/>
    <xf numFmtId="0" fontId="4" fillId="0" borderId="0"/>
    <xf numFmtId="0" fontId="30" fillId="0" borderId="0"/>
    <xf numFmtId="167" fontId="30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2" fillId="0" borderId="0"/>
    <xf numFmtId="0" fontId="25" fillId="0" borderId="0"/>
    <xf numFmtId="0" fontId="26" fillId="0" borderId="0"/>
    <xf numFmtId="43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5" fillId="0" borderId="0"/>
    <xf numFmtId="0" fontId="26" fillId="0" borderId="0"/>
    <xf numFmtId="0" fontId="4" fillId="0" borderId="0"/>
    <xf numFmtId="0" fontId="26" fillId="0" borderId="0"/>
    <xf numFmtId="9" fontId="4" fillId="0" borderId="0" applyFont="0" applyFill="0" applyBorder="0" applyAlignment="0" applyProtection="0"/>
    <xf numFmtId="0" fontId="37" fillId="0" borderId="0"/>
    <xf numFmtId="0" fontId="25" fillId="0" borderId="0"/>
    <xf numFmtId="0" fontId="26" fillId="0" borderId="0"/>
    <xf numFmtId="0" fontId="25" fillId="0" borderId="0"/>
    <xf numFmtId="0" fontId="3" fillId="0" borderId="0"/>
    <xf numFmtId="0" fontId="2" fillId="0" borderId="0"/>
    <xf numFmtId="0" fontId="48" fillId="0" borderId="0"/>
    <xf numFmtId="0" fontId="49" fillId="0" borderId="0"/>
    <xf numFmtId="0" fontId="1" fillId="0" borderId="0"/>
    <xf numFmtId="0" fontId="26" fillId="0" borderId="0"/>
    <xf numFmtId="0" fontId="52" fillId="0" borderId="0"/>
    <xf numFmtId="0" fontId="4" fillId="0" borderId="0"/>
    <xf numFmtId="0" fontId="25" fillId="0" borderId="0"/>
    <xf numFmtId="0" fontId="62" fillId="0" borderId="0"/>
    <xf numFmtId="0" fontId="70" fillId="0" borderId="0"/>
    <xf numFmtId="0" fontId="70" fillId="0" borderId="0"/>
    <xf numFmtId="43" fontId="4" fillId="0" borderId="0" applyFont="0" applyFill="0" applyBorder="0" applyAlignment="0" applyProtection="0"/>
  </cellStyleXfs>
  <cellXfs count="38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19" fillId="0" borderId="1" xfId="0" quotePrefix="1" applyFont="1" applyBorder="1" applyAlignment="1">
      <alignment horizontal="center" vertical="center" wrapText="1"/>
    </xf>
    <xf numFmtId="43" fontId="22" fillId="0" borderId="0" xfId="1" applyFont="1" applyFill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3" fontId="33" fillId="0" borderId="1" xfId="1" applyFont="1" applyFill="1" applyBorder="1" applyAlignment="1">
      <alignment horizontal="center" vertical="top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/>
    <xf numFmtId="2" fontId="36" fillId="0" borderId="1" xfId="19" applyNumberFormat="1" applyFont="1" applyFill="1" applyBorder="1" applyAlignment="1">
      <alignment horizontal="center" vertical="center"/>
    </xf>
    <xf numFmtId="2" fontId="36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43" fillId="0" borderId="1" xfId="29" applyFont="1" applyBorder="1" applyAlignment="1">
      <alignment horizontal="center" vertical="center"/>
    </xf>
    <xf numFmtId="9" fontId="44" fillId="0" borderId="1" xfId="4" applyFont="1" applyBorder="1" applyAlignment="1">
      <alignment horizontal="center"/>
    </xf>
    <xf numFmtId="9" fontId="9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9" fillId="0" borderId="1" xfId="15" applyNumberFormat="1" applyFont="1" applyBorder="1" applyAlignment="1">
      <alignment horizontal="center" vertical="center"/>
    </xf>
    <xf numFmtId="2" fontId="31" fillId="0" borderId="8" xfId="15" applyNumberFormat="1" applyFont="1" applyBorder="1" applyAlignment="1">
      <alignment horizontal="center" vertical="center"/>
    </xf>
    <xf numFmtId="0" fontId="31" fillId="0" borderId="1" xfId="15" applyFont="1" applyBorder="1" applyAlignment="1">
      <alignment horizontal="center" vertical="center"/>
    </xf>
    <xf numFmtId="43" fontId="0" fillId="0" borderId="0" xfId="0" applyNumberFormat="1"/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/>
    </xf>
    <xf numFmtId="0" fontId="41" fillId="2" borderId="1" xfId="0" applyFont="1" applyFill="1" applyBorder="1"/>
    <xf numFmtId="0" fontId="41" fillId="2" borderId="1" xfId="0" applyFont="1" applyFill="1" applyBorder="1" applyAlignment="1">
      <alignment horizontal="center" vertical="center"/>
    </xf>
    <xf numFmtId="2" fontId="41" fillId="2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1" xfId="37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17" fillId="0" borderId="0" xfId="0" applyFont="1"/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4" fillId="0" borderId="0" xfId="0" applyFont="1"/>
    <xf numFmtId="0" fontId="14" fillId="0" borderId="7" xfId="0" applyFont="1" applyBorder="1"/>
    <xf numFmtId="2" fontId="14" fillId="0" borderId="7" xfId="0" applyNumberFormat="1" applyFont="1" applyBorder="1"/>
    <xf numFmtId="0" fontId="24" fillId="0" borderId="7" xfId="0" applyFont="1" applyBorder="1" applyAlignment="1">
      <alignment vertical="center" wrapText="1"/>
    </xf>
    <xf numFmtId="2" fontId="40" fillId="2" borderId="1" xfId="19" applyNumberFormat="1" applyFont="1" applyFill="1" applyBorder="1" applyAlignment="1">
      <alignment horizontal="center" vertical="center"/>
    </xf>
    <xf numFmtId="2" fontId="40" fillId="2" borderId="1" xfId="0" applyNumberFormat="1" applyFont="1" applyFill="1" applyBorder="1" applyAlignment="1">
      <alignment horizontal="center" vertical="center" wrapText="1"/>
    </xf>
    <xf numFmtId="2" fontId="40" fillId="2" borderId="1" xfId="0" applyNumberFormat="1" applyFont="1" applyFill="1" applyBorder="1" applyAlignment="1">
      <alignment horizontal="center" vertical="center"/>
    </xf>
    <xf numFmtId="2" fontId="17" fillId="0" borderId="0" xfId="0" applyNumberFormat="1" applyFont="1"/>
    <xf numFmtId="0" fontId="38" fillId="0" borderId="0" xfId="0" applyFont="1" applyAlignment="1">
      <alignment vertical="center" wrapText="1"/>
    </xf>
    <xf numFmtId="165" fontId="40" fillId="2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 applyProtection="1">
      <alignment horizontal="center" vertical="center"/>
      <protection locked="0"/>
    </xf>
    <xf numFmtId="2" fontId="38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left" vertical="center" wrapText="1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2" fontId="4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0" fillId="2" borderId="1" xfId="0" applyNumberFormat="1" applyFont="1" applyFill="1" applyBorder="1" applyAlignment="1" applyProtection="1">
      <alignment horizontal="center" vertical="center"/>
      <protection locked="0"/>
    </xf>
    <xf numFmtId="4" fontId="40" fillId="2" borderId="1" xfId="32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 applyProtection="1">
      <alignment horizontal="center" vertical="center" wrapText="1"/>
      <protection locked="0"/>
    </xf>
    <xf numFmtId="2" fontId="38" fillId="2" borderId="1" xfId="0" applyNumberFormat="1" applyFont="1" applyFill="1" applyBorder="1" applyAlignment="1" applyProtection="1">
      <alignment horizontal="center" vertical="center"/>
      <protection locked="0"/>
    </xf>
    <xf numFmtId="2" fontId="40" fillId="2" borderId="1" xfId="31" applyNumberFormat="1" applyFont="1" applyFill="1" applyBorder="1" applyAlignment="1">
      <alignment horizontal="center" vertical="center"/>
    </xf>
    <xf numFmtId="2" fontId="38" fillId="2" borderId="1" xfId="37" applyNumberFormat="1" applyFont="1" applyFill="1" applyBorder="1" applyAlignment="1">
      <alignment horizontal="center" vertical="center"/>
    </xf>
    <xf numFmtId="0" fontId="40" fillId="2" borderId="1" xfId="37" applyFont="1" applyFill="1" applyBorder="1" applyAlignment="1">
      <alignment horizontal="center" vertical="center"/>
    </xf>
    <xf numFmtId="2" fontId="40" fillId="2" borderId="1" xfId="37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/>
    </xf>
    <xf numFmtId="2" fontId="47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17" fillId="2" borderId="0" xfId="0" applyFont="1" applyFill="1"/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top" wrapText="1"/>
    </xf>
    <xf numFmtId="49" fontId="19" fillId="2" borderId="1" xfId="0" applyNumberFormat="1" applyFont="1" applyFill="1" applyBorder="1" applyAlignment="1">
      <alignment horizontal="center" vertical="top" wrapText="1"/>
    </xf>
    <xf numFmtId="1" fontId="19" fillId="2" borderId="1" xfId="0" quotePrefix="1" applyNumberFormat="1" applyFont="1" applyFill="1" applyBorder="1" applyAlignment="1">
      <alignment horizontal="center" vertical="top" wrapText="1"/>
    </xf>
    <xf numFmtId="0" fontId="19" fillId="2" borderId="1" xfId="0" quotePrefix="1" applyFont="1" applyFill="1" applyBorder="1" applyAlignment="1">
      <alignment horizontal="center" vertical="center" wrapText="1"/>
    </xf>
    <xf numFmtId="2" fontId="41" fillId="2" borderId="1" xfId="19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/>
    </xf>
    <xf numFmtId="2" fontId="38" fillId="2" borderId="1" xfId="0" applyNumberFormat="1" applyFont="1" applyFill="1" applyBorder="1" applyAlignment="1">
      <alignment horizontal="center" vertical="center"/>
    </xf>
    <xf numFmtId="2" fontId="38" fillId="2" borderId="1" xfId="0" applyNumberFormat="1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left" vertical="center" wrapText="1"/>
    </xf>
    <xf numFmtId="166" fontId="38" fillId="2" borderId="1" xfId="0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2" fontId="19" fillId="2" borderId="1" xfId="0" quotePrefix="1" applyNumberFormat="1" applyFont="1" applyFill="1" applyBorder="1" applyAlignment="1">
      <alignment horizontal="center" vertical="top" wrapText="1"/>
    </xf>
    <xf numFmtId="2" fontId="40" fillId="2" borderId="1" xfId="32" applyNumberFormat="1" applyFont="1" applyFill="1" applyBorder="1" applyAlignment="1">
      <alignment horizontal="center" vertical="center"/>
    </xf>
    <xf numFmtId="2" fontId="17" fillId="0" borderId="1" xfId="0" applyNumberFormat="1" applyFont="1" applyBorder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3" fontId="51" fillId="0" borderId="1" xfId="1" applyFont="1" applyFill="1" applyBorder="1" applyAlignment="1">
      <alignment horizontal="center" vertical="top"/>
    </xf>
    <xf numFmtId="2" fontId="17" fillId="0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55" fillId="0" borderId="1" xfId="40" quotePrefix="1" applyFont="1" applyBorder="1" applyAlignment="1">
      <alignment horizontal="right" vertical="center" wrapText="1"/>
    </xf>
    <xf numFmtId="167" fontId="55" fillId="0" borderId="1" xfId="9" quotePrefix="1" applyFont="1" applyFill="1" applyBorder="1" applyAlignment="1">
      <alignment horizontal="center" vertical="center" wrapText="1"/>
    </xf>
    <xf numFmtId="43" fontId="26" fillId="0" borderId="1" xfId="1" applyFont="1" applyFill="1" applyBorder="1" applyAlignment="1">
      <alignment horizontal="center" vertical="center"/>
    </xf>
    <xf numFmtId="0" fontId="36" fillId="0" borderId="1" xfId="41" applyFont="1" applyBorder="1" applyAlignment="1">
      <alignment horizontal="left" vertical="center" wrapText="1"/>
    </xf>
    <xf numFmtId="0" fontId="36" fillId="0" borderId="1" xfId="40" applyFont="1" applyBorder="1" applyAlignment="1">
      <alignment horizontal="center" vertical="center" wrapText="1"/>
    </xf>
    <xf numFmtId="0" fontId="56" fillId="0" borderId="1" xfId="40" quotePrefix="1" applyFont="1" applyBorder="1" applyAlignment="1">
      <alignment horizontal="right" vertical="center" wrapText="1"/>
    </xf>
    <xf numFmtId="167" fontId="56" fillId="0" borderId="1" xfId="9" quotePrefix="1" applyFont="1" applyFill="1" applyBorder="1" applyAlignment="1">
      <alignment horizontal="center" vertical="center" wrapText="1"/>
    </xf>
    <xf numFmtId="167" fontId="36" fillId="0" borderId="1" xfId="9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0" fontId="57" fillId="0" borderId="1" xfId="40" applyFont="1" applyBorder="1" applyAlignment="1">
      <alignment horizontal="center" vertical="center" wrapText="1"/>
    </xf>
    <xf numFmtId="0" fontId="36" fillId="0" borderId="1" xfId="41" applyFont="1" applyBorder="1" applyAlignment="1">
      <alignment vertical="top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41" applyFont="1" applyBorder="1" applyAlignment="1">
      <alignment horizontal="center" vertical="center" wrapText="1"/>
    </xf>
    <xf numFmtId="0" fontId="36" fillId="0" borderId="1" xfId="42" applyFont="1" applyBorder="1" applyAlignment="1">
      <alignment horizontal="right" vertical="top"/>
    </xf>
    <xf numFmtId="0" fontId="56" fillId="0" borderId="1" xfId="41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60" fillId="0" borderId="1" xfId="0" applyFont="1" applyBorder="1" applyAlignment="1">
      <alignment horizontal="right" vertical="center" wrapText="1"/>
    </xf>
    <xf numFmtId="167" fontId="60" fillId="0" borderId="1" xfId="9" applyFont="1" applyFill="1" applyBorder="1" applyAlignment="1">
      <alignment vertical="center" wrapText="1"/>
    </xf>
    <xf numFmtId="0" fontId="35" fillId="0" borderId="1" xfId="41" applyFont="1" applyBorder="1" applyAlignment="1">
      <alignment horizontal="center" vertical="center" wrapText="1"/>
    </xf>
    <xf numFmtId="0" fontId="61" fillId="2" borderId="1" xfId="37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1" fillId="0" borderId="1" xfId="15" applyFont="1" applyFill="1" applyBorder="1" applyAlignment="1">
      <alignment horizontal="center" vertical="center"/>
    </xf>
    <xf numFmtId="2" fontId="38" fillId="0" borderId="1" xfId="0" applyNumberFormat="1" applyFont="1" applyFill="1" applyBorder="1" applyAlignment="1">
      <alignment horizontal="center" vertical="center"/>
    </xf>
    <xf numFmtId="2" fontId="40" fillId="0" borderId="1" xfId="37" applyNumberFormat="1" applyFont="1" applyFill="1" applyBorder="1" applyAlignment="1">
      <alignment horizontal="center" vertical="center"/>
    </xf>
    <xf numFmtId="2" fontId="47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2" fontId="41" fillId="0" borderId="1" xfId="0" applyNumberFormat="1" applyFont="1" applyFill="1" applyBorder="1" applyAlignment="1">
      <alignment horizontal="center" vertical="center"/>
    </xf>
    <xf numFmtId="2" fontId="3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8" fillId="0" borderId="1" xfId="0" applyNumberFormat="1" applyFont="1" applyFill="1" applyBorder="1" applyAlignment="1" applyProtection="1">
      <alignment horizontal="center" vertical="center"/>
      <protection locked="0"/>
    </xf>
    <xf numFmtId="2" fontId="40" fillId="0" borderId="1" xfId="0" applyNumberFormat="1" applyFont="1" applyFill="1" applyBorder="1" applyAlignment="1">
      <alignment horizontal="center" vertical="center"/>
    </xf>
    <xf numFmtId="2" fontId="40" fillId="0" borderId="1" xfId="0" applyNumberFormat="1" applyFont="1" applyFill="1" applyBorder="1" applyAlignment="1">
      <alignment horizontal="center" vertical="center" wrapText="1"/>
    </xf>
    <xf numFmtId="2" fontId="4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40" applyFont="1" applyBorder="1" applyAlignment="1">
      <alignment vertical="center" wrapText="1"/>
    </xf>
    <xf numFmtId="0" fontId="38" fillId="2" borderId="1" xfId="37" applyFont="1" applyFill="1" applyBorder="1" applyAlignment="1">
      <alignment vertical="center" wrapText="1"/>
    </xf>
    <xf numFmtId="0" fontId="40" fillId="2" borderId="1" xfId="37" applyFont="1" applyFill="1" applyBorder="1" applyAlignment="1">
      <alignment vertical="center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2" fontId="40" fillId="0" borderId="1" xfId="0" applyNumberFormat="1" applyFont="1" applyBorder="1" applyAlignment="1">
      <alignment horizontal="center" vertical="center"/>
    </xf>
    <xf numFmtId="171" fontId="38" fillId="0" borderId="1" xfId="1" applyNumberFormat="1" applyFont="1" applyFill="1" applyBorder="1" applyAlignment="1">
      <alignment horizontal="center" vertical="center"/>
    </xf>
    <xf numFmtId="43" fontId="40" fillId="0" borderId="1" xfId="1" applyFont="1" applyFill="1" applyBorder="1" applyAlignment="1">
      <alignment horizontal="center" vertical="center"/>
    </xf>
    <xf numFmtId="0" fontId="40" fillId="0" borderId="1" xfId="43" applyFont="1" applyBorder="1" applyAlignment="1">
      <alignment vertical="center" wrapText="1"/>
    </xf>
    <xf numFmtId="0" fontId="40" fillId="0" borderId="1" xfId="43" applyFont="1" applyBorder="1" applyAlignment="1">
      <alignment horizontal="center" vertical="center" wrapText="1"/>
    </xf>
    <xf numFmtId="0" fontId="40" fillId="0" borderId="1" xfId="43" applyFont="1" applyBorder="1" applyAlignment="1">
      <alignment wrapText="1"/>
    </xf>
    <xf numFmtId="0" fontId="40" fillId="0" borderId="1" xfId="0" applyFont="1" applyBorder="1" applyAlignment="1">
      <alignment horizontal="center"/>
    </xf>
    <xf numFmtId="0" fontId="63" fillId="0" borderId="1" xfId="43" applyFont="1" applyBorder="1" applyAlignment="1">
      <alignment horizontal="left" vertical="center" wrapText="1"/>
    </xf>
    <xf numFmtId="0" fontId="63" fillId="0" borderId="1" xfId="43" applyFont="1" applyBorder="1" applyAlignment="1">
      <alignment horizontal="center" vertical="center" wrapText="1"/>
    </xf>
    <xf numFmtId="43" fontId="64" fillId="0" borderId="1" xfId="1" applyFont="1" applyFill="1" applyBorder="1" applyAlignment="1">
      <alignment horizontal="center" vertical="center"/>
    </xf>
    <xf numFmtId="165" fontId="36" fillId="0" borderId="1" xfId="0" applyNumberFormat="1" applyFont="1" applyBorder="1" applyAlignment="1">
      <alignment horizontal="right" vertical="center" wrapText="1"/>
    </xf>
    <xf numFmtId="166" fontId="36" fillId="0" borderId="1" xfId="0" applyNumberFormat="1" applyFont="1" applyBorder="1" applyAlignment="1">
      <alignment horizontal="right" vertical="center" wrapText="1"/>
    </xf>
    <xf numFmtId="167" fontId="56" fillId="0" borderId="1" xfId="9" applyFont="1" applyFill="1" applyBorder="1" applyAlignment="1">
      <alignment horizontal="center"/>
    </xf>
    <xf numFmtId="167" fontId="36" fillId="0" borderId="1" xfId="9" applyFont="1" applyFill="1" applyBorder="1" applyAlignment="1">
      <alignment horizontal="center"/>
    </xf>
    <xf numFmtId="167" fontId="25" fillId="0" borderId="1" xfId="9" applyFont="1" applyFill="1" applyBorder="1" applyAlignment="1">
      <alignment horizontal="center" vertical="center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>
      <alignment horizontal="right" vertical="center" wrapText="1"/>
    </xf>
    <xf numFmtId="167" fontId="36" fillId="0" borderId="1" xfId="9" applyFont="1" applyFill="1" applyBorder="1" applyAlignment="1">
      <alignment vertical="center" wrapText="1"/>
    </xf>
    <xf numFmtId="0" fontId="36" fillId="0" borderId="1" xfId="0" applyFont="1" applyBorder="1" applyAlignment="1">
      <alignment horizontal="right"/>
    </xf>
    <xf numFmtId="167" fontId="36" fillId="0" borderId="1" xfId="9" applyFont="1" applyFill="1" applyBorder="1"/>
    <xf numFmtId="172" fontId="0" fillId="0" borderId="0" xfId="0" applyNumberFormat="1"/>
    <xf numFmtId="0" fontId="20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2" fontId="35" fillId="0" borderId="1" xfId="0" applyNumberFormat="1" applyFont="1" applyBorder="1" applyAlignment="1">
      <alignment horizontal="center"/>
    </xf>
    <xf numFmtId="166" fontId="36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65" fillId="2" borderId="1" xfId="0" applyFont="1" applyFill="1" applyBorder="1" applyAlignment="1" applyProtection="1">
      <alignment horizontal="left" vertical="center" wrapText="1"/>
      <protection locked="0"/>
    </xf>
    <xf numFmtId="0" fontId="65" fillId="2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 shrinkToFit="1"/>
    </xf>
    <xf numFmtId="0" fontId="14" fillId="0" borderId="7" xfId="0" applyFont="1" applyBorder="1" applyAlignment="1">
      <alignment horizontal="center"/>
    </xf>
    <xf numFmtId="2" fontId="19" fillId="2" borderId="0" xfId="0" applyNumberFormat="1" applyFont="1" applyFill="1" applyAlignment="1">
      <alignment horizontal="center" vertical="center" wrapText="1"/>
    </xf>
    <xf numFmtId="1" fontId="19" fillId="2" borderId="0" xfId="0" quotePrefix="1" applyNumberFormat="1" applyFont="1" applyFill="1" applyAlignment="1">
      <alignment horizontal="center" vertical="top" wrapText="1"/>
    </xf>
    <xf numFmtId="16" fontId="19" fillId="0" borderId="1" xfId="0" quotePrefix="1" applyNumberFormat="1" applyFont="1" applyBorder="1" applyAlignment="1">
      <alignment horizontal="center" vertical="center" wrapText="1"/>
    </xf>
    <xf numFmtId="2" fontId="47" fillId="2" borderId="0" xfId="0" applyNumberFormat="1" applyFont="1" applyFill="1" applyAlignment="1">
      <alignment horizontal="center" vertical="center"/>
    </xf>
    <xf numFmtId="2" fontId="41" fillId="2" borderId="0" xfId="0" applyNumberFormat="1" applyFont="1" applyFill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42" fillId="0" borderId="1" xfId="5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66" fillId="0" borderId="1" xfId="15" applyFont="1" applyFill="1" applyBorder="1" applyAlignment="1">
      <alignment horizontal="left" vertical="center" wrapText="1"/>
    </xf>
    <xf numFmtId="0" fontId="66" fillId="0" borderId="1" xfId="15" applyFont="1" applyFill="1" applyBorder="1" applyAlignment="1">
      <alignment horizontal="center" vertical="center"/>
    </xf>
    <xf numFmtId="0" fontId="17" fillId="0" borderId="1" xfId="0" applyFont="1" applyFill="1" applyBorder="1"/>
    <xf numFmtId="2" fontId="66" fillId="0" borderId="1" xfId="15" applyNumberFormat="1" applyFont="1" applyFill="1" applyBorder="1" applyAlignment="1">
      <alignment horizontal="center" vertical="center"/>
    </xf>
    <xf numFmtId="0" fontId="66" fillId="0" borderId="1" xfId="15" applyFont="1" applyFill="1" applyBorder="1" applyAlignment="1">
      <alignment vertical="center" wrapText="1"/>
    </xf>
    <xf numFmtId="2" fontId="66" fillId="0" borderId="1" xfId="0" applyNumberFormat="1" applyFont="1" applyFill="1" applyBorder="1" applyAlignment="1" applyProtection="1">
      <alignment horizontal="center" vertical="center"/>
      <protection locked="0"/>
    </xf>
    <xf numFmtId="0" fontId="47" fillId="2" borderId="1" xfId="0" applyFont="1" applyFill="1" applyBorder="1" applyAlignment="1" applyProtection="1">
      <alignment horizontal="center" vertical="center" wrapText="1"/>
      <protection locked="0"/>
    </xf>
    <xf numFmtId="43" fontId="72" fillId="0" borderId="1" xfId="46" applyFont="1" applyFill="1" applyBorder="1" applyAlignment="1">
      <alignment wrapText="1"/>
    </xf>
    <xf numFmtId="0" fontId="24" fillId="0" borderId="0" xfId="0" applyFont="1" applyFill="1" applyAlignment="1">
      <alignment horizontal="center" vertical="center" wrapText="1" shrinkToFit="1"/>
    </xf>
    <xf numFmtId="0" fontId="17" fillId="0" borderId="0" xfId="0" applyFont="1" applyFill="1"/>
    <xf numFmtId="2" fontId="24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7" xfId="0" applyFont="1" applyFill="1" applyBorder="1"/>
    <xf numFmtId="2" fontId="14" fillId="0" borderId="7" xfId="0" applyNumberFormat="1" applyFont="1" applyFill="1" applyBorder="1"/>
    <xf numFmtId="0" fontId="24" fillId="0" borderId="7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/>
    </xf>
    <xf numFmtId="2" fontId="19" fillId="0" borderId="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19" fillId="0" borderId="1" xfId="0" quotePrefix="1" applyFont="1" applyFill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center" vertical="top" wrapText="1"/>
    </xf>
    <xf numFmtId="1" fontId="19" fillId="0" borderId="1" xfId="0" quotePrefix="1" applyNumberFormat="1" applyFont="1" applyFill="1" applyBorder="1" applyAlignment="1">
      <alignment horizontal="center" vertical="top" wrapText="1"/>
    </xf>
    <xf numFmtId="1" fontId="19" fillId="0" borderId="0" xfId="0" quotePrefix="1" applyNumberFormat="1" applyFont="1" applyFill="1" applyBorder="1" applyAlignment="1">
      <alignment horizontal="center" vertical="top" wrapText="1"/>
    </xf>
    <xf numFmtId="0" fontId="31" fillId="0" borderId="1" xfId="0" quotePrefix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center" wrapText="1"/>
    </xf>
    <xf numFmtId="2" fontId="19" fillId="0" borderId="1" xfId="0" quotePrefix="1" applyNumberFormat="1" applyFont="1" applyFill="1" applyBorder="1" applyAlignment="1">
      <alignment horizontal="center" vertical="top" wrapText="1"/>
    </xf>
    <xf numFmtId="0" fontId="40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56" fillId="0" borderId="1" xfId="0" applyFont="1" applyFill="1" applyBorder="1" applyAlignment="1">
      <alignment horizontal="center" vertical="center" wrapText="1"/>
    </xf>
    <xf numFmtId="43" fontId="4" fillId="0" borderId="1" xfId="46" applyFont="1" applyFill="1" applyBorder="1" applyAlignment="1">
      <alignment wrapText="1"/>
    </xf>
    <xf numFmtId="2" fontId="38" fillId="0" borderId="1" xfId="0" applyNumberFormat="1" applyFont="1" applyFill="1" applyBorder="1" applyAlignment="1">
      <alignment horizontal="center" vertical="center" wrapText="1"/>
    </xf>
    <xf numFmtId="2" fontId="40" fillId="0" borderId="1" xfId="19" applyNumberFormat="1" applyFont="1" applyFill="1" applyBorder="1" applyAlignment="1">
      <alignment horizontal="center" vertical="center"/>
    </xf>
    <xf numFmtId="2" fontId="41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 wrapText="1"/>
    </xf>
    <xf numFmtId="2" fontId="38" fillId="0" borderId="1" xfId="37" applyNumberFormat="1" applyFont="1" applyFill="1" applyBorder="1" applyAlignment="1">
      <alignment horizontal="center" vertical="center"/>
    </xf>
    <xf numFmtId="2" fontId="38" fillId="0" borderId="0" xfId="37" applyNumberFormat="1" applyFont="1" applyFill="1" applyBorder="1" applyAlignment="1">
      <alignment horizontal="center" vertical="center"/>
    </xf>
    <xf numFmtId="0" fontId="0" fillId="0" borderId="0" xfId="0" applyFill="1"/>
    <xf numFmtId="2" fontId="40" fillId="0" borderId="0" xfId="37" applyNumberFormat="1" applyFont="1" applyFill="1" applyBorder="1" applyAlignment="1">
      <alignment horizontal="center" vertical="center"/>
    </xf>
    <xf numFmtId="2" fontId="0" fillId="0" borderId="0" xfId="0" applyNumberFormat="1" applyFill="1"/>
    <xf numFmtId="2" fontId="17" fillId="0" borderId="1" xfId="0" applyNumberFormat="1" applyFont="1" applyFill="1" applyBorder="1"/>
    <xf numFmtId="0" fontId="56" fillId="0" borderId="1" xfId="0" applyFont="1" applyFill="1" applyBorder="1" applyAlignment="1">
      <alignment vertical="center" wrapText="1"/>
    </xf>
    <xf numFmtId="170" fontId="0" fillId="0" borderId="0" xfId="0" applyNumberFormat="1" applyFill="1"/>
    <xf numFmtId="172" fontId="0" fillId="0" borderId="0" xfId="0" applyNumberFormat="1" applyFill="1"/>
    <xf numFmtId="0" fontId="68" fillId="0" borderId="1" xfId="0" applyFont="1" applyFill="1" applyBorder="1" applyAlignment="1">
      <alignment vertical="center" wrapText="1"/>
    </xf>
    <xf numFmtId="2" fontId="17" fillId="0" borderId="0" xfId="0" applyNumberFormat="1" applyFont="1" applyFill="1"/>
    <xf numFmtId="0" fontId="71" fillId="0" borderId="1" xfId="44" applyFont="1" applyFill="1" applyBorder="1" applyAlignment="1">
      <alignment horizontal="left" vertical="center" wrapText="1"/>
    </xf>
    <xf numFmtId="2" fontId="40" fillId="0" borderId="1" xfId="1" applyNumberFormat="1" applyFont="1" applyFill="1" applyBorder="1" applyAlignment="1" applyProtection="1">
      <alignment horizontal="center" vertical="center"/>
      <protection locked="0"/>
    </xf>
    <xf numFmtId="0" fontId="71" fillId="0" borderId="1" xfId="45" applyFont="1" applyFill="1" applyBorder="1" applyAlignment="1">
      <alignment horizontal="left" vertical="center" wrapText="1"/>
    </xf>
    <xf numFmtId="2" fontId="41" fillId="0" borderId="1" xfId="19" applyNumberFormat="1" applyFont="1" applyFill="1" applyBorder="1" applyAlignment="1">
      <alignment horizontal="center" vertical="center"/>
    </xf>
    <xf numFmtId="4" fontId="40" fillId="0" borderId="1" xfId="32" applyNumberFormat="1" applyFont="1" applyFill="1" applyBorder="1" applyAlignment="1">
      <alignment horizontal="center" vertical="center"/>
    </xf>
    <xf numFmtId="2" fontId="40" fillId="0" borderId="1" xfId="32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 applyProtection="1">
      <alignment horizontal="left" vertical="center" wrapText="1"/>
      <protection locked="0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2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6" fillId="0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/>
    </xf>
    <xf numFmtId="0" fontId="41" fillId="0" borderId="1" xfId="0" applyFont="1" applyFill="1" applyBorder="1"/>
    <xf numFmtId="2" fontId="47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6" fillId="0" borderId="1" xfId="0" quotePrefix="1" applyFont="1" applyFill="1" applyBorder="1" applyAlignment="1">
      <alignment horizontal="left" vertical="center" wrapText="1"/>
    </xf>
    <xf numFmtId="9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11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42" fillId="0" borderId="1" xfId="5" applyFont="1" applyFill="1" applyBorder="1" applyAlignment="1">
      <alignment horizontal="left" vertical="center" wrapText="1"/>
    </xf>
    <xf numFmtId="9" fontId="43" fillId="0" borderId="1" xfId="29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9" fontId="44" fillId="0" borderId="1" xfId="4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9" fontId="9" fillId="0" borderId="1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69" fillId="0" borderId="1" xfId="44" applyFont="1" applyFill="1" applyBorder="1" applyAlignment="1">
      <alignment horizontal="center" vertical="center" wrapText="1"/>
    </xf>
    <xf numFmtId="166" fontId="40" fillId="2" borderId="1" xfId="0" applyNumberFormat="1" applyFont="1" applyFill="1" applyBorder="1" applyAlignment="1">
      <alignment horizontal="center" vertical="center"/>
    </xf>
    <xf numFmtId="0" fontId="65" fillId="2" borderId="1" xfId="37" applyFont="1" applyFill="1" applyBorder="1" applyAlignment="1">
      <alignment vertical="center"/>
    </xf>
    <xf numFmtId="0" fontId="65" fillId="2" borderId="1" xfId="37" applyFont="1" applyFill="1" applyBorder="1" applyAlignment="1">
      <alignment vertical="center" wrapText="1"/>
    </xf>
    <xf numFmtId="0" fontId="36" fillId="2" borderId="1" xfId="0" applyFont="1" applyFill="1" applyBorder="1" applyAlignment="1" applyProtection="1">
      <alignment horizontal="left" vertical="center" wrapText="1"/>
      <protection locked="0"/>
    </xf>
    <xf numFmtId="2" fontId="36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0" borderId="0" xfId="29" applyFont="1"/>
    <xf numFmtId="0" fontId="41" fillId="2" borderId="1" xfId="0" applyFont="1" applyFill="1" applyBorder="1" applyAlignment="1">
      <alignment vertical="center" wrapText="1"/>
    </xf>
    <xf numFmtId="0" fontId="40" fillId="2" borderId="1" xfId="0" applyFont="1" applyFill="1" applyBorder="1" applyAlignment="1" applyProtection="1">
      <alignment vertical="center" wrapText="1"/>
      <protection locked="0"/>
    </xf>
    <xf numFmtId="0" fontId="41" fillId="2" borderId="1" xfId="0" applyFont="1" applyFill="1" applyBorder="1" applyAlignment="1" applyProtection="1">
      <alignment vertical="center" wrapText="1"/>
      <protection locked="0"/>
    </xf>
    <xf numFmtId="0" fontId="73" fillId="0" borderId="1" xfId="0" applyFont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2" fontId="20" fillId="0" borderId="0" xfId="0" applyNumberFormat="1" applyFont="1" applyFill="1" applyAlignment="1">
      <alignment horizontal="left" vertical="center"/>
    </xf>
    <xf numFmtId="2" fontId="20" fillId="0" borderId="0" xfId="0" applyNumberFormat="1" applyFont="1" applyFill="1" applyAlignment="1">
      <alignment vertical="center"/>
    </xf>
    <xf numFmtId="4" fontId="23" fillId="0" borderId="0" xfId="0" applyNumberFormat="1" applyFont="1" applyFill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2" fontId="20" fillId="0" borderId="7" xfId="0" applyNumberFormat="1" applyFont="1" applyFill="1" applyBorder="1" applyAlignment="1">
      <alignment horizontal="center" vertical="center"/>
    </xf>
    <xf numFmtId="4" fontId="21" fillId="0" borderId="7" xfId="0" applyNumberFormat="1" applyFont="1" applyFill="1" applyBorder="1" applyAlignment="1">
      <alignment horizontal="center" vertical="center"/>
    </xf>
    <xf numFmtId="0" fontId="19" fillId="0" borderId="1" xfId="0" quotePrefix="1" applyFont="1" applyFill="1" applyBorder="1" applyAlignment="1">
      <alignment horizontal="center" vertical="center" wrapText="1"/>
    </xf>
    <xf numFmtId="1" fontId="19" fillId="0" borderId="1" xfId="0" quotePrefix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2" fontId="31" fillId="0" borderId="8" xfId="1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9" fillId="0" borderId="1" xfId="15" applyFont="1" applyFill="1" applyBorder="1" applyAlignment="1">
      <alignment horizontal="center" vertical="center"/>
    </xf>
    <xf numFmtId="2" fontId="11" fillId="0" borderId="1" xfId="15" applyNumberFormat="1" applyFont="1" applyFill="1" applyBorder="1" applyAlignment="1">
      <alignment horizontal="center" vertical="center"/>
    </xf>
    <xf numFmtId="43" fontId="0" fillId="0" borderId="0" xfId="0" applyNumberFormat="1" applyFill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165" fontId="17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164" fontId="19" fillId="0" borderId="1" xfId="15" applyNumberFormat="1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50" fillId="0" borderId="1" xfId="0" applyFont="1" applyFill="1" applyBorder="1" applyAlignment="1">
      <alignment horizontal="center" vertical="center"/>
    </xf>
    <xf numFmtId="165" fontId="5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2" fillId="0" borderId="1" xfId="3" applyFont="1" applyFill="1" applyBorder="1" applyAlignment="1">
      <alignment horizontal="left" vertical="center" wrapText="1"/>
    </xf>
    <xf numFmtId="169" fontId="1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0" borderId="0" xfId="0" applyFont="1"/>
    <xf numFmtId="0" fontId="74" fillId="0" borderId="0" xfId="0" applyFont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center" vertical="center"/>
    </xf>
    <xf numFmtId="2" fontId="76" fillId="0" borderId="0" xfId="0" applyNumberFormat="1" applyFont="1" applyAlignment="1">
      <alignment vertical="center" wrapText="1"/>
    </xf>
    <xf numFmtId="43" fontId="76" fillId="0" borderId="0" xfId="1" applyFont="1" applyBorder="1" applyAlignment="1">
      <alignment vertical="center"/>
    </xf>
    <xf numFmtId="2" fontId="68" fillId="0" borderId="0" xfId="0" applyNumberFormat="1" applyFont="1" applyAlignment="1">
      <alignment horizontal="center" vertical="center"/>
    </xf>
    <xf numFmtId="4" fontId="68" fillId="0" borderId="0" xfId="0" applyNumberFormat="1" applyFont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7" fillId="0" borderId="1" xfId="0" applyFont="1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/>
    </xf>
    <xf numFmtId="43" fontId="68" fillId="0" borderId="1" xfId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 wrapText="1"/>
    </xf>
    <xf numFmtId="0" fontId="76" fillId="0" borderId="4" xfId="0" applyFont="1" applyBorder="1" applyAlignment="1">
      <alignment horizontal="center" vertical="center"/>
    </xf>
    <xf numFmtId="43" fontId="76" fillId="0" borderId="1" xfId="1" applyFont="1" applyBorder="1" applyAlignment="1">
      <alignment horizontal="center" vertical="center"/>
    </xf>
    <xf numFmtId="170" fontId="0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8" fillId="0" borderId="6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 shrinkToFit="1"/>
    </xf>
    <xf numFmtId="0" fontId="24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8" fillId="0" borderId="0" xfId="7" applyFont="1" applyFill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/>
    </xf>
    <xf numFmtId="0" fontId="11" fillId="0" borderId="0" xfId="7" applyFont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 shrinkToFit="1"/>
    </xf>
    <xf numFmtId="0" fontId="11" fillId="0" borderId="0" xfId="7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/>
    </xf>
    <xf numFmtId="0" fontId="40" fillId="0" borderId="1" xfId="0" applyFont="1" applyFill="1" applyBorder="1" applyAlignment="1" applyProtection="1">
      <alignment horizontal="left" vertical="center" wrapText="1"/>
      <protection locked="0"/>
    </xf>
    <xf numFmtId="0" fontId="40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0" borderId="0" xfId="29" applyFont="1" applyFill="1"/>
    <xf numFmtId="0" fontId="47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 wrapText="1"/>
    </xf>
    <xf numFmtId="0" fontId="40" fillId="0" borderId="1" xfId="37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right" vertical="center" wrapText="1"/>
    </xf>
    <xf numFmtId="0" fontId="36" fillId="0" borderId="1" xfId="41" applyFont="1" applyFill="1" applyBorder="1" applyAlignment="1">
      <alignment horizontal="left" vertical="center" wrapText="1"/>
    </xf>
    <xf numFmtId="0" fontId="56" fillId="0" borderId="1" xfId="41" applyFont="1" applyFill="1" applyBorder="1" applyAlignment="1">
      <alignment vertical="center" wrapText="1"/>
    </xf>
    <xf numFmtId="0" fontId="36" fillId="0" borderId="1" xfId="41" applyFont="1" applyFill="1" applyBorder="1" applyAlignment="1">
      <alignment horizontal="center" vertical="center" wrapText="1"/>
    </xf>
    <xf numFmtId="0" fontId="36" fillId="0" borderId="1" xfId="4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left" vertical="center" wrapText="1"/>
    </xf>
    <xf numFmtId="2" fontId="35" fillId="0" borderId="1" xfId="0" applyNumberFormat="1" applyFont="1" applyFill="1" applyBorder="1" applyAlignment="1">
      <alignment horizontal="center"/>
    </xf>
    <xf numFmtId="165" fontId="36" fillId="0" borderId="1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>
      <alignment horizontal="center" vertical="center" wrapText="1"/>
    </xf>
    <xf numFmtId="166" fontId="36" fillId="0" borderId="1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right" vertical="center" wrapText="1"/>
    </xf>
    <xf numFmtId="0" fontId="36" fillId="0" borderId="1" xfId="0" applyFont="1" applyFill="1" applyBorder="1" applyAlignment="1">
      <alignment horizontal="right"/>
    </xf>
    <xf numFmtId="0" fontId="38" fillId="0" borderId="1" xfId="37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</cellXfs>
  <cellStyles count="47">
    <cellStyle name="Comma" xfId="1" builtinId="3"/>
    <cellStyle name="Comma 10" xfId="16" xr:uid="{00000000-0005-0000-0000-000001000000}"/>
    <cellStyle name="Comma 12 2" xfId="46" xr:uid="{00000000-0005-0000-0000-000002000000}"/>
    <cellStyle name="Comma 17" xfId="23" xr:uid="{00000000-0005-0000-0000-000003000000}"/>
    <cellStyle name="Comma 2" xfId="9" xr:uid="{00000000-0005-0000-0000-000004000000}"/>
    <cellStyle name="Comma 2 2" xfId="19" xr:uid="{00000000-0005-0000-0000-000005000000}"/>
    <cellStyle name="Comma 3" xfId="10" xr:uid="{00000000-0005-0000-0000-000006000000}"/>
    <cellStyle name="Comma 4" xfId="11" xr:uid="{00000000-0005-0000-0000-000007000000}"/>
    <cellStyle name="Comma 5" xfId="18" xr:uid="{00000000-0005-0000-0000-000008000000}"/>
    <cellStyle name="Normal" xfId="0" builtinId="0"/>
    <cellStyle name="Normal 10" xfId="5" xr:uid="{00000000-0005-0000-0000-00000A000000}"/>
    <cellStyle name="Normal 11 2" xfId="17" xr:uid="{00000000-0005-0000-0000-00000B000000}"/>
    <cellStyle name="Normal 14 3" xfId="6" xr:uid="{00000000-0005-0000-0000-00000C000000}"/>
    <cellStyle name="Normal 2" xfId="7" xr:uid="{00000000-0005-0000-0000-00000D000000}"/>
    <cellStyle name="Normal 2 10" xfId="21" xr:uid="{00000000-0005-0000-0000-00000E000000}"/>
    <cellStyle name="Normal 2 11" xfId="13" xr:uid="{00000000-0005-0000-0000-00000F000000}"/>
    <cellStyle name="Normal 2 2 2" xfId="14" xr:uid="{00000000-0005-0000-0000-000010000000}"/>
    <cellStyle name="Normal 2 2 2 2" xfId="43" xr:uid="{00000000-0005-0000-0000-000011000000}"/>
    <cellStyle name="Normal 2 2 2 2 2" xfId="41" xr:uid="{00000000-0005-0000-0000-000012000000}"/>
    <cellStyle name="Normal 2 2 4" xfId="26" xr:uid="{00000000-0005-0000-0000-000013000000}"/>
    <cellStyle name="Normal 2 4" xfId="28" xr:uid="{00000000-0005-0000-0000-000014000000}"/>
    <cellStyle name="Normal 2 9" xfId="15" xr:uid="{00000000-0005-0000-0000-000015000000}"/>
    <cellStyle name="Normal 3" xfId="3" xr:uid="{00000000-0005-0000-0000-000016000000}"/>
    <cellStyle name="Normal 3 3" xfId="30" xr:uid="{00000000-0005-0000-0000-000017000000}"/>
    <cellStyle name="Normal 4" xfId="20" xr:uid="{00000000-0005-0000-0000-000018000000}"/>
    <cellStyle name="Normal 4 2" xfId="33" xr:uid="{00000000-0005-0000-0000-000019000000}"/>
    <cellStyle name="Normal 42" xfId="12" xr:uid="{00000000-0005-0000-0000-00001A000000}"/>
    <cellStyle name="Normal 48" xfId="44" xr:uid="{00000000-0005-0000-0000-00001B000000}"/>
    <cellStyle name="Normal 49" xfId="45" xr:uid="{00000000-0005-0000-0000-00001C000000}"/>
    <cellStyle name="Normal 5" xfId="25" xr:uid="{00000000-0005-0000-0000-00001D000000}"/>
    <cellStyle name="Normal 5 2" xfId="42" xr:uid="{00000000-0005-0000-0000-00001E000000}"/>
    <cellStyle name="Normal 5 2 2" xfId="27" xr:uid="{00000000-0005-0000-0000-00001F000000}"/>
    <cellStyle name="Normal 6" xfId="34" xr:uid="{00000000-0005-0000-0000-000020000000}"/>
    <cellStyle name="Normal 6 2" xfId="35" xr:uid="{00000000-0005-0000-0000-000021000000}"/>
    <cellStyle name="Normal 7" xfId="36" xr:uid="{00000000-0005-0000-0000-000022000000}"/>
    <cellStyle name="Normal_dasakorektirebeli xarjTaRricxva auziT 2" xfId="37" xr:uid="{00000000-0005-0000-0000-000023000000}"/>
    <cellStyle name="Normal_gare wyalsadfenigagarini 2 2" xfId="31" xr:uid="{00000000-0005-0000-0000-000024000000}"/>
    <cellStyle name="Normal_stadion-1" xfId="40" xr:uid="{00000000-0005-0000-0000-000025000000}"/>
    <cellStyle name="Percent" xfId="29" builtinId="5"/>
    <cellStyle name="Percent 2" xfId="8" xr:uid="{00000000-0005-0000-0000-000027000000}"/>
    <cellStyle name="Percent 3" xfId="4" xr:uid="{00000000-0005-0000-0000-000028000000}"/>
    <cellStyle name="silfain" xfId="2" xr:uid="{00000000-0005-0000-0000-000029000000}"/>
    <cellStyle name="Обычный 2 2" xfId="39" xr:uid="{00000000-0005-0000-0000-00002A000000}"/>
    <cellStyle name="Обычный 3" xfId="32" xr:uid="{00000000-0005-0000-0000-00002B000000}"/>
    <cellStyle name="Обычный 8" xfId="38" xr:uid="{00000000-0005-0000-0000-00002C000000}"/>
    <cellStyle name="Обычный_Лист1" xfId="22" xr:uid="{00000000-0005-0000-0000-00002D000000}"/>
    <cellStyle name="Финансовый 2" xfId="24" xr:uid="{00000000-0005-0000-0000-00002E000000}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V147"/>
  <sheetViews>
    <sheetView tabSelected="1" topLeftCell="A4" workbookViewId="0">
      <selection activeCell="E21" sqref="E21"/>
    </sheetView>
  </sheetViews>
  <sheetFormatPr defaultRowHeight="15"/>
  <sheetData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9.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</row>
    <row r="7" spans="1:22" ht="120" customHeight="1">
      <c r="A7" s="325" t="s">
        <v>87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1"/>
      <c r="S7" s="1"/>
      <c r="T7" s="1"/>
      <c r="U7" s="1"/>
      <c r="V7" s="1"/>
    </row>
    <row r="8" spans="1:22" ht="27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"/>
      <c r="S8" s="1"/>
      <c r="T8" s="1"/>
      <c r="U8" s="1"/>
      <c r="V8" s="1"/>
    </row>
    <row r="9" spans="1:22" ht="27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"/>
      <c r="S9" s="1"/>
      <c r="T9" s="1"/>
      <c r="U9" s="1"/>
      <c r="V9" s="1"/>
    </row>
    <row r="10" spans="1:22" ht="27">
      <c r="A10" s="326" t="s">
        <v>229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1"/>
      <c r="S10" s="1"/>
      <c r="T10" s="1"/>
      <c r="U10" s="1"/>
      <c r="V10" s="1"/>
    </row>
    <row r="11" spans="1:22" ht="27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"/>
      <c r="S11" s="1"/>
      <c r="T11" s="1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 t="s">
        <v>0</v>
      </c>
      <c r="V19" s="1"/>
    </row>
    <row r="20" spans="1:2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>
      <c r="A24" s="327" t="s">
        <v>357</v>
      </c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1"/>
      <c r="S24" s="1"/>
      <c r="T24" s="1"/>
      <c r="U24" s="1"/>
      <c r="V24" s="1"/>
    </row>
    <row r="25" spans="1:22">
      <c r="A25" s="1" t="s">
        <v>37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</sheetData>
  <mergeCells count="3">
    <mergeCell ref="A7:Q7"/>
    <mergeCell ref="A10:Q10"/>
    <mergeCell ref="A24:Q24"/>
  </mergeCells>
  <pageMargins left="0.7" right="0.7" top="0.75" bottom="0.75" header="0.3" footer="0.3"/>
  <pageSetup paperSize="9" scale="79" fitToHeight="0" orientation="landscape" r:id="rId1"/>
  <colBreaks count="1" manualBreakCount="1">
    <brk id="18" min="3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"/>
  <sheetViews>
    <sheetView zoomScale="90" zoomScaleNormal="90" workbookViewId="0">
      <selection activeCell="E23" sqref="E23"/>
    </sheetView>
  </sheetViews>
  <sheetFormatPr defaultRowHeight="15"/>
  <cols>
    <col min="1" max="2" width="9.140625" style="305"/>
    <col min="3" max="3" width="54.42578125" style="305" customWidth="1"/>
    <col min="4" max="4" width="9.140625" style="305"/>
    <col min="5" max="5" width="23.7109375" style="305" customWidth="1"/>
    <col min="6" max="6" width="18.5703125" style="305" customWidth="1"/>
    <col min="7" max="7" width="19" style="305" customWidth="1"/>
    <col min="8" max="8" width="20.140625" style="305" customWidth="1"/>
    <col min="9" max="9" width="22" style="305" customWidth="1"/>
    <col min="10" max="16384" width="9.140625" style="305"/>
  </cols>
  <sheetData>
    <row r="1" spans="1:9" ht="18.75">
      <c r="A1" s="328"/>
      <c r="B1" s="328"/>
      <c r="C1" s="328"/>
      <c r="D1" s="328"/>
      <c r="E1" s="328"/>
      <c r="F1" s="328"/>
      <c r="G1" s="328"/>
      <c r="H1" s="328"/>
      <c r="I1" s="328"/>
    </row>
    <row r="2" spans="1:9" ht="18.75">
      <c r="A2" s="328" t="s">
        <v>25</v>
      </c>
      <c r="B2" s="328"/>
      <c r="C2" s="328"/>
      <c r="D2" s="328"/>
      <c r="E2" s="328"/>
      <c r="F2" s="328"/>
      <c r="G2" s="328"/>
      <c r="H2" s="328"/>
      <c r="I2" s="328"/>
    </row>
    <row r="3" spans="1:9" ht="18.75">
      <c r="A3" s="306"/>
      <c r="B3" s="306"/>
      <c r="C3" s="306"/>
      <c r="D3" s="306"/>
      <c r="E3" s="306"/>
      <c r="F3" s="306"/>
      <c r="G3" s="306"/>
      <c r="H3" s="306"/>
      <c r="I3" s="306"/>
    </row>
    <row r="4" spans="1:9" ht="18.75" customHeight="1">
      <c r="A4" s="307"/>
      <c r="B4" s="308"/>
      <c r="C4" s="308"/>
      <c r="D4" s="309"/>
      <c r="E4" s="309"/>
      <c r="F4" s="309"/>
      <c r="G4" s="310"/>
      <c r="H4" s="310"/>
      <c r="I4" s="311"/>
    </row>
    <row r="5" spans="1:9" ht="24" customHeight="1">
      <c r="A5" s="307"/>
      <c r="B5" s="307"/>
      <c r="C5" s="309"/>
      <c r="D5" s="309"/>
      <c r="E5" s="309"/>
      <c r="F5" s="309"/>
      <c r="G5" s="312"/>
      <c r="H5" s="312"/>
      <c r="I5" s="313"/>
    </row>
    <row r="6" spans="1:9">
      <c r="A6" s="329" t="s">
        <v>23</v>
      </c>
      <c r="B6" s="329" t="s">
        <v>22</v>
      </c>
      <c r="C6" s="329" t="s">
        <v>21</v>
      </c>
      <c r="D6" s="329" t="s">
        <v>20</v>
      </c>
      <c r="E6" s="332" t="s">
        <v>19</v>
      </c>
      <c r="F6" s="332"/>
      <c r="G6" s="332"/>
      <c r="H6" s="332"/>
      <c r="I6" s="332"/>
    </row>
    <row r="7" spans="1:9">
      <c r="A7" s="330"/>
      <c r="B7" s="330"/>
      <c r="C7" s="330"/>
      <c r="D7" s="330"/>
      <c r="E7" s="333" t="s">
        <v>18</v>
      </c>
      <c r="F7" s="333" t="s">
        <v>17</v>
      </c>
      <c r="G7" s="333" t="s">
        <v>16</v>
      </c>
      <c r="H7" s="333" t="s">
        <v>15</v>
      </c>
      <c r="I7" s="333" t="s">
        <v>14</v>
      </c>
    </row>
    <row r="8" spans="1:9" ht="47.25" customHeight="1">
      <c r="A8" s="331"/>
      <c r="B8" s="331"/>
      <c r="C8" s="331"/>
      <c r="D8" s="331"/>
      <c r="E8" s="333"/>
      <c r="F8" s="333"/>
      <c r="G8" s="333"/>
      <c r="H8" s="333"/>
      <c r="I8" s="333"/>
    </row>
    <row r="9" spans="1:9">
      <c r="A9" s="314">
        <v>1</v>
      </c>
      <c r="B9" s="314">
        <v>2</v>
      </c>
      <c r="C9" s="314">
        <v>3</v>
      </c>
      <c r="D9" s="315">
        <v>4</v>
      </c>
      <c r="E9" s="314">
        <v>5</v>
      </c>
      <c r="F9" s="314">
        <v>6</v>
      </c>
      <c r="G9" s="314">
        <v>7</v>
      </c>
      <c r="H9" s="314">
        <v>8</v>
      </c>
      <c r="I9" s="314">
        <v>9</v>
      </c>
    </row>
    <row r="10" spans="1:9" ht="15.75">
      <c r="A10" s="316"/>
      <c r="B10" s="316" t="s">
        <v>13</v>
      </c>
      <c r="C10" s="317" t="s">
        <v>347</v>
      </c>
      <c r="D10" s="316"/>
      <c r="E10" s="318">
        <f>კონსტრუქცია!L124</f>
        <v>0</v>
      </c>
      <c r="F10" s="319"/>
      <c r="G10" s="319"/>
      <c r="H10" s="319"/>
      <c r="I10" s="318">
        <f t="shared" ref="I10:I13" si="0">E10</f>
        <v>0</v>
      </c>
    </row>
    <row r="11" spans="1:9" ht="15.75">
      <c r="A11" s="316"/>
      <c r="B11" s="316" t="s">
        <v>70</v>
      </c>
      <c r="C11" s="317" t="s">
        <v>348</v>
      </c>
      <c r="D11" s="320"/>
      <c r="E11" s="318">
        <f>'სამშენებლო მოსაპირკეთებელი სამუ'!L162</f>
        <v>0</v>
      </c>
      <c r="F11" s="319"/>
      <c r="G11" s="319"/>
      <c r="H11" s="319"/>
      <c r="I11" s="318">
        <f t="shared" si="0"/>
        <v>0</v>
      </c>
    </row>
    <row r="12" spans="1:9" ht="15.75">
      <c r="A12" s="316"/>
      <c r="B12" s="316" t="s">
        <v>221</v>
      </c>
      <c r="C12" s="317" t="s">
        <v>222</v>
      </c>
      <c r="D12" s="320"/>
      <c r="E12" s="318">
        <f>გზა!L30</f>
        <v>0</v>
      </c>
      <c r="F12" s="319"/>
      <c r="G12" s="319"/>
      <c r="H12" s="319"/>
      <c r="I12" s="318">
        <f t="shared" ref="I12" si="1">E12</f>
        <v>0</v>
      </c>
    </row>
    <row r="13" spans="1:9" ht="15.75">
      <c r="A13" s="316"/>
      <c r="B13" s="316" t="s">
        <v>346</v>
      </c>
      <c r="C13" s="317" t="s">
        <v>230</v>
      </c>
      <c r="D13" s="320"/>
      <c r="E13" s="318">
        <f>'ელ. სამუშაოები'!L132</f>
        <v>0</v>
      </c>
      <c r="F13" s="319"/>
      <c r="G13" s="319"/>
      <c r="H13" s="319"/>
      <c r="I13" s="318">
        <f t="shared" si="0"/>
        <v>0</v>
      </c>
    </row>
    <row r="14" spans="1:9" ht="15.75">
      <c r="A14" s="316"/>
      <c r="B14" s="316"/>
      <c r="C14" s="321" t="s">
        <v>38</v>
      </c>
      <c r="D14" s="322"/>
      <c r="E14" s="323">
        <f>SUM(E10:E13)</f>
        <v>0</v>
      </c>
      <c r="F14" s="323"/>
      <c r="G14" s="323"/>
      <c r="H14" s="323"/>
      <c r="I14" s="323">
        <f>E14</f>
        <v>0</v>
      </c>
    </row>
    <row r="18" spans="5:6">
      <c r="E18" s="324"/>
      <c r="F18" s="324"/>
    </row>
    <row r="19" spans="5:6">
      <c r="E19" s="324"/>
    </row>
    <row r="20" spans="5:6">
      <c r="F20" s="324"/>
    </row>
    <row r="21" spans="5:6">
      <c r="E21" s="324"/>
      <c r="F21" s="324"/>
    </row>
    <row r="22" spans="5:6">
      <c r="E22" s="324"/>
      <c r="F22" s="324"/>
    </row>
    <row r="23" spans="5:6">
      <c r="E23" s="324"/>
    </row>
    <row r="25" spans="5:6">
      <c r="E25" s="324"/>
    </row>
  </sheetData>
  <mergeCells count="12">
    <mergeCell ref="A1:I1"/>
    <mergeCell ref="A2:I2"/>
    <mergeCell ref="A6:A8"/>
    <mergeCell ref="B6:B8"/>
    <mergeCell ref="C6:C8"/>
    <mergeCell ref="D6:D8"/>
    <mergeCell ref="E6:I6"/>
    <mergeCell ref="E7:E8"/>
    <mergeCell ref="F7:F8"/>
    <mergeCell ref="G7:G8"/>
    <mergeCell ref="H7:H8"/>
    <mergeCell ref="I7:I8"/>
  </mergeCells>
  <phoneticPr fontId="45" type="noConversion"/>
  <pageMargins left="0.7" right="0.7" top="0.75" bottom="0.75" header="0.3" footer="0.3"/>
  <pageSetup paperSize="9" scale="70" fitToHeight="0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29"/>
  <sheetViews>
    <sheetView topLeftCell="A101" zoomScale="80" zoomScaleNormal="80" workbookViewId="0">
      <selection activeCell="G131" sqref="G131"/>
    </sheetView>
  </sheetViews>
  <sheetFormatPr defaultRowHeight="15"/>
  <cols>
    <col min="1" max="1" width="6.140625" style="220" customWidth="1"/>
    <col min="2" max="2" width="56" style="220" customWidth="1"/>
    <col min="3" max="3" width="12" style="220" customWidth="1"/>
    <col min="4" max="4" width="9.140625" style="220"/>
    <col min="5" max="5" width="13.140625" style="303" bestFit="1" customWidth="1"/>
    <col min="6" max="6" width="10.7109375" style="220" customWidth="1"/>
    <col min="7" max="7" width="16.42578125" style="220" bestFit="1" customWidth="1"/>
    <col min="8" max="8" width="10.5703125" style="220" customWidth="1"/>
    <col min="9" max="9" width="16.42578125" style="220" bestFit="1" customWidth="1"/>
    <col min="10" max="10" width="10.85546875" style="220" customWidth="1"/>
    <col min="11" max="11" width="15.140625" style="220" bestFit="1" customWidth="1"/>
    <col min="12" max="12" width="16.28515625" style="220" customWidth="1"/>
    <col min="13" max="13" width="0" style="220" hidden="1" customWidth="1"/>
    <col min="14" max="14" width="15" style="220" hidden="1" customWidth="1"/>
    <col min="15" max="30" width="0" style="220" hidden="1" customWidth="1"/>
    <col min="31" max="16384" width="9.140625" style="220"/>
  </cols>
  <sheetData>
    <row r="1" spans="1:14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4" ht="18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14" ht="19.5">
      <c r="A3" s="336" t="s">
        <v>36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</row>
    <row r="4" spans="1:14" ht="19.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4" ht="19.5">
      <c r="A5" s="38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8"/>
    </row>
    <row r="6" spans="1:14">
      <c r="A6" s="337" t="s">
        <v>0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</row>
    <row r="7" spans="1:14" ht="20.25" customHeight="1">
      <c r="A7" s="273" t="s">
        <v>24</v>
      </c>
      <c r="B7" s="338"/>
      <c r="C7" s="338"/>
      <c r="D7" s="338"/>
      <c r="E7" s="273"/>
      <c r="F7" s="274"/>
      <c r="G7" s="275"/>
      <c r="H7" s="274"/>
      <c r="I7" s="274"/>
      <c r="J7" s="276"/>
      <c r="K7" s="6"/>
      <c r="L7" s="273"/>
    </row>
    <row r="8" spans="1:14">
      <c r="A8" s="273"/>
      <c r="B8" s="273"/>
      <c r="C8" s="277"/>
      <c r="D8" s="277"/>
      <c r="E8" s="277"/>
      <c r="F8" s="277"/>
      <c r="G8" s="278"/>
      <c r="H8" s="278"/>
      <c r="I8" s="278"/>
      <c r="J8" s="279"/>
      <c r="K8" s="279"/>
      <c r="L8" s="273"/>
    </row>
    <row r="9" spans="1:14" ht="18" customHeight="1">
      <c r="A9" s="334" t="s">
        <v>35</v>
      </c>
      <c r="B9" s="334" t="s">
        <v>34</v>
      </c>
      <c r="C9" s="334" t="s">
        <v>33</v>
      </c>
      <c r="D9" s="334" t="s">
        <v>2</v>
      </c>
      <c r="E9" s="334"/>
      <c r="F9" s="339" t="s">
        <v>32</v>
      </c>
      <c r="G9" s="339"/>
      <c r="H9" s="334" t="s">
        <v>31</v>
      </c>
      <c r="I9" s="334"/>
      <c r="J9" s="334" t="s">
        <v>30</v>
      </c>
      <c r="K9" s="334"/>
      <c r="L9" s="339" t="s">
        <v>8</v>
      </c>
    </row>
    <row r="10" spans="1:14" ht="36">
      <c r="A10" s="334"/>
      <c r="B10" s="334"/>
      <c r="C10" s="334"/>
      <c r="D10" s="200" t="s">
        <v>29</v>
      </c>
      <c r="E10" s="200" t="s">
        <v>3</v>
      </c>
      <c r="F10" s="201" t="s">
        <v>28</v>
      </c>
      <c r="G10" s="202" t="s">
        <v>3</v>
      </c>
      <c r="H10" s="200" t="s">
        <v>28</v>
      </c>
      <c r="I10" s="202" t="s">
        <v>3</v>
      </c>
      <c r="J10" s="200" t="s">
        <v>27</v>
      </c>
      <c r="K10" s="202" t="s">
        <v>3</v>
      </c>
      <c r="L10" s="339"/>
    </row>
    <row r="11" spans="1:14" ht="18">
      <c r="A11" s="280">
        <v>1</v>
      </c>
      <c r="B11" s="280">
        <v>3</v>
      </c>
      <c r="C11" s="280">
        <v>4</v>
      </c>
      <c r="D11" s="280">
        <v>5</v>
      </c>
      <c r="E11" s="280">
        <v>6</v>
      </c>
      <c r="F11" s="201" t="s">
        <v>26</v>
      </c>
      <c r="G11" s="281">
        <v>8</v>
      </c>
      <c r="H11" s="280">
        <v>9</v>
      </c>
      <c r="I11" s="281">
        <v>10</v>
      </c>
      <c r="J11" s="280">
        <v>11</v>
      </c>
      <c r="K11" s="281">
        <v>12</v>
      </c>
      <c r="L11" s="281">
        <v>13</v>
      </c>
    </row>
    <row r="12" spans="1:14" ht="45">
      <c r="A12" s="253"/>
      <c r="B12" s="282" t="s">
        <v>72</v>
      </c>
      <c r="C12" s="235" t="s">
        <v>73</v>
      </c>
      <c r="D12" s="253"/>
      <c r="E12" s="250">
        <v>550</v>
      </c>
      <c r="F12" s="253"/>
      <c r="G12" s="253"/>
      <c r="H12" s="90"/>
      <c r="I12" s="90"/>
      <c r="J12" s="90"/>
      <c r="K12" s="90">
        <f>J12*E12</f>
        <v>0</v>
      </c>
      <c r="L12" s="283">
        <f>G12+I12+K12</f>
        <v>0</v>
      </c>
    </row>
    <row r="13" spans="1:14" ht="72">
      <c r="A13" s="280"/>
      <c r="B13" s="284" t="s">
        <v>74</v>
      </c>
      <c r="C13" s="285" t="s">
        <v>75</v>
      </c>
      <c r="D13" s="114"/>
      <c r="E13" s="286">
        <v>680</v>
      </c>
      <c r="F13" s="114"/>
      <c r="G13" s="90">
        <f t="shared" ref="G13" si="0">F13*E13</f>
        <v>0</v>
      </c>
      <c r="H13" s="90"/>
      <c r="I13" s="90">
        <f>H13*E13</f>
        <v>0</v>
      </c>
      <c r="J13" s="90"/>
      <c r="K13" s="90">
        <f>J13*E13</f>
        <v>0</v>
      </c>
      <c r="L13" s="283">
        <f>G13+I13+K13</f>
        <v>0</v>
      </c>
      <c r="N13" s="287"/>
    </row>
    <row r="14" spans="1:14" ht="30">
      <c r="A14" s="253"/>
      <c r="B14" s="288" t="s">
        <v>98</v>
      </c>
      <c r="C14" s="289" t="s">
        <v>6</v>
      </c>
      <c r="D14" s="289"/>
      <c r="E14" s="290">
        <f>(E16/0.1)</f>
        <v>59.975999999999999</v>
      </c>
      <c r="F14" s="113"/>
      <c r="G14" s="90"/>
      <c r="H14" s="90"/>
      <c r="I14" s="90"/>
      <c r="J14" s="90"/>
      <c r="K14" s="90"/>
      <c r="L14" s="90"/>
    </row>
    <row r="15" spans="1:14">
      <c r="A15" s="253"/>
      <c r="B15" s="291" t="s">
        <v>76</v>
      </c>
      <c r="C15" s="253" t="s">
        <v>4</v>
      </c>
      <c r="D15" s="253">
        <v>1</v>
      </c>
      <c r="E15" s="90">
        <f>D15*E14</f>
        <v>59.975999999999999</v>
      </c>
      <c r="F15" s="253"/>
      <c r="G15" s="90"/>
      <c r="H15" s="90"/>
      <c r="I15" s="90">
        <f>H15*E15</f>
        <v>0</v>
      </c>
      <c r="J15" s="90"/>
      <c r="K15" s="90"/>
      <c r="L15" s="90">
        <f>I15</f>
        <v>0</v>
      </c>
    </row>
    <row r="16" spans="1:14">
      <c r="A16" s="253"/>
      <c r="B16" s="291" t="s">
        <v>89</v>
      </c>
      <c r="C16" s="253" t="s">
        <v>7</v>
      </c>
      <c r="D16" s="253">
        <v>1.02</v>
      </c>
      <c r="E16" s="90">
        <f>(3.14+0.32+1.21+1.21)*D16</f>
        <v>5.9976000000000003</v>
      </c>
      <c r="F16" s="90"/>
      <c r="G16" s="90">
        <f t="shared" ref="G16" si="1">F16*E16</f>
        <v>0</v>
      </c>
      <c r="H16" s="90"/>
      <c r="I16" s="90"/>
      <c r="J16" s="90"/>
      <c r="K16" s="90"/>
      <c r="L16" s="90">
        <f t="shared" ref="L16" si="2">G16</f>
        <v>0</v>
      </c>
    </row>
    <row r="17" spans="1:16" ht="45">
      <c r="A17" s="253"/>
      <c r="B17" s="288" t="s">
        <v>95</v>
      </c>
      <c r="C17" s="289"/>
      <c r="D17" s="289"/>
      <c r="E17" s="290"/>
      <c r="F17" s="113"/>
      <c r="G17" s="90"/>
      <c r="H17" s="90"/>
      <c r="I17" s="90"/>
      <c r="J17" s="90"/>
      <c r="K17" s="90"/>
      <c r="L17" s="90">
        <f>I17</f>
        <v>0</v>
      </c>
      <c r="N17" s="220">
        <f>E17*2</f>
        <v>0</v>
      </c>
    </row>
    <row r="18" spans="1:16">
      <c r="A18" s="253"/>
      <c r="B18" s="291" t="s">
        <v>78</v>
      </c>
      <c r="C18" s="253" t="s">
        <v>7</v>
      </c>
      <c r="D18" s="253"/>
      <c r="E18" s="292">
        <f>11.98*1.015</f>
        <v>12.159699999999999</v>
      </c>
      <c r="F18" s="90"/>
      <c r="G18" s="90">
        <f t="shared" ref="G18:G27" si="3">F18*E18</f>
        <v>0</v>
      </c>
      <c r="H18" s="90"/>
      <c r="I18" s="90"/>
      <c r="J18" s="90"/>
      <c r="K18" s="90"/>
      <c r="L18" s="90">
        <f t="shared" ref="L18" si="4">G18</f>
        <v>0</v>
      </c>
    </row>
    <row r="19" spans="1:16" ht="18">
      <c r="A19" s="280"/>
      <c r="B19" s="291" t="s">
        <v>43</v>
      </c>
      <c r="C19" s="253" t="s">
        <v>5</v>
      </c>
      <c r="D19" s="10"/>
      <c r="E19" s="292">
        <f>(444)/1000*1.04</f>
        <v>0.46176</v>
      </c>
      <c r="F19" s="90"/>
      <c r="G19" s="90">
        <f t="shared" si="3"/>
        <v>0</v>
      </c>
      <c r="H19" s="250"/>
      <c r="I19" s="90"/>
      <c r="J19" s="90"/>
      <c r="K19" s="90"/>
      <c r="L19" s="90">
        <f t="shared" ref="L19:L24" si="5">G19+I19+K19</f>
        <v>0</v>
      </c>
    </row>
    <row r="20" spans="1:16" ht="18">
      <c r="A20" s="280"/>
      <c r="B20" s="291" t="s">
        <v>48</v>
      </c>
      <c r="C20" s="253" t="s">
        <v>5</v>
      </c>
      <c r="D20" s="10"/>
      <c r="E20" s="292">
        <f>(189)/1000*1.04</f>
        <v>0.19656000000000001</v>
      </c>
      <c r="F20" s="90"/>
      <c r="G20" s="90">
        <f t="shared" si="3"/>
        <v>0</v>
      </c>
      <c r="H20" s="250"/>
      <c r="I20" s="90"/>
      <c r="J20" s="90"/>
      <c r="K20" s="90"/>
      <c r="L20" s="90">
        <f t="shared" si="5"/>
        <v>0</v>
      </c>
    </row>
    <row r="21" spans="1:16" ht="18">
      <c r="A21" s="280"/>
      <c r="B21" s="291" t="s">
        <v>42</v>
      </c>
      <c r="C21" s="253" t="s">
        <v>5</v>
      </c>
      <c r="D21" s="10"/>
      <c r="E21" s="292">
        <f>(138+99)/1000*1.04</f>
        <v>0.24648</v>
      </c>
      <c r="F21" s="90"/>
      <c r="G21" s="90">
        <f t="shared" si="3"/>
        <v>0</v>
      </c>
      <c r="H21" s="250"/>
      <c r="I21" s="90"/>
      <c r="J21" s="90"/>
      <c r="K21" s="90"/>
      <c r="L21" s="90">
        <f t="shared" si="5"/>
        <v>0</v>
      </c>
    </row>
    <row r="22" spans="1:16" ht="18">
      <c r="A22" s="280"/>
      <c r="B22" s="291" t="s">
        <v>39</v>
      </c>
      <c r="C22" s="253" t="s">
        <v>11</v>
      </c>
      <c r="D22" s="253">
        <v>5</v>
      </c>
      <c r="E22" s="90">
        <f>E18*D22</f>
        <v>60.798499999999997</v>
      </c>
      <c r="F22" s="90"/>
      <c r="G22" s="90">
        <f t="shared" si="3"/>
        <v>0</v>
      </c>
      <c r="H22" s="90"/>
      <c r="I22" s="90"/>
      <c r="J22" s="90"/>
      <c r="K22" s="90"/>
      <c r="L22" s="90">
        <f t="shared" si="5"/>
        <v>0</v>
      </c>
    </row>
    <row r="23" spans="1:16" ht="18">
      <c r="A23" s="280"/>
      <c r="B23" s="291" t="s">
        <v>12</v>
      </c>
      <c r="C23" s="253" t="s">
        <v>10</v>
      </c>
      <c r="D23" s="253">
        <v>5</v>
      </c>
      <c r="E23" s="90">
        <f>E18*D23</f>
        <v>60.798499999999997</v>
      </c>
      <c r="F23" s="90"/>
      <c r="G23" s="90">
        <f t="shared" si="3"/>
        <v>0</v>
      </c>
      <c r="H23" s="90"/>
      <c r="I23" s="90"/>
      <c r="J23" s="90"/>
      <c r="K23" s="90"/>
      <c r="L23" s="90">
        <f t="shared" si="5"/>
        <v>0</v>
      </c>
    </row>
    <row r="24" spans="1:16" ht="18">
      <c r="A24" s="280"/>
      <c r="B24" s="291" t="s">
        <v>40</v>
      </c>
      <c r="C24" s="253" t="s">
        <v>10</v>
      </c>
      <c r="D24" s="90">
        <v>3.5</v>
      </c>
      <c r="E24" s="90">
        <f>E18*D24</f>
        <v>42.558949999999996</v>
      </c>
      <c r="F24" s="90"/>
      <c r="G24" s="90">
        <f t="shared" si="3"/>
        <v>0</v>
      </c>
      <c r="H24" s="90"/>
      <c r="I24" s="90"/>
      <c r="J24" s="90"/>
      <c r="K24" s="90"/>
      <c r="L24" s="90">
        <f t="shared" si="5"/>
        <v>0</v>
      </c>
    </row>
    <row r="25" spans="1:16" ht="18">
      <c r="A25" s="280"/>
      <c r="B25" s="291" t="s">
        <v>90</v>
      </c>
      <c r="C25" s="293" t="s">
        <v>46</v>
      </c>
      <c r="D25" s="253">
        <v>2.2000000000000002</v>
      </c>
      <c r="E25" s="90">
        <f>E18*D25</f>
        <v>26.751339999999999</v>
      </c>
      <c r="F25" s="90"/>
      <c r="G25" s="90">
        <f t="shared" si="3"/>
        <v>0</v>
      </c>
      <c r="H25" s="90"/>
      <c r="I25" s="90"/>
      <c r="J25" s="90"/>
      <c r="K25" s="90"/>
      <c r="L25" s="90">
        <f t="shared" ref="L25:L27" si="6">K25+I25+G25</f>
        <v>0</v>
      </c>
    </row>
    <row r="26" spans="1:16" ht="18">
      <c r="A26" s="280"/>
      <c r="B26" s="291" t="s">
        <v>91</v>
      </c>
      <c r="C26" s="294" t="s">
        <v>7</v>
      </c>
      <c r="D26" s="292">
        <v>0.17</v>
      </c>
      <c r="E26" s="90">
        <f>E18*D26</f>
        <v>2.0671490000000001</v>
      </c>
      <c r="F26" s="90"/>
      <c r="G26" s="90">
        <f t="shared" si="3"/>
        <v>0</v>
      </c>
      <c r="H26" s="90"/>
      <c r="I26" s="90"/>
      <c r="J26" s="90"/>
      <c r="K26" s="90"/>
      <c r="L26" s="90">
        <f t="shared" si="6"/>
        <v>0</v>
      </c>
      <c r="P26" s="220">
        <f>214/0.25</f>
        <v>856</v>
      </c>
    </row>
    <row r="27" spans="1:16" ht="18">
      <c r="A27" s="280"/>
      <c r="B27" s="291" t="s">
        <v>47</v>
      </c>
      <c r="C27" s="253" t="s">
        <v>10</v>
      </c>
      <c r="D27" s="253">
        <v>7.5</v>
      </c>
      <c r="E27" s="90">
        <f>E26*D27</f>
        <v>15.503617500000001</v>
      </c>
      <c r="F27" s="90"/>
      <c r="G27" s="90">
        <f t="shared" si="3"/>
        <v>0</v>
      </c>
      <c r="H27" s="90"/>
      <c r="I27" s="90"/>
      <c r="J27" s="90"/>
      <c r="K27" s="90"/>
      <c r="L27" s="90">
        <f t="shared" si="6"/>
        <v>0</v>
      </c>
      <c r="N27" s="220">
        <f>E26*5</f>
        <v>10.335745000000001</v>
      </c>
      <c r="P27" s="220">
        <f>P26*1.5</f>
        <v>1284</v>
      </c>
    </row>
    <row r="28" spans="1:16" ht="45">
      <c r="A28" s="253"/>
      <c r="B28" s="288" t="s">
        <v>94</v>
      </c>
      <c r="C28" s="289"/>
      <c r="D28" s="289"/>
      <c r="E28" s="290"/>
      <c r="F28" s="113"/>
      <c r="G28" s="90"/>
      <c r="H28" s="90"/>
      <c r="I28" s="90"/>
      <c r="J28" s="90"/>
      <c r="K28" s="90"/>
      <c r="L28" s="90">
        <f>I28</f>
        <v>0</v>
      </c>
      <c r="N28" s="220">
        <f>E28*2</f>
        <v>0</v>
      </c>
    </row>
    <row r="29" spans="1:16">
      <c r="A29" s="253"/>
      <c r="B29" s="291" t="s">
        <v>78</v>
      </c>
      <c r="C29" s="253" t="s">
        <v>7</v>
      </c>
      <c r="D29" s="253"/>
      <c r="E29" s="292">
        <f>1.18*1.015</f>
        <v>1.1976999999999998</v>
      </c>
      <c r="F29" s="90"/>
      <c r="G29" s="90">
        <f t="shared" ref="G29" si="7">F29*E29</f>
        <v>0</v>
      </c>
      <c r="H29" s="90"/>
      <c r="I29" s="90"/>
      <c r="J29" s="90"/>
      <c r="K29" s="90"/>
      <c r="L29" s="90">
        <f t="shared" ref="L29" si="8">G29</f>
        <v>0</v>
      </c>
    </row>
    <row r="30" spans="1:16" ht="18">
      <c r="A30" s="280"/>
      <c r="B30" s="291" t="s">
        <v>43</v>
      </c>
      <c r="C30" s="253" t="s">
        <v>5</v>
      </c>
      <c r="D30" s="10"/>
      <c r="E30" s="292">
        <f>(28)/1000*1.04</f>
        <v>2.912E-2</v>
      </c>
      <c r="F30" s="90"/>
      <c r="G30" s="90">
        <f t="shared" ref="G30:G39" si="9">F30*E30</f>
        <v>0</v>
      </c>
      <c r="H30" s="250"/>
      <c r="I30" s="90"/>
      <c r="J30" s="90"/>
      <c r="K30" s="90"/>
      <c r="L30" s="90">
        <f t="shared" ref="L30:L35" si="10">G30+I30+K30</f>
        <v>0</v>
      </c>
    </row>
    <row r="31" spans="1:16" ht="18">
      <c r="A31" s="280"/>
      <c r="B31" s="291" t="s">
        <v>48</v>
      </c>
      <c r="C31" s="253" t="s">
        <v>5</v>
      </c>
      <c r="D31" s="10"/>
      <c r="E31" s="292">
        <f>(18+21)/1000*1.04</f>
        <v>4.0559999999999999E-2</v>
      </c>
      <c r="F31" s="90"/>
      <c r="G31" s="90">
        <f t="shared" si="9"/>
        <v>0</v>
      </c>
      <c r="H31" s="250"/>
      <c r="I31" s="90"/>
      <c r="J31" s="90"/>
      <c r="K31" s="90"/>
      <c r="L31" s="90">
        <f t="shared" si="10"/>
        <v>0</v>
      </c>
    </row>
    <row r="32" spans="1:16" ht="18">
      <c r="A32" s="280"/>
      <c r="B32" s="291" t="s">
        <v>42</v>
      </c>
      <c r="C32" s="253" t="s">
        <v>5</v>
      </c>
      <c r="D32" s="10"/>
      <c r="E32" s="292">
        <f>(9+6+3)/1000*1.04</f>
        <v>1.8720000000000001E-2</v>
      </c>
      <c r="F32" s="90"/>
      <c r="G32" s="90">
        <f t="shared" si="9"/>
        <v>0</v>
      </c>
      <c r="H32" s="250"/>
      <c r="I32" s="90"/>
      <c r="J32" s="90"/>
      <c r="K32" s="90"/>
      <c r="L32" s="90">
        <f t="shared" si="10"/>
        <v>0</v>
      </c>
    </row>
    <row r="33" spans="1:16" ht="18">
      <c r="A33" s="280"/>
      <c r="B33" s="291" t="s">
        <v>39</v>
      </c>
      <c r="C33" s="253" t="s">
        <v>11</v>
      </c>
      <c r="D33" s="253">
        <v>5</v>
      </c>
      <c r="E33" s="90">
        <f>E29*D33</f>
        <v>5.9884999999999984</v>
      </c>
      <c r="F33" s="90"/>
      <c r="G33" s="90">
        <f t="shared" si="9"/>
        <v>0</v>
      </c>
      <c r="H33" s="90"/>
      <c r="I33" s="90"/>
      <c r="J33" s="90"/>
      <c r="K33" s="90"/>
      <c r="L33" s="90">
        <f t="shared" si="10"/>
        <v>0</v>
      </c>
    </row>
    <row r="34" spans="1:16" ht="18">
      <c r="A34" s="280"/>
      <c r="B34" s="291" t="s">
        <v>12</v>
      </c>
      <c r="C34" s="253" t="s">
        <v>10</v>
      </c>
      <c r="D34" s="253">
        <v>5</v>
      </c>
      <c r="E34" s="90">
        <f>E29*D34</f>
        <v>5.9884999999999984</v>
      </c>
      <c r="F34" s="90"/>
      <c r="G34" s="90">
        <f t="shared" si="9"/>
        <v>0</v>
      </c>
      <c r="H34" s="90"/>
      <c r="I34" s="90"/>
      <c r="J34" s="90"/>
      <c r="K34" s="90"/>
      <c r="L34" s="90">
        <f t="shared" si="10"/>
        <v>0</v>
      </c>
    </row>
    <row r="35" spans="1:16" ht="18">
      <c r="A35" s="280"/>
      <c r="B35" s="291" t="s">
        <v>40</v>
      </c>
      <c r="C35" s="253" t="s">
        <v>10</v>
      </c>
      <c r="D35" s="90">
        <v>3.5</v>
      </c>
      <c r="E35" s="90">
        <f>E29*D35</f>
        <v>4.1919499999999994</v>
      </c>
      <c r="F35" s="90"/>
      <c r="G35" s="90">
        <f t="shared" si="9"/>
        <v>0</v>
      </c>
      <c r="H35" s="90"/>
      <c r="I35" s="90"/>
      <c r="J35" s="90"/>
      <c r="K35" s="90"/>
      <c r="L35" s="90">
        <f t="shared" si="10"/>
        <v>0</v>
      </c>
    </row>
    <row r="36" spans="1:16" ht="18">
      <c r="A36" s="280"/>
      <c r="B36" s="291" t="s">
        <v>90</v>
      </c>
      <c r="C36" s="293" t="s">
        <v>46</v>
      </c>
      <c r="D36" s="253">
        <v>2.2000000000000002</v>
      </c>
      <c r="E36" s="90">
        <f>E29*D36</f>
        <v>2.6349399999999998</v>
      </c>
      <c r="F36" s="90"/>
      <c r="G36" s="90">
        <f t="shared" si="9"/>
        <v>0</v>
      </c>
      <c r="H36" s="90"/>
      <c r="I36" s="90"/>
      <c r="J36" s="90"/>
      <c r="K36" s="90"/>
      <c r="L36" s="90">
        <f t="shared" ref="L36:L38" si="11">K36+I36+G36</f>
        <v>0</v>
      </c>
    </row>
    <row r="37" spans="1:16" ht="18">
      <c r="A37" s="280"/>
      <c r="B37" s="291" t="s">
        <v>91</v>
      </c>
      <c r="C37" s="294" t="s">
        <v>7</v>
      </c>
      <c r="D37" s="292">
        <v>0.17</v>
      </c>
      <c r="E37" s="90">
        <f>E29*D37</f>
        <v>0.20360899999999998</v>
      </c>
      <c r="F37" s="90"/>
      <c r="G37" s="90">
        <f t="shared" si="9"/>
        <v>0</v>
      </c>
      <c r="H37" s="90"/>
      <c r="I37" s="90"/>
      <c r="J37" s="90"/>
      <c r="K37" s="90"/>
      <c r="L37" s="90">
        <f t="shared" si="11"/>
        <v>0</v>
      </c>
      <c r="P37" s="220">
        <f>214/0.25</f>
        <v>856</v>
      </c>
    </row>
    <row r="38" spans="1:16" ht="18">
      <c r="A38" s="280"/>
      <c r="B38" s="291" t="s">
        <v>47</v>
      </c>
      <c r="C38" s="253" t="s">
        <v>10</v>
      </c>
      <c r="D38" s="253">
        <v>7.5</v>
      </c>
      <c r="E38" s="90">
        <f>E37*D38</f>
        <v>1.5270674999999998</v>
      </c>
      <c r="F38" s="90"/>
      <c r="G38" s="90">
        <f t="shared" si="9"/>
        <v>0</v>
      </c>
      <c r="H38" s="90"/>
      <c r="I38" s="90"/>
      <c r="J38" s="90"/>
      <c r="K38" s="90"/>
      <c r="L38" s="90">
        <f t="shared" si="11"/>
        <v>0</v>
      </c>
      <c r="N38" s="220">
        <f>E37*5</f>
        <v>1.0180449999999999</v>
      </c>
      <c r="P38" s="220">
        <f>P37*1.5</f>
        <v>1284</v>
      </c>
    </row>
    <row r="39" spans="1:16" ht="72">
      <c r="A39" s="280"/>
      <c r="B39" s="284" t="s">
        <v>93</v>
      </c>
      <c r="C39" s="285" t="s">
        <v>75</v>
      </c>
      <c r="D39" s="114"/>
      <c r="E39" s="286">
        <f>195.8*0.25</f>
        <v>48.95</v>
      </c>
      <c r="F39" s="114"/>
      <c r="G39" s="90">
        <f t="shared" si="9"/>
        <v>0</v>
      </c>
      <c r="H39" s="295"/>
      <c r="I39" s="90">
        <f>H39*E39</f>
        <v>0</v>
      </c>
      <c r="J39" s="114"/>
      <c r="K39" s="90">
        <f>J39*E39</f>
        <v>0</v>
      </c>
      <c r="L39" s="283">
        <f>G39+I39+K39</f>
        <v>0</v>
      </c>
      <c r="N39" s="287"/>
    </row>
    <row r="40" spans="1:16" ht="30">
      <c r="A40" s="253"/>
      <c r="B40" s="288" t="s">
        <v>92</v>
      </c>
      <c r="C40" s="289"/>
      <c r="D40" s="289"/>
      <c r="E40" s="290">
        <v>195.8</v>
      </c>
      <c r="F40" s="113"/>
      <c r="G40" s="90"/>
      <c r="H40" s="90"/>
      <c r="I40" s="90">
        <f>H40*E40</f>
        <v>0</v>
      </c>
      <c r="J40" s="90"/>
      <c r="K40" s="90"/>
      <c r="L40" s="90">
        <f>I40</f>
        <v>0</v>
      </c>
      <c r="N40" s="220">
        <f>E40*2</f>
        <v>391.6</v>
      </c>
    </row>
    <row r="41" spans="1:16">
      <c r="A41" s="253"/>
      <c r="B41" s="291" t="s">
        <v>78</v>
      </c>
      <c r="C41" s="253" t="s">
        <v>7</v>
      </c>
      <c r="D41" s="253"/>
      <c r="E41" s="292">
        <f>23*1.015</f>
        <v>23.344999999999999</v>
      </c>
      <c r="F41" s="90"/>
      <c r="G41" s="90">
        <f t="shared" ref="G41:G48" si="12">F41*E41</f>
        <v>0</v>
      </c>
      <c r="H41" s="90"/>
      <c r="I41" s="90"/>
      <c r="J41" s="90"/>
      <c r="K41" s="90"/>
      <c r="L41" s="90">
        <f t="shared" ref="L41" si="13">G41</f>
        <v>0</v>
      </c>
    </row>
    <row r="42" spans="1:16" ht="18">
      <c r="A42" s="280"/>
      <c r="B42" s="291" t="s">
        <v>48</v>
      </c>
      <c r="C42" s="253" t="s">
        <v>5</v>
      </c>
      <c r="D42" s="10"/>
      <c r="E42" s="292">
        <f>(1216)/1000*1.04</f>
        <v>1.26464</v>
      </c>
      <c r="F42" s="90"/>
      <c r="G42" s="90">
        <f t="shared" si="12"/>
        <v>0</v>
      </c>
      <c r="H42" s="250"/>
      <c r="I42" s="90"/>
      <c r="J42" s="90"/>
      <c r="K42" s="90"/>
      <c r="L42" s="90">
        <f t="shared" ref="L42:L45" si="14">G42+I42+K42</f>
        <v>0</v>
      </c>
    </row>
    <row r="43" spans="1:16" ht="18">
      <c r="A43" s="280"/>
      <c r="B43" s="291" t="s">
        <v>39</v>
      </c>
      <c r="C43" s="253" t="s">
        <v>11</v>
      </c>
      <c r="D43" s="253">
        <v>5</v>
      </c>
      <c r="E43" s="90">
        <f>E41*D43</f>
        <v>116.72499999999999</v>
      </c>
      <c r="F43" s="90"/>
      <c r="G43" s="90">
        <f t="shared" si="12"/>
        <v>0</v>
      </c>
      <c r="H43" s="90"/>
      <c r="I43" s="90"/>
      <c r="J43" s="90"/>
      <c r="K43" s="90"/>
      <c r="L43" s="90">
        <f t="shared" si="14"/>
        <v>0</v>
      </c>
    </row>
    <row r="44" spans="1:16" ht="18">
      <c r="A44" s="280"/>
      <c r="B44" s="291" t="s">
        <v>12</v>
      </c>
      <c r="C44" s="253" t="s">
        <v>10</v>
      </c>
      <c r="D44" s="253">
        <v>5</v>
      </c>
      <c r="E44" s="90">
        <f>E41*D44</f>
        <v>116.72499999999999</v>
      </c>
      <c r="F44" s="90"/>
      <c r="G44" s="90">
        <f t="shared" si="12"/>
        <v>0</v>
      </c>
      <c r="H44" s="90"/>
      <c r="I44" s="90"/>
      <c r="J44" s="90"/>
      <c r="K44" s="90"/>
      <c r="L44" s="90">
        <f t="shared" si="14"/>
        <v>0</v>
      </c>
    </row>
    <row r="45" spans="1:16" ht="18">
      <c r="A45" s="280"/>
      <c r="B45" s="291" t="s">
        <v>40</v>
      </c>
      <c r="C45" s="253" t="s">
        <v>10</v>
      </c>
      <c r="D45" s="90">
        <v>3.5</v>
      </c>
      <c r="E45" s="90">
        <f>E41*D45</f>
        <v>81.707499999999996</v>
      </c>
      <c r="F45" s="90"/>
      <c r="G45" s="90">
        <f t="shared" si="12"/>
        <v>0</v>
      </c>
      <c r="H45" s="90"/>
      <c r="I45" s="90"/>
      <c r="J45" s="90"/>
      <c r="K45" s="90"/>
      <c r="L45" s="90">
        <f t="shared" si="14"/>
        <v>0</v>
      </c>
    </row>
    <row r="46" spans="1:16" ht="18">
      <c r="A46" s="280"/>
      <c r="B46" s="291" t="s">
        <v>90</v>
      </c>
      <c r="C46" s="293" t="s">
        <v>46</v>
      </c>
      <c r="D46" s="253">
        <v>2</v>
      </c>
      <c r="E46" s="90">
        <f>E41*D46</f>
        <v>46.69</v>
      </c>
      <c r="F46" s="90"/>
      <c r="G46" s="90">
        <f t="shared" si="12"/>
        <v>0</v>
      </c>
      <c r="H46" s="90"/>
      <c r="I46" s="90"/>
      <c r="J46" s="90"/>
      <c r="K46" s="90"/>
      <c r="L46" s="90">
        <f t="shared" ref="L46:L48" si="15">K46+I46+G46</f>
        <v>0</v>
      </c>
    </row>
    <row r="47" spans="1:16" ht="18">
      <c r="A47" s="280"/>
      <c r="B47" s="291" t="s">
        <v>91</v>
      </c>
      <c r="C47" s="294" t="s">
        <v>7</v>
      </c>
      <c r="D47" s="292">
        <v>0.17</v>
      </c>
      <c r="E47" s="90">
        <f>E41*D47</f>
        <v>3.9686500000000002</v>
      </c>
      <c r="F47" s="90"/>
      <c r="G47" s="90">
        <f t="shared" si="12"/>
        <v>0</v>
      </c>
      <c r="H47" s="90"/>
      <c r="I47" s="90"/>
      <c r="J47" s="90"/>
      <c r="K47" s="90"/>
      <c r="L47" s="90">
        <f t="shared" si="15"/>
        <v>0</v>
      </c>
      <c r="P47" s="220">
        <f>214/0.25</f>
        <v>856</v>
      </c>
    </row>
    <row r="48" spans="1:16" ht="18">
      <c r="A48" s="280"/>
      <c r="B48" s="291" t="s">
        <v>47</v>
      </c>
      <c r="C48" s="253" t="s">
        <v>10</v>
      </c>
      <c r="D48" s="253">
        <v>7.5</v>
      </c>
      <c r="E48" s="90">
        <f>E47*D48</f>
        <v>29.764875000000004</v>
      </c>
      <c r="F48" s="90"/>
      <c r="G48" s="90">
        <f t="shared" si="12"/>
        <v>0</v>
      </c>
      <c r="H48" s="90"/>
      <c r="I48" s="90"/>
      <c r="J48" s="90"/>
      <c r="K48" s="90"/>
      <c r="L48" s="90">
        <f t="shared" si="15"/>
        <v>0</v>
      </c>
      <c r="N48" s="220">
        <f>E47*5</f>
        <v>19.843250000000001</v>
      </c>
      <c r="P48" s="220">
        <f>P47*1.5</f>
        <v>1284</v>
      </c>
    </row>
    <row r="49" spans="1:16" ht="30">
      <c r="A49" s="253"/>
      <c r="B49" s="288" t="s">
        <v>96</v>
      </c>
      <c r="C49" s="289"/>
      <c r="D49" s="289"/>
      <c r="E49" s="290"/>
      <c r="F49" s="113"/>
      <c r="G49" s="90"/>
      <c r="H49" s="90"/>
      <c r="I49" s="90"/>
      <c r="J49" s="90"/>
      <c r="K49" s="90"/>
      <c r="L49" s="90">
        <f>I49</f>
        <v>0</v>
      </c>
      <c r="N49" s="220">
        <f>E49*2</f>
        <v>0</v>
      </c>
    </row>
    <row r="50" spans="1:16">
      <c r="A50" s="253"/>
      <c r="B50" s="291" t="s">
        <v>78</v>
      </c>
      <c r="C50" s="253" t="s">
        <v>7</v>
      </c>
      <c r="D50" s="253"/>
      <c r="E50" s="292">
        <f>15.39*1.015</f>
        <v>15.620849999999999</v>
      </c>
      <c r="F50" s="90"/>
      <c r="G50" s="90">
        <f t="shared" ref="G50:G58" si="16">F50*E50</f>
        <v>0</v>
      </c>
      <c r="H50" s="90"/>
      <c r="I50" s="90"/>
      <c r="J50" s="90"/>
      <c r="K50" s="90"/>
      <c r="L50" s="90">
        <f t="shared" ref="L50" si="17">G50</f>
        <v>0</v>
      </c>
    </row>
    <row r="51" spans="1:16" ht="18">
      <c r="A51" s="280"/>
      <c r="B51" s="291" t="s">
        <v>43</v>
      </c>
      <c r="C51" s="253" t="s">
        <v>5</v>
      </c>
      <c r="D51" s="10"/>
      <c r="E51" s="292">
        <f>(791)/1000*1.04</f>
        <v>0.82264000000000004</v>
      </c>
      <c r="F51" s="90"/>
      <c r="G51" s="90">
        <f t="shared" si="16"/>
        <v>0</v>
      </c>
      <c r="H51" s="250"/>
      <c r="I51" s="90"/>
      <c r="J51" s="90"/>
      <c r="K51" s="90"/>
      <c r="L51" s="90">
        <f t="shared" ref="L51:L55" si="18">G51+I51+K51</f>
        <v>0</v>
      </c>
    </row>
    <row r="52" spans="1:16" ht="18">
      <c r="A52" s="280"/>
      <c r="B52" s="291" t="s">
        <v>42</v>
      </c>
      <c r="C52" s="253" t="s">
        <v>5</v>
      </c>
      <c r="D52" s="10"/>
      <c r="E52" s="292">
        <f>(492)/1000*1.04</f>
        <v>0.51168000000000002</v>
      </c>
      <c r="F52" s="90"/>
      <c r="G52" s="90">
        <f t="shared" si="16"/>
        <v>0</v>
      </c>
      <c r="H52" s="250"/>
      <c r="I52" s="90"/>
      <c r="J52" s="90"/>
      <c r="K52" s="90"/>
      <c r="L52" s="90">
        <f t="shared" si="18"/>
        <v>0</v>
      </c>
    </row>
    <row r="53" spans="1:16" ht="18">
      <c r="A53" s="280"/>
      <c r="B53" s="291" t="s">
        <v>39</v>
      </c>
      <c r="C53" s="253" t="s">
        <v>11</v>
      </c>
      <c r="D53" s="253">
        <v>5</v>
      </c>
      <c r="E53" s="90">
        <f>E50*D53</f>
        <v>78.104249999999993</v>
      </c>
      <c r="F53" s="90"/>
      <c r="G53" s="90">
        <f t="shared" si="16"/>
        <v>0</v>
      </c>
      <c r="H53" s="90"/>
      <c r="I53" s="90"/>
      <c r="J53" s="90"/>
      <c r="K53" s="90"/>
      <c r="L53" s="90">
        <f t="shared" si="18"/>
        <v>0</v>
      </c>
    </row>
    <row r="54" spans="1:16" ht="18">
      <c r="A54" s="280"/>
      <c r="B54" s="291" t="s">
        <v>12</v>
      </c>
      <c r="C54" s="253" t="s">
        <v>10</v>
      </c>
      <c r="D54" s="253">
        <v>5</v>
      </c>
      <c r="E54" s="90">
        <f>E50*D54</f>
        <v>78.104249999999993</v>
      </c>
      <c r="F54" s="90"/>
      <c r="G54" s="90">
        <f t="shared" si="16"/>
        <v>0</v>
      </c>
      <c r="H54" s="90"/>
      <c r="I54" s="90"/>
      <c r="J54" s="90"/>
      <c r="K54" s="90"/>
      <c r="L54" s="90">
        <f t="shared" si="18"/>
        <v>0</v>
      </c>
    </row>
    <row r="55" spans="1:16" ht="18">
      <c r="A55" s="280"/>
      <c r="B55" s="291" t="s">
        <v>40</v>
      </c>
      <c r="C55" s="253" t="s">
        <v>10</v>
      </c>
      <c r="D55" s="90">
        <v>3.5</v>
      </c>
      <c r="E55" s="90">
        <f>E50*D55</f>
        <v>54.672974999999994</v>
      </c>
      <c r="F55" s="90"/>
      <c r="G55" s="90">
        <f t="shared" si="16"/>
        <v>0</v>
      </c>
      <c r="H55" s="90"/>
      <c r="I55" s="90"/>
      <c r="J55" s="90"/>
      <c r="K55" s="90"/>
      <c r="L55" s="90">
        <f t="shared" si="18"/>
        <v>0</v>
      </c>
    </row>
    <row r="56" spans="1:16" ht="18">
      <c r="A56" s="280"/>
      <c r="B56" s="291" t="s">
        <v>90</v>
      </c>
      <c r="C56" s="293" t="s">
        <v>46</v>
      </c>
      <c r="D56" s="253">
        <v>2</v>
      </c>
      <c r="E56" s="90">
        <f>E50*D56</f>
        <v>31.241699999999998</v>
      </c>
      <c r="F56" s="90"/>
      <c r="G56" s="90">
        <f t="shared" si="16"/>
        <v>0</v>
      </c>
      <c r="H56" s="90"/>
      <c r="I56" s="90"/>
      <c r="J56" s="90"/>
      <c r="K56" s="90"/>
      <c r="L56" s="90">
        <f t="shared" ref="L56:L58" si="19">K56+I56+G56</f>
        <v>0</v>
      </c>
    </row>
    <row r="57" spans="1:16" ht="18">
      <c r="A57" s="280"/>
      <c r="B57" s="291" t="s">
        <v>91</v>
      </c>
      <c r="C57" s="294" t="s">
        <v>7</v>
      </c>
      <c r="D57" s="292">
        <v>0.17</v>
      </c>
      <c r="E57" s="90">
        <f>E50*D57</f>
        <v>2.6555445</v>
      </c>
      <c r="F57" s="90"/>
      <c r="G57" s="90">
        <f t="shared" si="16"/>
        <v>0</v>
      </c>
      <c r="H57" s="90"/>
      <c r="I57" s="90"/>
      <c r="J57" s="90"/>
      <c r="K57" s="90"/>
      <c r="L57" s="90">
        <f t="shared" si="19"/>
        <v>0</v>
      </c>
      <c r="P57" s="220">
        <f>214/0.25</f>
        <v>856</v>
      </c>
    </row>
    <row r="58" spans="1:16" ht="18">
      <c r="A58" s="280"/>
      <c r="B58" s="291" t="s">
        <v>47</v>
      </c>
      <c r="C58" s="253" t="s">
        <v>10</v>
      </c>
      <c r="D58" s="253">
        <v>7.5</v>
      </c>
      <c r="E58" s="90">
        <f>E57*D58</f>
        <v>19.916583750000001</v>
      </c>
      <c r="F58" s="90"/>
      <c r="G58" s="90">
        <f t="shared" si="16"/>
        <v>0</v>
      </c>
      <c r="H58" s="90"/>
      <c r="I58" s="90"/>
      <c r="J58" s="90"/>
      <c r="K58" s="90"/>
      <c r="L58" s="90">
        <f t="shared" si="19"/>
        <v>0</v>
      </c>
      <c r="N58" s="220">
        <f>E57*5</f>
        <v>13.277722499999999</v>
      </c>
      <c r="P58" s="220">
        <f>P57*1.5</f>
        <v>1284</v>
      </c>
    </row>
    <row r="59" spans="1:16" ht="30">
      <c r="A59" s="253"/>
      <c r="B59" s="288" t="s">
        <v>97</v>
      </c>
      <c r="C59" s="289"/>
      <c r="D59" s="289"/>
      <c r="E59" s="290"/>
      <c r="F59" s="113"/>
      <c r="G59" s="90"/>
      <c r="H59" s="90"/>
      <c r="I59" s="90"/>
      <c r="J59" s="90"/>
      <c r="K59" s="90"/>
      <c r="L59" s="90">
        <f>I59</f>
        <v>0</v>
      </c>
      <c r="N59" s="220">
        <f>E59*2</f>
        <v>0</v>
      </c>
    </row>
    <row r="60" spans="1:16">
      <c r="A60" s="253"/>
      <c r="B60" s="291" t="s">
        <v>78</v>
      </c>
      <c r="C60" s="253" t="s">
        <v>7</v>
      </c>
      <c r="D60" s="253"/>
      <c r="E60" s="292">
        <f>9.68*1.015</f>
        <v>9.8251999999999988</v>
      </c>
      <c r="F60" s="90"/>
      <c r="G60" s="90">
        <f t="shared" ref="G60:G68" si="20">F60*E60</f>
        <v>0</v>
      </c>
      <c r="H60" s="90"/>
      <c r="I60" s="90"/>
      <c r="J60" s="90"/>
      <c r="K60" s="90"/>
      <c r="L60" s="90">
        <f t="shared" ref="L60" si="21">G60</f>
        <v>0</v>
      </c>
    </row>
    <row r="61" spans="1:16" ht="18">
      <c r="A61" s="280"/>
      <c r="B61" s="291" t="s">
        <v>43</v>
      </c>
      <c r="C61" s="253" t="s">
        <v>5</v>
      </c>
      <c r="D61" s="10"/>
      <c r="E61" s="292">
        <f>(672)/1000*1.04</f>
        <v>0.69888000000000006</v>
      </c>
      <c r="F61" s="90"/>
      <c r="G61" s="90">
        <f t="shared" si="20"/>
        <v>0</v>
      </c>
      <c r="H61" s="250"/>
      <c r="I61" s="90"/>
      <c r="J61" s="90"/>
      <c r="K61" s="90"/>
      <c r="L61" s="90">
        <f t="shared" ref="L61:L65" si="22">G61+I61+K61</f>
        <v>0</v>
      </c>
    </row>
    <row r="62" spans="1:16" ht="18">
      <c r="A62" s="280"/>
      <c r="B62" s="291" t="s">
        <v>42</v>
      </c>
      <c r="C62" s="253" t="s">
        <v>5</v>
      </c>
      <c r="D62" s="10"/>
      <c r="E62" s="292">
        <f>(372)/1000*1.04</f>
        <v>0.38688</v>
      </c>
      <c r="F62" s="90"/>
      <c r="G62" s="90">
        <f t="shared" si="20"/>
        <v>0</v>
      </c>
      <c r="H62" s="250"/>
      <c r="I62" s="90"/>
      <c r="J62" s="90"/>
      <c r="K62" s="90"/>
      <c r="L62" s="90">
        <f t="shared" si="22"/>
        <v>0</v>
      </c>
    </row>
    <row r="63" spans="1:16" ht="18">
      <c r="A63" s="280"/>
      <c r="B63" s="291" t="s">
        <v>39</v>
      </c>
      <c r="C63" s="253" t="s">
        <v>11</v>
      </c>
      <c r="D63" s="253">
        <v>5</v>
      </c>
      <c r="E63" s="90">
        <f>E60*D63</f>
        <v>49.125999999999991</v>
      </c>
      <c r="F63" s="90"/>
      <c r="G63" s="90">
        <f t="shared" si="20"/>
        <v>0</v>
      </c>
      <c r="H63" s="90"/>
      <c r="I63" s="90"/>
      <c r="J63" s="90"/>
      <c r="K63" s="90"/>
      <c r="L63" s="90">
        <f t="shared" si="22"/>
        <v>0</v>
      </c>
    </row>
    <row r="64" spans="1:16" ht="18">
      <c r="A64" s="280"/>
      <c r="B64" s="291" t="s">
        <v>12</v>
      </c>
      <c r="C64" s="253" t="s">
        <v>10</v>
      </c>
      <c r="D64" s="253">
        <v>5</v>
      </c>
      <c r="E64" s="90">
        <f>E60*D64</f>
        <v>49.125999999999991</v>
      </c>
      <c r="F64" s="90"/>
      <c r="G64" s="90">
        <f t="shared" si="20"/>
        <v>0</v>
      </c>
      <c r="H64" s="90"/>
      <c r="I64" s="90"/>
      <c r="J64" s="90"/>
      <c r="K64" s="90"/>
      <c r="L64" s="90">
        <f t="shared" si="22"/>
        <v>0</v>
      </c>
    </row>
    <row r="65" spans="1:16" ht="18">
      <c r="A65" s="280"/>
      <c r="B65" s="291" t="s">
        <v>40</v>
      </c>
      <c r="C65" s="253" t="s">
        <v>10</v>
      </c>
      <c r="D65" s="90">
        <v>3.5</v>
      </c>
      <c r="E65" s="90">
        <f>E60*D65</f>
        <v>34.388199999999998</v>
      </c>
      <c r="F65" s="90"/>
      <c r="G65" s="90">
        <f t="shared" si="20"/>
        <v>0</v>
      </c>
      <c r="H65" s="90"/>
      <c r="I65" s="90"/>
      <c r="J65" s="90"/>
      <c r="K65" s="90"/>
      <c r="L65" s="90">
        <f t="shared" si="22"/>
        <v>0</v>
      </c>
    </row>
    <row r="66" spans="1:16" ht="18">
      <c r="A66" s="280"/>
      <c r="B66" s="291" t="s">
        <v>90</v>
      </c>
      <c r="C66" s="293" t="s">
        <v>46</v>
      </c>
      <c r="D66" s="253">
        <v>2</v>
      </c>
      <c r="E66" s="90">
        <f>E60*D66</f>
        <v>19.650399999999998</v>
      </c>
      <c r="F66" s="90"/>
      <c r="G66" s="90">
        <f t="shared" si="20"/>
        <v>0</v>
      </c>
      <c r="H66" s="90"/>
      <c r="I66" s="90"/>
      <c r="J66" s="90"/>
      <c r="K66" s="90"/>
      <c r="L66" s="90">
        <f t="shared" ref="L66:L68" si="23">K66+I66+G66</f>
        <v>0</v>
      </c>
    </row>
    <row r="67" spans="1:16" ht="18">
      <c r="A67" s="280"/>
      <c r="B67" s="291" t="s">
        <v>91</v>
      </c>
      <c r="C67" s="294" t="s">
        <v>7</v>
      </c>
      <c r="D67" s="292">
        <v>0.17</v>
      </c>
      <c r="E67" s="90">
        <f>E60*D67</f>
        <v>1.6702839999999999</v>
      </c>
      <c r="F67" s="90"/>
      <c r="G67" s="90">
        <f t="shared" si="20"/>
        <v>0</v>
      </c>
      <c r="H67" s="90"/>
      <c r="I67" s="90"/>
      <c r="J67" s="90"/>
      <c r="K67" s="90"/>
      <c r="L67" s="90">
        <f t="shared" si="23"/>
        <v>0</v>
      </c>
      <c r="P67" s="220">
        <f>214/0.25</f>
        <v>856</v>
      </c>
    </row>
    <row r="68" spans="1:16" ht="18">
      <c r="A68" s="280"/>
      <c r="B68" s="291" t="s">
        <v>47</v>
      </c>
      <c r="C68" s="253" t="s">
        <v>10</v>
      </c>
      <c r="D68" s="253">
        <v>7.5</v>
      </c>
      <c r="E68" s="90">
        <f>E67*D68</f>
        <v>12.52713</v>
      </c>
      <c r="F68" s="90"/>
      <c r="G68" s="90">
        <f t="shared" si="20"/>
        <v>0</v>
      </c>
      <c r="H68" s="90"/>
      <c r="I68" s="90"/>
      <c r="J68" s="90"/>
      <c r="K68" s="90"/>
      <c r="L68" s="90">
        <f t="shared" si="23"/>
        <v>0</v>
      </c>
      <c r="N68" s="220">
        <f>E67*5</f>
        <v>8.3514199999999992</v>
      </c>
      <c r="P68" s="220">
        <f>P67*1.5</f>
        <v>1284</v>
      </c>
    </row>
    <row r="69" spans="1:16" ht="30">
      <c r="A69" s="253"/>
      <c r="B69" s="288" t="s">
        <v>119</v>
      </c>
      <c r="C69" s="289" t="s">
        <v>44</v>
      </c>
      <c r="D69" s="289"/>
      <c r="E69" s="290">
        <f>SUM(E70:E86)</f>
        <v>11.170377200000004</v>
      </c>
      <c r="F69" s="113"/>
      <c r="G69" s="90"/>
      <c r="H69" s="90"/>
      <c r="I69" s="90">
        <f>H69*E69</f>
        <v>0</v>
      </c>
      <c r="J69" s="90"/>
      <c r="K69" s="90">
        <f>E69*J69</f>
        <v>0</v>
      </c>
      <c r="L69" s="90">
        <f>I69</f>
        <v>0</v>
      </c>
      <c r="N69" s="220">
        <f>E69*2</f>
        <v>22.340754400000009</v>
      </c>
    </row>
    <row r="70" spans="1:16">
      <c r="A70" s="253"/>
      <c r="B70" s="291" t="s">
        <v>99</v>
      </c>
      <c r="C70" s="289" t="s">
        <v>44</v>
      </c>
      <c r="D70" s="253">
        <v>1.08</v>
      </c>
      <c r="E70" s="292">
        <f>0.785*1.08</f>
        <v>0.84780000000000011</v>
      </c>
      <c r="F70" s="90"/>
      <c r="G70" s="90">
        <f t="shared" ref="G70:G88" si="24">F70*E70</f>
        <v>0</v>
      </c>
      <c r="H70" s="90"/>
      <c r="I70" s="90"/>
      <c r="J70" s="90"/>
      <c r="K70" s="90"/>
      <c r="L70" s="90">
        <f t="shared" ref="L70" si="25">G70</f>
        <v>0</v>
      </c>
    </row>
    <row r="71" spans="1:16" ht="18">
      <c r="A71" s="280"/>
      <c r="B71" s="291" t="s">
        <v>100</v>
      </c>
      <c r="C71" s="289" t="s">
        <v>44</v>
      </c>
      <c r="D71" s="253">
        <v>1.02</v>
      </c>
      <c r="E71" s="296">
        <f>1462.5/1000*D71</f>
        <v>1.4917499999999999</v>
      </c>
      <c r="F71" s="90"/>
      <c r="G71" s="90">
        <f t="shared" si="24"/>
        <v>0</v>
      </c>
      <c r="H71" s="250"/>
      <c r="I71" s="90"/>
      <c r="J71" s="90"/>
      <c r="K71" s="90"/>
      <c r="L71" s="90">
        <f t="shared" ref="L71:L74" si="26">G71+I71+K71</f>
        <v>0</v>
      </c>
    </row>
    <row r="72" spans="1:16" ht="18">
      <c r="A72" s="280"/>
      <c r="B72" s="291" t="s">
        <v>101</v>
      </c>
      <c r="C72" s="289" t="s">
        <v>44</v>
      </c>
      <c r="D72" s="253">
        <v>1.04</v>
      </c>
      <c r="E72" s="296">
        <f>827.4/1000*D72</f>
        <v>0.86049600000000004</v>
      </c>
      <c r="F72" s="90"/>
      <c r="G72" s="90">
        <f t="shared" si="24"/>
        <v>0</v>
      </c>
      <c r="H72" s="90"/>
      <c r="I72" s="90"/>
      <c r="J72" s="90"/>
      <c r="K72" s="90"/>
      <c r="L72" s="90">
        <f t="shared" si="26"/>
        <v>0</v>
      </c>
    </row>
    <row r="73" spans="1:16" ht="18">
      <c r="A73" s="280"/>
      <c r="B73" s="291" t="s">
        <v>102</v>
      </c>
      <c r="C73" s="289" t="s">
        <v>44</v>
      </c>
      <c r="D73" s="253">
        <v>1.04</v>
      </c>
      <c r="E73" s="296">
        <f>1831.8/1000*D73</f>
        <v>1.9050719999999999</v>
      </c>
      <c r="F73" s="90"/>
      <c r="G73" s="90">
        <f t="shared" si="24"/>
        <v>0</v>
      </c>
      <c r="H73" s="90"/>
      <c r="I73" s="90"/>
      <c r="J73" s="90"/>
      <c r="K73" s="90"/>
      <c r="L73" s="90">
        <f t="shared" si="26"/>
        <v>0</v>
      </c>
    </row>
    <row r="74" spans="1:16" ht="18">
      <c r="A74" s="280"/>
      <c r="B74" s="291" t="s">
        <v>102</v>
      </c>
      <c r="C74" s="289" t="s">
        <v>44</v>
      </c>
      <c r="D74" s="253">
        <v>1.04</v>
      </c>
      <c r="E74" s="296">
        <f>3294.4/1000*D74</f>
        <v>3.4261760000000003</v>
      </c>
      <c r="F74" s="90"/>
      <c r="G74" s="90">
        <f t="shared" si="24"/>
        <v>0</v>
      </c>
      <c r="H74" s="90"/>
      <c r="I74" s="90"/>
      <c r="J74" s="90"/>
      <c r="K74" s="90"/>
      <c r="L74" s="90">
        <f t="shared" si="26"/>
        <v>0</v>
      </c>
    </row>
    <row r="75" spans="1:16" ht="18">
      <c r="A75" s="280"/>
      <c r="B75" s="291" t="s">
        <v>103</v>
      </c>
      <c r="C75" s="289" t="s">
        <v>44</v>
      </c>
      <c r="D75" s="253">
        <v>1.04</v>
      </c>
      <c r="E75" s="296">
        <f>1713.6/1000*D75</f>
        <v>1.7821440000000002</v>
      </c>
      <c r="F75" s="90"/>
      <c r="G75" s="90">
        <f t="shared" si="24"/>
        <v>0</v>
      </c>
      <c r="H75" s="90"/>
      <c r="I75" s="90"/>
      <c r="J75" s="90"/>
      <c r="K75" s="90"/>
      <c r="L75" s="90">
        <f t="shared" ref="L75:L86" si="27">K75+I75+G75</f>
        <v>0</v>
      </c>
    </row>
    <row r="76" spans="1:16" ht="18">
      <c r="A76" s="280"/>
      <c r="B76" s="291" t="s">
        <v>102</v>
      </c>
      <c r="C76" s="289" t="s">
        <v>44</v>
      </c>
      <c r="D76" s="253">
        <v>1.04</v>
      </c>
      <c r="E76" s="296">
        <f>85.2/1000*D76</f>
        <v>8.8608000000000006E-2</v>
      </c>
      <c r="F76" s="90"/>
      <c r="G76" s="90">
        <f t="shared" si="24"/>
        <v>0</v>
      </c>
      <c r="H76" s="90"/>
      <c r="I76" s="90"/>
      <c r="J76" s="90"/>
      <c r="K76" s="90"/>
      <c r="L76" s="90">
        <f t="shared" si="27"/>
        <v>0</v>
      </c>
      <c r="P76" s="220">
        <f>214/0.25</f>
        <v>856</v>
      </c>
    </row>
    <row r="77" spans="1:16" ht="18">
      <c r="A77" s="280"/>
      <c r="B77" s="291" t="s">
        <v>104</v>
      </c>
      <c r="C77" s="289" t="s">
        <v>44</v>
      </c>
      <c r="D77" s="253">
        <v>1.04</v>
      </c>
      <c r="E77" s="296">
        <f>90.43/1000*D77</f>
        <v>9.4047200000000011E-2</v>
      </c>
      <c r="F77" s="90"/>
      <c r="G77" s="90">
        <f t="shared" si="24"/>
        <v>0</v>
      </c>
      <c r="H77" s="90"/>
      <c r="I77" s="90"/>
      <c r="J77" s="90"/>
      <c r="K77" s="90"/>
      <c r="L77" s="90">
        <f t="shared" si="27"/>
        <v>0</v>
      </c>
      <c r="N77" s="220">
        <f>E76*5</f>
        <v>0.44304000000000004</v>
      </c>
      <c r="P77" s="220">
        <f>P76*1.5</f>
        <v>1284</v>
      </c>
    </row>
    <row r="78" spans="1:16" ht="18">
      <c r="A78" s="280"/>
      <c r="B78" s="291" t="s">
        <v>105</v>
      </c>
      <c r="C78" s="289" t="s">
        <v>44</v>
      </c>
      <c r="D78" s="253">
        <v>1.04</v>
      </c>
      <c r="E78" s="296">
        <f>36.62/1000*D78</f>
        <v>3.8084800000000002E-2</v>
      </c>
      <c r="F78" s="90"/>
      <c r="G78" s="90">
        <f t="shared" si="24"/>
        <v>0</v>
      </c>
      <c r="H78" s="90"/>
      <c r="I78" s="90"/>
      <c r="J78" s="90"/>
      <c r="K78" s="90"/>
      <c r="L78" s="90">
        <f t="shared" si="27"/>
        <v>0</v>
      </c>
    </row>
    <row r="79" spans="1:16" ht="18">
      <c r="A79" s="280"/>
      <c r="B79" s="291" t="s">
        <v>106</v>
      </c>
      <c r="C79" s="289" t="s">
        <v>44</v>
      </c>
      <c r="D79" s="253">
        <v>1.04</v>
      </c>
      <c r="E79" s="296">
        <f>66.32/1000*D79</f>
        <v>6.8972799999999987E-2</v>
      </c>
      <c r="F79" s="90"/>
      <c r="G79" s="90">
        <f t="shared" si="24"/>
        <v>0</v>
      </c>
      <c r="H79" s="90"/>
      <c r="I79" s="90"/>
      <c r="J79" s="90"/>
      <c r="K79" s="90"/>
      <c r="L79" s="90">
        <f t="shared" si="27"/>
        <v>0</v>
      </c>
    </row>
    <row r="80" spans="1:16" ht="18">
      <c r="A80" s="280"/>
      <c r="B80" s="291" t="s">
        <v>107</v>
      </c>
      <c r="C80" s="289" t="s">
        <v>44</v>
      </c>
      <c r="D80" s="253">
        <v>1.04</v>
      </c>
      <c r="E80" s="296">
        <f>(36.17+54.26)/1000*D80</f>
        <v>9.4047200000000011E-2</v>
      </c>
      <c r="F80" s="90"/>
      <c r="G80" s="90">
        <f t="shared" si="24"/>
        <v>0</v>
      </c>
      <c r="H80" s="90"/>
      <c r="I80" s="90"/>
      <c r="J80" s="90"/>
      <c r="K80" s="90"/>
      <c r="L80" s="90">
        <f t="shared" si="27"/>
        <v>0</v>
      </c>
    </row>
    <row r="81" spans="1:14" ht="18">
      <c r="A81" s="280"/>
      <c r="B81" s="291" t="s">
        <v>108</v>
      </c>
      <c r="C81" s="289" t="s">
        <v>44</v>
      </c>
      <c r="D81" s="253">
        <v>1.04</v>
      </c>
      <c r="E81" s="296">
        <f>48.98/1000*D81</f>
        <v>5.0939199999999997E-2</v>
      </c>
      <c r="F81" s="90"/>
      <c r="G81" s="90">
        <f t="shared" si="24"/>
        <v>0</v>
      </c>
      <c r="H81" s="90"/>
      <c r="I81" s="90"/>
      <c r="J81" s="90"/>
      <c r="K81" s="90"/>
      <c r="L81" s="90">
        <f t="shared" si="27"/>
        <v>0</v>
      </c>
    </row>
    <row r="82" spans="1:14" ht="18">
      <c r="A82" s="280"/>
      <c r="B82" s="291" t="s">
        <v>109</v>
      </c>
      <c r="C82" s="289" t="s">
        <v>44</v>
      </c>
      <c r="D82" s="253">
        <v>1.04</v>
      </c>
      <c r="E82" s="296">
        <f>63.19/1000*D82</f>
        <v>6.5717600000000001E-2</v>
      </c>
      <c r="F82" s="90"/>
      <c r="G82" s="90">
        <f t="shared" si="24"/>
        <v>0</v>
      </c>
      <c r="H82" s="90"/>
      <c r="I82" s="90"/>
      <c r="J82" s="90"/>
      <c r="K82" s="90"/>
      <c r="L82" s="90">
        <f t="shared" si="27"/>
        <v>0</v>
      </c>
    </row>
    <row r="83" spans="1:14" ht="18">
      <c r="A83" s="280"/>
      <c r="B83" s="291" t="s">
        <v>110</v>
      </c>
      <c r="C83" s="289" t="s">
        <v>44</v>
      </c>
      <c r="D83" s="253">
        <v>1.04</v>
      </c>
      <c r="E83" s="296">
        <f>13.23/1000*D83</f>
        <v>1.3759200000000001E-2</v>
      </c>
      <c r="F83" s="90"/>
      <c r="G83" s="90">
        <f t="shared" si="24"/>
        <v>0</v>
      </c>
      <c r="H83" s="90"/>
      <c r="I83" s="90"/>
      <c r="J83" s="90"/>
      <c r="K83" s="90"/>
      <c r="L83" s="90">
        <f t="shared" si="27"/>
        <v>0</v>
      </c>
    </row>
    <row r="84" spans="1:14" ht="18">
      <c r="A84" s="280"/>
      <c r="B84" s="291" t="s">
        <v>111</v>
      </c>
      <c r="C84" s="289" t="s">
        <v>44</v>
      </c>
      <c r="D84" s="253">
        <v>1.04</v>
      </c>
      <c r="E84" s="296">
        <f>120.17/1000*D84</f>
        <v>0.1249768</v>
      </c>
      <c r="F84" s="90"/>
      <c r="G84" s="90">
        <f t="shared" si="24"/>
        <v>0</v>
      </c>
      <c r="H84" s="90"/>
      <c r="I84" s="90"/>
      <c r="J84" s="90"/>
      <c r="K84" s="90"/>
      <c r="L84" s="90">
        <f t="shared" si="27"/>
        <v>0</v>
      </c>
    </row>
    <row r="85" spans="1:14" ht="18">
      <c r="A85" s="280"/>
      <c r="B85" s="291" t="s">
        <v>112</v>
      </c>
      <c r="C85" s="289" t="s">
        <v>44</v>
      </c>
      <c r="D85" s="253">
        <v>1.04</v>
      </c>
      <c r="E85" s="296">
        <f>80.54/1000*D85</f>
        <v>8.3761600000000005E-2</v>
      </c>
      <c r="F85" s="90"/>
      <c r="G85" s="90">
        <f t="shared" si="24"/>
        <v>0</v>
      </c>
      <c r="H85" s="90"/>
      <c r="I85" s="90"/>
      <c r="J85" s="90"/>
      <c r="K85" s="90"/>
      <c r="L85" s="90">
        <f t="shared" si="27"/>
        <v>0</v>
      </c>
    </row>
    <row r="86" spans="1:14" ht="18">
      <c r="A86" s="280"/>
      <c r="B86" s="291" t="s">
        <v>113</v>
      </c>
      <c r="C86" s="289" t="s">
        <v>44</v>
      </c>
      <c r="D86" s="253">
        <v>1.04</v>
      </c>
      <c r="E86" s="296">
        <f>128.87/1000*D86</f>
        <v>0.13402480000000003</v>
      </c>
      <c r="F86" s="90"/>
      <c r="G86" s="90">
        <f t="shared" si="24"/>
        <v>0</v>
      </c>
      <c r="H86" s="90"/>
      <c r="I86" s="90"/>
      <c r="J86" s="90"/>
      <c r="K86" s="90"/>
      <c r="L86" s="90">
        <f t="shared" si="27"/>
        <v>0</v>
      </c>
    </row>
    <row r="87" spans="1:14" ht="18">
      <c r="A87" s="280"/>
      <c r="B87" s="291" t="s">
        <v>39</v>
      </c>
      <c r="C87" s="253" t="s">
        <v>11</v>
      </c>
      <c r="D87" s="253">
        <v>5</v>
      </c>
      <c r="E87" s="90">
        <f>E69*D87</f>
        <v>55.851886000000022</v>
      </c>
      <c r="F87" s="90"/>
      <c r="G87" s="90">
        <f t="shared" si="24"/>
        <v>0</v>
      </c>
      <c r="H87" s="90"/>
      <c r="I87" s="90"/>
      <c r="J87" s="90"/>
      <c r="K87" s="90"/>
      <c r="L87" s="90">
        <f t="shared" ref="L87:L88" si="28">G87+I87+K87</f>
        <v>0</v>
      </c>
    </row>
    <row r="88" spans="1:14" ht="18">
      <c r="A88" s="280"/>
      <c r="B88" s="291" t="s">
        <v>12</v>
      </c>
      <c r="C88" s="253" t="s">
        <v>10</v>
      </c>
      <c r="D88" s="253">
        <v>15.2</v>
      </c>
      <c r="E88" s="90">
        <f>E69*D88</f>
        <v>169.78973344000005</v>
      </c>
      <c r="F88" s="90"/>
      <c r="G88" s="90">
        <f t="shared" si="24"/>
        <v>0</v>
      </c>
      <c r="H88" s="90"/>
      <c r="I88" s="90"/>
      <c r="J88" s="90"/>
      <c r="K88" s="90"/>
      <c r="L88" s="90">
        <f t="shared" si="28"/>
        <v>0</v>
      </c>
    </row>
    <row r="89" spans="1:14">
      <c r="A89" s="253"/>
      <c r="B89" s="288" t="s">
        <v>120</v>
      </c>
      <c r="C89" s="289" t="s">
        <v>44</v>
      </c>
      <c r="D89" s="289"/>
      <c r="E89" s="290">
        <f>SUM(E70:E76)</f>
        <v>10.402046000000002</v>
      </c>
      <c r="F89" s="113"/>
      <c r="G89" s="90"/>
      <c r="H89" s="90"/>
      <c r="I89" s="90">
        <f>H89*E89</f>
        <v>0</v>
      </c>
      <c r="J89" s="90"/>
      <c r="K89" s="90"/>
      <c r="L89" s="90">
        <f>I89</f>
        <v>0</v>
      </c>
      <c r="N89" s="220">
        <f>E89*2</f>
        <v>20.804092000000004</v>
      </c>
    </row>
    <row r="90" spans="1:14">
      <c r="A90" s="253"/>
      <c r="B90" s="291" t="s">
        <v>52</v>
      </c>
      <c r="C90" s="113" t="s">
        <v>118</v>
      </c>
      <c r="D90" s="253">
        <v>0.3</v>
      </c>
      <c r="E90" s="292">
        <f>E89*D90</f>
        <v>3.1206138000000005</v>
      </c>
      <c r="F90" s="90"/>
      <c r="G90" s="90">
        <f t="shared" ref="G90:G92" si="29">F90*E90</f>
        <v>0</v>
      </c>
      <c r="H90" s="90"/>
      <c r="I90" s="90"/>
      <c r="J90" s="90"/>
      <c r="K90" s="90"/>
      <c r="L90" s="90">
        <f t="shared" ref="L90" si="30">G90</f>
        <v>0</v>
      </c>
    </row>
    <row r="91" spans="1:14" ht="18">
      <c r="A91" s="280"/>
      <c r="B91" s="291" t="s">
        <v>116</v>
      </c>
      <c r="C91" s="113" t="s">
        <v>118</v>
      </c>
      <c r="D91" s="253">
        <v>0.5</v>
      </c>
      <c r="E91" s="296">
        <f>E89*D91</f>
        <v>5.2010230000000011</v>
      </c>
      <c r="F91" s="90"/>
      <c r="G91" s="90">
        <f t="shared" si="29"/>
        <v>0</v>
      </c>
      <c r="H91" s="250"/>
      <c r="I91" s="90"/>
      <c r="J91" s="90"/>
      <c r="K91" s="90"/>
      <c r="L91" s="90">
        <f t="shared" ref="L91:L92" si="31">G91+I91+K91</f>
        <v>0</v>
      </c>
    </row>
    <row r="92" spans="1:14" ht="18">
      <c r="A92" s="280"/>
      <c r="B92" s="291" t="s">
        <v>117</v>
      </c>
      <c r="C92" s="113" t="s">
        <v>118</v>
      </c>
      <c r="D92" s="253">
        <v>3.2</v>
      </c>
      <c r="E92" s="296">
        <f>E89*D92</f>
        <v>33.286547200000008</v>
      </c>
      <c r="F92" s="90"/>
      <c r="G92" s="90">
        <f t="shared" si="29"/>
        <v>0</v>
      </c>
      <c r="H92" s="90"/>
      <c r="I92" s="90"/>
      <c r="J92" s="90"/>
      <c r="K92" s="90"/>
      <c r="L92" s="90">
        <f t="shared" si="31"/>
        <v>0</v>
      </c>
    </row>
    <row r="93" spans="1:14" ht="18">
      <c r="A93" s="280"/>
      <c r="B93" s="297" t="s">
        <v>115</v>
      </c>
      <c r="C93" s="289" t="s">
        <v>44</v>
      </c>
      <c r="D93" s="289"/>
      <c r="E93" s="290">
        <f>SUM(E94:E95)</f>
        <v>0.56519839999999999</v>
      </c>
      <c r="F93" s="113"/>
      <c r="G93" s="90"/>
      <c r="H93" s="90"/>
      <c r="I93" s="90">
        <f>H93*E93</f>
        <v>0</v>
      </c>
      <c r="J93" s="90"/>
      <c r="K93" s="90"/>
      <c r="L93" s="90">
        <f t="shared" ref="L93:L95" si="32">G93+I93+K93</f>
        <v>0</v>
      </c>
    </row>
    <row r="94" spans="1:14" ht="18">
      <c r="A94" s="280"/>
      <c r="B94" s="291" t="s">
        <v>114</v>
      </c>
      <c r="C94" s="289" t="s">
        <v>44</v>
      </c>
      <c r="D94" s="253">
        <v>1.04</v>
      </c>
      <c r="E94" s="296">
        <f>361.73/1000*D94</f>
        <v>0.37619920000000001</v>
      </c>
      <c r="F94" s="90"/>
      <c r="G94" s="90">
        <f t="shared" ref="G94:G95" si="33">F94*E94</f>
        <v>0</v>
      </c>
      <c r="H94" s="90"/>
      <c r="I94" s="90"/>
      <c r="J94" s="90"/>
      <c r="K94" s="90"/>
      <c r="L94" s="90">
        <f t="shared" si="32"/>
        <v>0</v>
      </c>
    </row>
    <row r="95" spans="1:14" ht="18">
      <c r="A95" s="280"/>
      <c r="B95" s="291" t="s">
        <v>43</v>
      </c>
      <c r="C95" s="253" t="s">
        <v>5</v>
      </c>
      <c r="D95" s="253">
        <v>1.04</v>
      </c>
      <c r="E95" s="292">
        <f>(181.73)/1000*1.04</f>
        <v>0.18899920000000001</v>
      </c>
      <c r="F95" s="90"/>
      <c r="G95" s="90">
        <f t="shared" si="33"/>
        <v>0</v>
      </c>
      <c r="H95" s="250"/>
      <c r="I95" s="90"/>
      <c r="J95" s="90"/>
      <c r="K95" s="90"/>
      <c r="L95" s="90">
        <f t="shared" si="32"/>
        <v>0</v>
      </c>
    </row>
    <row r="96" spans="1:14" ht="18">
      <c r="A96" s="280"/>
      <c r="B96" s="297" t="s">
        <v>121</v>
      </c>
      <c r="C96" s="289" t="s">
        <v>44</v>
      </c>
      <c r="D96" s="289"/>
      <c r="E96" s="290">
        <f>SUM(E97:E98)</f>
        <v>3.7939199999999999E-2</v>
      </c>
      <c r="F96" s="113"/>
      <c r="G96" s="90"/>
      <c r="H96" s="90"/>
      <c r="I96" s="90">
        <f>H96*E96</f>
        <v>0</v>
      </c>
      <c r="J96" s="90"/>
      <c r="K96" s="90"/>
      <c r="L96" s="90">
        <f t="shared" ref="L96:L98" si="34">G96+I96+K96</f>
        <v>0</v>
      </c>
    </row>
    <row r="97" spans="1:16" ht="18">
      <c r="A97" s="280"/>
      <c r="B97" s="291" t="s">
        <v>122</v>
      </c>
      <c r="C97" s="289" t="s">
        <v>44</v>
      </c>
      <c r="D97" s="253">
        <v>1.04</v>
      </c>
      <c r="E97" s="296">
        <f>24.62/1000*D97</f>
        <v>2.56048E-2</v>
      </c>
      <c r="F97" s="90"/>
      <c r="G97" s="90">
        <f t="shared" ref="G97:G98" si="35">F97*E97</f>
        <v>0</v>
      </c>
      <c r="H97" s="90"/>
      <c r="I97" s="90"/>
      <c r="J97" s="90"/>
      <c r="K97" s="90"/>
      <c r="L97" s="90">
        <f t="shared" si="34"/>
        <v>0</v>
      </c>
    </row>
    <row r="98" spans="1:16" ht="18">
      <c r="A98" s="280"/>
      <c r="B98" s="291" t="s">
        <v>43</v>
      </c>
      <c r="C98" s="253" t="s">
        <v>5</v>
      </c>
      <c r="D98" s="253">
        <v>1.04</v>
      </c>
      <c r="E98" s="292">
        <f>(11.86)/1000*1.04</f>
        <v>1.2334399999999999E-2</v>
      </c>
      <c r="F98" s="90"/>
      <c r="G98" s="90">
        <f t="shared" si="35"/>
        <v>0</v>
      </c>
      <c r="H98" s="250"/>
      <c r="I98" s="90"/>
      <c r="J98" s="90"/>
      <c r="K98" s="90"/>
      <c r="L98" s="90">
        <f t="shared" si="34"/>
        <v>0</v>
      </c>
    </row>
    <row r="99" spans="1:16" ht="51" customHeight="1">
      <c r="A99" s="280"/>
      <c r="B99" s="288" t="s">
        <v>123</v>
      </c>
      <c r="C99" s="298" t="s">
        <v>7</v>
      </c>
      <c r="D99" s="89"/>
      <c r="E99" s="299">
        <f>3+1.3</f>
        <v>4.3</v>
      </c>
      <c r="F99" s="90"/>
      <c r="G99" s="90"/>
      <c r="H99" s="90"/>
      <c r="I99" s="90">
        <f t="shared" ref="I99" si="36">E99*H99</f>
        <v>0</v>
      </c>
      <c r="J99" s="90"/>
      <c r="K99" s="90"/>
      <c r="L99" s="90">
        <f t="shared" ref="L99" si="37">K99+I99+G99</f>
        <v>0</v>
      </c>
    </row>
    <row r="100" spans="1:16" ht="18">
      <c r="A100" s="280"/>
      <c r="B100" s="291" t="s">
        <v>79</v>
      </c>
      <c r="C100" s="253" t="s">
        <v>7</v>
      </c>
      <c r="D100" s="10"/>
      <c r="E100" s="292">
        <f>4.3*1.015</f>
        <v>4.3644999999999996</v>
      </c>
      <c r="F100" s="90"/>
      <c r="G100" s="90">
        <f t="shared" ref="G100:G108" si="38">F100*E100</f>
        <v>0</v>
      </c>
      <c r="H100" s="90"/>
      <c r="I100" s="90"/>
      <c r="J100" s="90"/>
      <c r="K100" s="90"/>
      <c r="L100" s="90">
        <f t="shared" ref="L100:L105" si="39">G100+I100+K100</f>
        <v>0</v>
      </c>
    </row>
    <row r="101" spans="1:16" ht="18">
      <c r="A101" s="280"/>
      <c r="B101" s="291" t="s">
        <v>48</v>
      </c>
      <c r="C101" s="253" t="s">
        <v>5</v>
      </c>
      <c r="D101" s="10"/>
      <c r="E101" s="292">
        <f>(119+8+106+20)/1000*1.04</f>
        <v>0.26312000000000002</v>
      </c>
      <c r="F101" s="90"/>
      <c r="G101" s="90">
        <f t="shared" si="38"/>
        <v>0</v>
      </c>
      <c r="H101" s="90"/>
      <c r="I101" s="90"/>
      <c r="J101" s="90"/>
      <c r="K101" s="90"/>
      <c r="L101" s="90">
        <f t="shared" si="39"/>
        <v>0</v>
      </c>
    </row>
    <row r="102" spans="1:16" ht="18">
      <c r="A102" s="280"/>
      <c r="B102" s="291" t="s">
        <v>42</v>
      </c>
      <c r="C102" s="253" t="s">
        <v>5</v>
      </c>
      <c r="D102" s="10"/>
      <c r="E102" s="292">
        <f>(2)/1000*1.04</f>
        <v>2.0800000000000003E-3</v>
      </c>
      <c r="F102" s="90"/>
      <c r="G102" s="90">
        <f t="shared" si="38"/>
        <v>0</v>
      </c>
      <c r="H102" s="90"/>
      <c r="I102" s="90"/>
      <c r="J102" s="90"/>
      <c r="K102" s="90"/>
      <c r="L102" s="90">
        <f t="shared" si="39"/>
        <v>0</v>
      </c>
    </row>
    <row r="103" spans="1:16" ht="18">
      <c r="A103" s="280"/>
      <c r="B103" s="291" t="s">
        <v>39</v>
      </c>
      <c r="C103" s="253" t="s">
        <v>11</v>
      </c>
      <c r="D103" s="253">
        <v>5</v>
      </c>
      <c r="E103" s="90">
        <f>E100*D103</f>
        <v>21.822499999999998</v>
      </c>
      <c r="F103" s="90"/>
      <c r="G103" s="90">
        <f t="shared" si="38"/>
        <v>0</v>
      </c>
      <c r="H103" s="90"/>
      <c r="I103" s="90"/>
      <c r="J103" s="90"/>
      <c r="K103" s="90"/>
      <c r="L103" s="90">
        <f t="shared" si="39"/>
        <v>0</v>
      </c>
    </row>
    <row r="104" spans="1:16" ht="18">
      <c r="A104" s="280"/>
      <c r="B104" s="291" t="s">
        <v>12</v>
      </c>
      <c r="C104" s="253" t="s">
        <v>10</v>
      </c>
      <c r="D104" s="253">
        <v>5</v>
      </c>
      <c r="E104" s="90">
        <f>E100*D104</f>
        <v>21.822499999999998</v>
      </c>
      <c r="F104" s="90"/>
      <c r="G104" s="90">
        <f t="shared" si="38"/>
        <v>0</v>
      </c>
      <c r="H104" s="90"/>
      <c r="I104" s="90"/>
      <c r="J104" s="90"/>
      <c r="K104" s="90"/>
      <c r="L104" s="90">
        <f t="shared" si="39"/>
        <v>0</v>
      </c>
    </row>
    <row r="105" spans="1:16" ht="18">
      <c r="A105" s="280"/>
      <c r="B105" s="291" t="s">
        <v>40</v>
      </c>
      <c r="C105" s="253" t="s">
        <v>10</v>
      </c>
      <c r="D105" s="90">
        <v>3.5</v>
      </c>
      <c r="E105" s="90">
        <f>E100*D105</f>
        <v>15.275749999999999</v>
      </c>
      <c r="F105" s="90"/>
      <c r="G105" s="90">
        <f t="shared" si="38"/>
        <v>0</v>
      </c>
      <c r="H105" s="90"/>
      <c r="I105" s="90"/>
      <c r="J105" s="90"/>
      <c r="K105" s="90"/>
      <c r="L105" s="90">
        <f t="shared" si="39"/>
        <v>0</v>
      </c>
    </row>
    <row r="106" spans="1:16" ht="18">
      <c r="A106" s="280"/>
      <c r="B106" s="291" t="s">
        <v>90</v>
      </c>
      <c r="C106" s="293" t="s">
        <v>46</v>
      </c>
      <c r="D106" s="253">
        <v>2</v>
      </c>
      <c r="E106" s="90">
        <f>E100*D106</f>
        <v>8.7289999999999992</v>
      </c>
      <c r="F106" s="90"/>
      <c r="G106" s="90">
        <f t="shared" si="38"/>
        <v>0</v>
      </c>
      <c r="H106" s="90"/>
      <c r="I106" s="90"/>
      <c r="J106" s="90"/>
      <c r="K106" s="90"/>
      <c r="L106" s="90">
        <f t="shared" ref="L106:L108" si="40">K106+I106+G106</f>
        <v>0</v>
      </c>
    </row>
    <row r="107" spans="1:16" ht="18">
      <c r="A107" s="280"/>
      <c r="B107" s="291" t="s">
        <v>91</v>
      </c>
      <c r="C107" s="294" t="s">
        <v>7</v>
      </c>
      <c r="D107" s="292">
        <v>0.17</v>
      </c>
      <c r="E107" s="90">
        <f>E100*D107</f>
        <v>0.74196499999999999</v>
      </c>
      <c r="F107" s="90"/>
      <c r="G107" s="90">
        <f t="shared" si="38"/>
        <v>0</v>
      </c>
      <c r="H107" s="90"/>
      <c r="I107" s="90"/>
      <c r="J107" s="90"/>
      <c r="K107" s="90"/>
      <c r="L107" s="90">
        <f t="shared" si="40"/>
        <v>0</v>
      </c>
      <c r="P107" s="220">
        <f>214/0.25</f>
        <v>856</v>
      </c>
    </row>
    <row r="108" spans="1:16" ht="18">
      <c r="A108" s="280"/>
      <c r="B108" s="291" t="s">
        <v>47</v>
      </c>
      <c r="C108" s="253" t="s">
        <v>10</v>
      </c>
      <c r="D108" s="253">
        <v>7.5</v>
      </c>
      <c r="E108" s="90">
        <f>E107*D108</f>
        <v>5.5647374999999997</v>
      </c>
      <c r="F108" s="90"/>
      <c r="G108" s="90">
        <f t="shared" si="38"/>
        <v>0</v>
      </c>
      <c r="H108" s="90"/>
      <c r="I108" s="90"/>
      <c r="J108" s="90"/>
      <c r="K108" s="90"/>
      <c r="L108" s="90">
        <f t="shared" si="40"/>
        <v>0</v>
      </c>
      <c r="N108" s="220">
        <f>E107*5</f>
        <v>3.7098249999999999</v>
      </c>
      <c r="P108" s="220">
        <f>P107*1.5</f>
        <v>1284</v>
      </c>
    </row>
    <row r="109" spans="1:16" ht="28.5" customHeight="1">
      <c r="A109" s="182"/>
      <c r="B109" s="237" t="s">
        <v>124</v>
      </c>
      <c r="C109" s="238" t="s">
        <v>64</v>
      </c>
      <c r="D109" s="239"/>
      <c r="E109" s="239">
        <v>30</v>
      </c>
      <c r="F109" s="240"/>
      <c r="G109" s="13">
        <f t="shared" ref="G109" si="41">F109*E109</f>
        <v>0</v>
      </c>
      <c r="H109" s="90"/>
      <c r="I109" s="90">
        <f t="shared" ref="I109" si="42">E109*H109</f>
        <v>0</v>
      </c>
      <c r="J109" s="90"/>
      <c r="K109" s="90"/>
      <c r="L109" s="90">
        <f t="shared" ref="L109" si="43">K109+I109+G109</f>
        <v>0</v>
      </c>
    </row>
    <row r="110" spans="1:16" ht="18">
      <c r="A110" s="253"/>
      <c r="B110" s="248" t="s">
        <v>8</v>
      </c>
      <c r="C110" s="300"/>
      <c r="D110" s="253"/>
      <c r="E110" s="253"/>
      <c r="F110" s="253"/>
      <c r="G110" s="28">
        <f>SUM(G12:G109)</f>
        <v>0</v>
      </c>
      <c r="H110" s="28"/>
      <c r="I110" s="28">
        <f>SUM(I12:I109)</f>
        <v>0</v>
      </c>
      <c r="J110" s="28"/>
      <c r="K110" s="28">
        <f>SUM(K12:K109)</f>
        <v>0</v>
      </c>
      <c r="L110" s="28">
        <f>SUM(L12:L109)</f>
        <v>0</v>
      </c>
    </row>
    <row r="111" spans="1:16" ht="18">
      <c r="A111" s="247"/>
      <c r="B111" s="245" t="s">
        <v>66</v>
      </c>
      <c r="C111" s="246"/>
      <c r="D111" s="247"/>
      <c r="E111" s="247"/>
      <c r="F111" s="247"/>
      <c r="G111" s="247"/>
      <c r="H111" s="247"/>
      <c r="I111" s="247"/>
      <c r="J111" s="247"/>
      <c r="K111" s="247"/>
      <c r="L111" s="90">
        <f>G110*C111</f>
        <v>0</v>
      </c>
    </row>
    <row r="112" spans="1:16" ht="18">
      <c r="A112" s="247"/>
      <c r="B112" s="248" t="s">
        <v>8</v>
      </c>
      <c r="C112" s="249"/>
      <c r="D112" s="247"/>
      <c r="E112" s="247"/>
      <c r="F112" s="247"/>
      <c r="G112" s="247"/>
      <c r="H112" s="247"/>
      <c r="I112" s="247"/>
      <c r="J112" s="247"/>
      <c r="K112" s="247"/>
      <c r="L112" s="250">
        <f>SUM(L110:L111)</f>
        <v>0</v>
      </c>
    </row>
    <row r="113" spans="1:16" ht="17.25">
      <c r="A113" s="182"/>
      <c r="B113" s="251" t="s">
        <v>77</v>
      </c>
      <c r="C113" s="252"/>
      <c r="D113" s="253"/>
      <c r="E113" s="253"/>
      <c r="F113" s="253"/>
      <c r="G113" s="253"/>
      <c r="H113" s="253"/>
      <c r="I113" s="253"/>
      <c r="J113" s="253"/>
      <c r="K113" s="253"/>
      <c r="L113" s="90">
        <f>L112*C113</f>
        <v>0</v>
      </c>
    </row>
    <row r="114" spans="1:16" ht="17.25">
      <c r="A114" s="182"/>
      <c r="B114" s="301" t="s">
        <v>67</v>
      </c>
      <c r="C114" s="254"/>
      <c r="D114" s="253"/>
      <c r="E114" s="253"/>
      <c r="F114" s="253"/>
      <c r="G114" s="253"/>
      <c r="H114" s="253"/>
      <c r="I114" s="253"/>
      <c r="J114" s="253"/>
      <c r="K114" s="253"/>
      <c r="L114" s="250">
        <f>SUM(L112:L113)</f>
        <v>0</v>
      </c>
    </row>
    <row r="115" spans="1:16" ht="17.25">
      <c r="A115" s="247"/>
      <c r="B115" s="251" t="s">
        <v>41</v>
      </c>
      <c r="C115" s="252"/>
      <c r="D115" s="247"/>
      <c r="E115" s="247"/>
      <c r="F115" s="247"/>
      <c r="G115" s="247"/>
      <c r="H115" s="247"/>
      <c r="I115" s="247"/>
      <c r="J115" s="247"/>
      <c r="K115" s="247"/>
      <c r="L115" s="90">
        <f>L114*C115</f>
        <v>0</v>
      </c>
    </row>
    <row r="116" spans="1:16" ht="17.25">
      <c r="A116" s="247"/>
      <c r="B116" s="301" t="s">
        <v>67</v>
      </c>
      <c r="C116" s="254"/>
      <c r="D116" s="247"/>
      <c r="E116" s="247"/>
      <c r="F116" s="247"/>
      <c r="G116" s="247"/>
      <c r="H116" s="247"/>
      <c r="I116" s="247"/>
      <c r="J116" s="247"/>
      <c r="K116" s="247"/>
      <c r="L116" s="250">
        <f>SUM(L114:L115)</f>
        <v>0</v>
      </c>
      <c r="P116" s="220">
        <f>2.28/1.18</f>
        <v>1.9322033898305084</v>
      </c>
    </row>
    <row r="117" spans="1:16" ht="18">
      <c r="A117" s="247"/>
      <c r="B117" s="284" t="s">
        <v>80</v>
      </c>
      <c r="C117" s="302"/>
      <c r="D117" s="247"/>
      <c r="E117" s="247"/>
      <c r="F117" s="247"/>
      <c r="G117" s="247"/>
      <c r="H117" s="247"/>
      <c r="I117" s="247"/>
      <c r="J117" s="247"/>
      <c r="K117" s="247"/>
      <c r="L117" s="90">
        <f>L116*C117</f>
        <v>0</v>
      </c>
      <c r="N117" s="222"/>
      <c r="P117" s="220">
        <f>2.17/1.18</f>
        <v>1.8389830508474576</v>
      </c>
    </row>
    <row r="118" spans="1:16" ht="19.5">
      <c r="A118" s="247"/>
      <c r="B118" s="255" t="s">
        <v>8</v>
      </c>
      <c r="C118" s="256"/>
      <c r="D118" s="247"/>
      <c r="E118" s="247"/>
      <c r="F118" s="247"/>
      <c r="G118" s="247"/>
      <c r="H118" s="247"/>
      <c r="I118" s="247"/>
      <c r="J118" s="247"/>
      <c r="K118" s="247"/>
      <c r="L118" s="250">
        <f>SUM(L116:L117)</f>
        <v>0</v>
      </c>
      <c r="N118" s="222"/>
    </row>
    <row r="119" spans="1:16" ht="18">
      <c r="A119" s="247"/>
      <c r="B119" s="248" t="s">
        <v>68</v>
      </c>
      <c r="C119" s="257"/>
      <c r="D119" s="247"/>
      <c r="E119" s="247"/>
      <c r="F119" s="247"/>
      <c r="G119" s="247"/>
      <c r="H119" s="247"/>
      <c r="I119" s="247"/>
      <c r="J119" s="247"/>
      <c r="K119" s="247"/>
      <c r="L119" s="90">
        <f>L118*C119</f>
        <v>0</v>
      </c>
    </row>
    <row r="120" spans="1:16" ht="19.5">
      <c r="A120" s="247"/>
      <c r="B120" s="255" t="s">
        <v>8</v>
      </c>
      <c r="C120" s="256"/>
      <c r="D120" s="247"/>
      <c r="E120" s="247"/>
      <c r="F120" s="247"/>
      <c r="G120" s="247"/>
      <c r="H120" s="247"/>
      <c r="I120" s="247"/>
      <c r="J120" s="247"/>
      <c r="K120" s="247"/>
      <c r="L120" s="250">
        <f>SUM(L118:L119)</f>
        <v>0</v>
      </c>
    </row>
    <row r="121" spans="1:16" ht="18">
      <c r="A121" s="247"/>
      <c r="B121" s="248" t="s">
        <v>88</v>
      </c>
      <c r="C121" s="257"/>
      <c r="D121" s="247"/>
      <c r="E121" s="247"/>
      <c r="F121" s="247"/>
      <c r="G121" s="247"/>
      <c r="H121" s="247"/>
      <c r="I121" s="247"/>
      <c r="J121" s="247"/>
      <c r="K121" s="247"/>
      <c r="L121" s="90">
        <f>I110*C121</f>
        <v>0</v>
      </c>
    </row>
    <row r="122" spans="1:16" ht="19.5">
      <c r="A122" s="247"/>
      <c r="B122" s="255" t="s">
        <v>8</v>
      </c>
      <c r="C122" s="256"/>
      <c r="D122" s="247"/>
      <c r="E122" s="247"/>
      <c r="F122" s="247"/>
      <c r="G122" s="247"/>
      <c r="H122" s="247"/>
      <c r="I122" s="247"/>
      <c r="J122" s="247"/>
      <c r="K122" s="247"/>
      <c r="L122" s="28">
        <f>SUM(L120:L121)</f>
        <v>0</v>
      </c>
    </row>
    <row r="123" spans="1:16" ht="18">
      <c r="A123" s="247"/>
      <c r="B123" s="248" t="s">
        <v>9</v>
      </c>
      <c r="C123" s="257">
        <v>0.18</v>
      </c>
      <c r="D123" s="247"/>
      <c r="E123" s="247"/>
      <c r="F123" s="247"/>
      <c r="G123" s="247"/>
      <c r="H123" s="247"/>
      <c r="I123" s="247"/>
      <c r="J123" s="247"/>
      <c r="K123" s="247"/>
      <c r="L123" s="90">
        <f>L122*C123</f>
        <v>0</v>
      </c>
    </row>
    <row r="124" spans="1:16" ht="19.5">
      <c r="A124" s="247"/>
      <c r="B124" s="255" t="s">
        <v>69</v>
      </c>
      <c r="C124" s="259"/>
      <c r="D124" s="247"/>
      <c r="E124" s="247"/>
      <c r="F124" s="247"/>
      <c r="G124" s="247"/>
      <c r="H124" s="247"/>
      <c r="I124" s="247"/>
      <c r="J124" s="247"/>
      <c r="K124" s="247"/>
      <c r="L124" s="28">
        <f>SUM(L122:L123)</f>
        <v>0</v>
      </c>
    </row>
    <row r="128" spans="1:16">
      <c r="I128" s="304"/>
    </row>
    <row r="129" spans="11:11">
      <c r="K129" s="222"/>
    </row>
  </sheetData>
  <autoFilter ref="A11:L124" xr:uid="{00000000-0009-0000-0000-000002000000}"/>
  <mergeCells count="13">
    <mergeCell ref="A9:A10"/>
    <mergeCell ref="B9:B10"/>
    <mergeCell ref="C9:C10"/>
    <mergeCell ref="D9:E9"/>
    <mergeCell ref="A2:L2"/>
    <mergeCell ref="A3:L3"/>
    <mergeCell ref="B5:K5"/>
    <mergeCell ref="A6:L6"/>
    <mergeCell ref="B7:D7"/>
    <mergeCell ref="F9:G9"/>
    <mergeCell ref="H9:I9"/>
    <mergeCell ref="J9:K9"/>
    <mergeCell ref="L9:L10"/>
  </mergeCells>
  <phoneticPr fontId="45" type="noConversion"/>
  <conditionalFormatting sqref="C25">
    <cfRule type="cellIs" dxfId="38" priority="6" stopIfTrue="1" operator="equal">
      <formula>0</formula>
    </cfRule>
  </conditionalFormatting>
  <conditionalFormatting sqref="C36">
    <cfRule type="cellIs" dxfId="37" priority="12" stopIfTrue="1" operator="equal">
      <formula>0</formula>
    </cfRule>
  </conditionalFormatting>
  <conditionalFormatting sqref="C46">
    <cfRule type="cellIs" dxfId="36" priority="11" stopIfTrue="1" operator="equal">
      <formula>0</formula>
    </cfRule>
  </conditionalFormatting>
  <conditionalFormatting sqref="C56">
    <cfRule type="cellIs" dxfId="35" priority="5" stopIfTrue="1" operator="equal">
      <formula>0</formula>
    </cfRule>
  </conditionalFormatting>
  <conditionalFormatting sqref="C66">
    <cfRule type="cellIs" dxfId="34" priority="4" stopIfTrue="1" operator="equal">
      <formula>0</formula>
    </cfRule>
  </conditionalFormatting>
  <conditionalFormatting sqref="C106">
    <cfRule type="cellIs" dxfId="32" priority="1" stopIfTrue="1" operator="equal">
      <formula>0</formula>
    </cfRule>
  </conditionalFormatting>
  <conditionalFormatting sqref="D13:F13">
    <cfRule type="cellIs" dxfId="31" priority="219" stopIfTrue="1" operator="equal">
      <formula>8223.307275</formula>
    </cfRule>
    <cfRule type="cellIs" dxfId="30" priority="220" stopIfTrue="1" operator="equal">
      <formula>0</formula>
    </cfRule>
  </conditionalFormatting>
  <conditionalFormatting sqref="D39:F39">
    <cfRule type="cellIs" dxfId="29" priority="9" stopIfTrue="1" operator="equal">
      <formula>8223.307275</formula>
    </cfRule>
    <cfRule type="cellIs" dxfId="28" priority="10" stopIfTrue="1" operator="equal">
      <formula>0</formula>
    </cfRule>
  </conditionalFormatting>
  <conditionalFormatting sqref="H39 J39">
    <cfRule type="cellIs" dxfId="27" priority="7" stopIfTrue="1" operator="equal">
      <formula>8223.307275</formula>
    </cfRule>
    <cfRule type="cellIs" dxfId="26" priority="8" stopIfTrue="1" operator="equal">
      <formula>0</formula>
    </cfRule>
  </conditionalFormatting>
  <pageMargins left="0.7" right="0.7" top="0.75" bottom="0.75" header="0.3" footer="0.3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62"/>
  <sheetViews>
    <sheetView zoomScale="90" zoomScaleNormal="90" zoomScaleSheetLayoutView="100" workbookViewId="0">
      <selection activeCell="F167" sqref="F167"/>
    </sheetView>
  </sheetViews>
  <sheetFormatPr defaultColWidth="8.85546875" defaultRowHeight="15"/>
  <cols>
    <col min="1" max="1" width="5.85546875" style="88" customWidth="1"/>
    <col min="2" max="2" width="57.5703125" style="37" customWidth="1"/>
    <col min="3" max="3" width="12.42578125" style="37" customWidth="1"/>
    <col min="4" max="4" width="9.85546875" style="37" customWidth="1"/>
    <col min="5" max="5" width="13.140625" style="160" customWidth="1"/>
    <col min="6" max="6" width="11.5703125" style="37" customWidth="1"/>
    <col min="7" max="7" width="14.42578125" style="37" customWidth="1"/>
    <col min="8" max="8" width="11.140625" style="47" customWidth="1"/>
    <col min="9" max="9" width="13.7109375" style="37" bestFit="1" customWidth="1"/>
    <col min="10" max="10" width="11.5703125" style="37" customWidth="1"/>
    <col min="11" max="11" width="13.5703125" style="37" customWidth="1"/>
    <col min="12" max="12" width="16.42578125" style="88" bestFit="1" customWidth="1"/>
    <col min="13" max="13" width="11.28515625" style="37" bestFit="1" customWidth="1"/>
    <col min="14" max="16384" width="8.85546875" style="37"/>
  </cols>
  <sheetData>
    <row r="1" spans="1:12" ht="19.5">
      <c r="A1" s="342"/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</row>
    <row r="2" spans="1:12" ht="19.5">
      <c r="A2" s="343" t="s">
        <v>71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</row>
    <row r="3" spans="1:12" ht="19.5">
      <c r="A3" s="91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29"/>
    </row>
    <row r="4" spans="1:12" ht="19.5">
      <c r="A4" s="91"/>
      <c r="B4" s="29"/>
      <c r="C4" s="29"/>
      <c r="D4" s="29"/>
      <c r="E4" s="38"/>
      <c r="F4" s="29"/>
      <c r="G4" s="29"/>
      <c r="H4" s="82"/>
      <c r="I4" s="29"/>
      <c r="J4" s="39"/>
      <c r="K4" s="39"/>
      <c r="L4" s="29"/>
    </row>
    <row r="5" spans="1:12" ht="16.5" customHeight="1">
      <c r="A5" s="152" t="s">
        <v>24</v>
      </c>
      <c r="B5" s="344"/>
      <c r="C5" s="344"/>
      <c r="D5" s="344"/>
      <c r="E5" s="344"/>
      <c r="F5" s="345"/>
      <c r="G5" s="345"/>
      <c r="H5" s="345"/>
      <c r="I5" s="345"/>
      <c r="J5" s="39"/>
      <c r="K5" s="39"/>
      <c r="L5" s="86"/>
    </row>
    <row r="6" spans="1:12" ht="15.75" customHeight="1">
      <c r="A6" s="152"/>
      <c r="B6" s="40"/>
      <c r="C6" s="41"/>
      <c r="D6" s="41"/>
      <c r="E6" s="156"/>
      <c r="F6" s="41"/>
      <c r="G6" s="42"/>
      <c r="H6" s="42"/>
      <c r="I6" s="42"/>
      <c r="J6" s="43"/>
      <c r="K6" s="43"/>
      <c r="L6" s="87"/>
    </row>
    <row r="7" spans="1:12" ht="54" customHeight="1">
      <c r="A7" s="340" t="s">
        <v>35</v>
      </c>
      <c r="B7" s="340" t="s">
        <v>34</v>
      </c>
      <c r="C7" s="340" t="s">
        <v>33</v>
      </c>
      <c r="D7" s="340" t="s">
        <v>2</v>
      </c>
      <c r="E7" s="340"/>
      <c r="F7" s="341" t="s">
        <v>32</v>
      </c>
      <c r="G7" s="341"/>
      <c r="H7" s="340" t="s">
        <v>31</v>
      </c>
      <c r="I7" s="340"/>
      <c r="J7" s="340" t="s">
        <v>30</v>
      </c>
      <c r="K7" s="340"/>
      <c r="L7" s="341" t="s">
        <v>8</v>
      </c>
    </row>
    <row r="8" spans="1:12" ht="36">
      <c r="A8" s="340"/>
      <c r="B8" s="340"/>
      <c r="C8" s="340"/>
      <c r="D8" s="174" t="s">
        <v>29</v>
      </c>
      <c r="E8" s="174" t="s">
        <v>3</v>
      </c>
      <c r="F8" s="70" t="s">
        <v>28</v>
      </c>
      <c r="G8" s="175" t="s">
        <v>3</v>
      </c>
      <c r="H8" s="175" t="s">
        <v>28</v>
      </c>
      <c r="I8" s="175" t="s">
        <v>3</v>
      </c>
      <c r="J8" s="174" t="s">
        <v>27</v>
      </c>
      <c r="K8" s="175" t="s">
        <v>3</v>
      </c>
      <c r="L8" s="341"/>
    </row>
    <row r="9" spans="1:12" ht="18">
      <c r="A9" s="71" t="s">
        <v>49</v>
      </c>
      <c r="B9" s="71">
        <v>2</v>
      </c>
      <c r="C9" s="71">
        <v>4</v>
      </c>
      <c r="D9" s="71">
        <v>5</v>
      </c>
      <c r="E9" s="71">
        <v>6</v>
      </c>
      <c r="F9" s="72" t="s">
        <v>26</v>
      </c>
      <c r="G9" s="73">
        <v>8</v>
      </c>
      <c r="H9" s="72">
        <v>9</v>
      </c>
      <c r="I9" s="73">
        <v>10</v>
      </c>
      <c r="J9" s="71">
        <v>11</v>
      </c>
      <c r="K9" s="73">
        <v>12</v>
      </c>
      <c r="L9" s="73">
        <v>13</v>
      </c>
    </row>
    <row r="10" spans="1:12" ht="18">
      <c r="A10" s="74"/>
      <c r="B10" s="71" t="s">
        <v>85</v>
      </c>
      <c r="C10" s="71"/>
      <c r="D10" s="71"/>
      <c r="E10" s="71"/>
      <c r="F10" s="72"/>
      <c r="G10" s="73"/>
      <c r="H10" s="83"/>
      <c r="I10" s="73"/>
      <c r="J10" s="71"/>
      <c r="K10" s="73"/>
      <c r="L10" s="73"/>
    </row>
    <row r="11" spans="1:12" s="48" customFormat="1" ht="15.75">
      <c r="A11" s="34">
        <v>1</v>
      </c>
      <c r="B11" s="79" t="s">
        <v>126</v>
      </c>
      <c r="C11" s="34" t="s">
        <v>61</v>
      </c>
      <c r="D11" s="34"/>
      <c r="E11" s="77">
        <v>176.1</v>
      </c>
      <c r="F11" s="78"/>
      <c r="G11" s="44"/>
      <c r="H11" s="78"/>
      <c r="I11" s="45"/>
      <c r="J11" s="46"/>
      <c r="K11" s="46"/>
      <c r="L11" s="33"/>
    </row>
    <row r="12" spans="1:12">
      <c r="A12" s="67"/>
      <c r="B12" s="76" t="s">
        <v>50</v>
      </c>
      <c r="C12" s="32" t="s">
        <v>6</v>
      </c>
      <c r="D12" s="36">
        <v>1</v>
      </c>
      <c r="E12" s="49">
        <f>D12*E11</f>
        <v>176.1</v>
      </c>
      <c r="F12" s="32"/>
      <c r="G12" s="44"/>
      <c r="H12" s="33"/>
      <c r="I12" s="45">
        <f t="shared" ref="I12" si="0">E12*H12</f>
        <v>0</v>
      </c>
      <c r="J12" s="46"/>
      <c r="K12" s="46"/>
      <c r="L12" s="33">
        <f t="shared" ref="L12:L13" si="1">K12+I12+G12</f>
        <v>0</v>
      </c>
    </row>
    <row r="13" spans="1:12">
      <c r="A13" s="67"/>
      <c r="B13" s="76" t="s">
        <v>125</v>
      </c>
      <c r="C13" s="32" t="s">
        <v>6</v>
      </c>
      <c r="D13" s="36">
        <v>1.1000000000000001</v>
      </c>
      <c r="E13" s="49">
        <f>E11*D13</f>
        <v>193.71</v>
      </c>
      <c r="F13" s="32"/>
      <c r="G13" s="44">
        <f>F13*E13</f>
        <v>0</v>
      </c>
      <c r="H13" s="33"/>
      <c r="I13" s="45"/>
      <c r="J13" s="46"/>
      <c r="K13" s="46"/>
      <c r="L13" s="33">
        <f t="shared" si="1"/>
        <v>0</v>
      </c>
    </row>
    <row r="14" spans="1:12" customFormat="1" ht="31.9" customHeight="1">
      <c r="A14" s="35">
        <v>2</v>
      </c>
      <c r="B14" s="126" t="s">
        <v>127</v>
      </c>
      <c r="C14" s="35" t="s">
        <v>6</v>
      </c>
      <c r="D14" s="12"/>
      <c r="E14" s="115">
        <f>E11</f>
        <v>176.1</v>
      </c>
      <c r="F14" s="61"/>
      <c r="G14" s="61"/>
      <c r="H14" s="61"/>
      <c r="I14" s="61"/>
      <c r="J14" s="61"/>
      <c r="K14" s="61"/>
      <c r="L14" s="61"/>
    </row>
    <row r="15" spans="1:12" customFormat="1">
      <c r="A15" s="35"/>
      <c r="B15" s="127" t="s">
        <v>81</v>
      </c>
      <c r="C15" s="62" t="s">
        <v>6</v>
      </c>
      <c r="D15" s="62">
        <v>1</v>
      </c>
      <c r="E15" s="116">
        <f>E14*D15</f>
        <v>176.1</v>
      </c>
      <c r="F15" s="12"/>
      <c r="G15" s="12"/>
      <c r="H15" s="63"/>
      <c r="I15" s="63">
        <f>E15*H15</f>
        <v>0</v>
      </c>
      <c r="J15" s="63"/>
      <c r="K15" s="63"/>
      <c r="L15" s="63">
        <f>I15</f>
        <v>0</v>
      </c>
    </row>
    <row r="16" spans="1:12" customFormat="1">
      <c r="A16" s="35"/>
      <c r="B16" s="127" t="s">
        <v>86</v>
      </c>
      <c r="C16" s="62" t="s">
        <v>7</v>
      </c>
      <c r="D16" s="62">
        <v>0.1</v>
      </c>
      <c r="E16" s="116">
        <f>D16*E14</f>
        <v>17.61</v>
      </c>
      <c r="F16" s="63"/>
      <c r="G16" s="63">
        <f>F16*E16</f>
        <v>0</v>
      </c>
      <c r="H16" s="85"/>
      <c r="I16" s="12"/>
      <c r="J16" s="63"/>
      <c r="K16" s="63"/>
      <c r="L16" s="63">
        <f>G16</f>
        <v>0</v>
      </c>
    </row>
    <row r="17" spans="1:13" s="220" customFormat="1" ht="30">
      <c r="A17" s="377">
        <v>3</v>
      </c>
      <c r="B17" s="378" t="s">
        <v>355</v>
      </c>
      <c r="C17" s="379" t="s">
        <v>61</v>
      </c>
      <c r="D17" s="122"/>
      <c r="E17" s="131">
        <v>176.1</v>
      </c>
      <c r="F17" s="132"/>
      <c r="G17" s="132">
        <f t="shared" ref="G17:G23" si="2">E17*F17</f>
        <v>0</v>
      </c>
      <c r="H17" s="132"/>
      <c r="I17" s="132">
        <f>H17*E17</f>
        <v>0</v>
      </c>
      <c r="J17" s="132"/>
      <c r="K17" s="132">
        <f>E17*J17</f>
        <v>0</v>
      </c>
      <c r="L17" s="132">
        <f>K17+I17+G17</f>
        <v>0</v>
      </c>
    </row>
    <row r="18" spans="1:13" customFormat="1">
      <c r="A18" s="35"/>
      <c r="B18" s="133" t="s">
        <v>50</v>
      </c>
      <c r="C18" s="32" t="s">
        <v>6</v>
      </c>
      <c r="D18" s="130">
        <v>1</v>
      </c>
      <c r="E18" s="132">
        <f>D18*E17</f>
        <v>176.1</v>
      </c>
      <c r="F18" s="132"/>
      <c r="G18" s="132">
        <f t="shared" si="2"/>
        <v>0</v>
      </c>
      <c r="H18" s="132"/>
      <c r="I18" s="132">
        <f>H18*E18</f>
        <v>0</v>
      </c>
      <c r="J18" s="132"/>
      <c r="K18" s="132">
        <f>E18*J18</f>
        <v>0</v>
      </c>
      <c r="L18" s="132">
        <f>K18+I18+G18</f>
        <v>0</v>
      </c>
    </row>
    <row r="19" spans="1:13" customFormat="1">
      <c r="A19" s="35"/>
      <c r="B19" s="133" t="s">
        <v>163</v>
      </c>
      <c r="C19" s="134" t="s">
        <v>1</v>
      </c>
      <c r="D19" s="130">
        <v>0.05</v>
      </c>
      <c r="E19" s="132">
        <f>D19*E17</f>
        <v>8.8049999999999997</v>
      </c>
      <c r="F19" s="132"/>
      <c r="G19" s="132">
        <f t="shared" si="2"/>
        <v>0</v>
      </c>
      <c r="H19" s="132"/>
      <c r="I19" s="132">
        <f>H19*E19</f>
        <v>0</v>
      </c>
      <c r="J19" s="132"/>
      <c r="K19" s="132">
        <f>E19*J19</f>
        <v>0</v>
      </c>
      <c r="L19" s="132">
        <f>K19+I19+G19</f>
        <v>0</v>
      </c>
    </row>
    <row r="20" spans="1:13" customFormat="1" ht="15.75">
      <c r="A20" s="35"/>
      <c r="B20" s="135" t="s">
        <v>226</v>
      </c>
      <c r="C20" s="136" t="s">
        <v>6</v>
      </c>
      <c r="D20" s="130">
        <v>1.02</v>
      </c>
      <c r="E20" s="132">
        <f>D20*E17</f>
        <v>179.62199999999999</v>
      </c>
      <c r="F20" s="132"/>
      <c r="G20" s="132">
        <f t="shared" ref="G20" si="3">E20*F20</f>
        <v>0</v>
      </c>
      <c r="H20" s="132"/>
      <c r="I20" s="132">
        <f t="shared" ref="I20" si="4">H20*E20</f>
        <v>0</v>
      </c>
      <c r="J20" s="132"/>
      <c r="K20" s="132">
        <f>E20*J20</f>
        <v>0</v>
      </c>
      <c r="L20" s="132">
        <f t="shared" ref="L20" si="5">K20+I20+G20</f>
        <v>0</v>
      </c>
    </row>
    <row r="21" spans="1:13" customFormat="1" ht="15.75">
      <c r="A21" s="35"/>
      <c r="B21" s="135" t="s">
        <v>164</v>
      </c>
      <c r="C21" s="136" t="s">
        <v>10</v>
      </c>
      <c r="D21" s="130">
        <v>6.25</v>
      </c>
      <c r="E21" s="132">
        <f>D21*E17</f>
        <v>1100.625</v>
      </c>
      <c r="F21" s="132"/>
      <c r="G21" s="132">
        <f t="shared" si="2"/>
        <v>0</v>
      </c>
      <c r="H21" s="132"/>
      <c r="I21" s="132">
        <f t="shared" ref="I21:I23" si="6">H21*E21</f>
        <v>0</v>
      </c>
      <c r="J21" s="132"/>
      <c r="K21" s="132">
        <f>E21*J21</f>
        <v>0</v>
      </c>
      <c r="L21" s="132">
        <f t="shared" ref="L21:L23" si="7">K21+I21+G21</f>
        <v>0</v>
      </c>
    </row>
    <row r="22" spans="1:13" customFormat="1" ht="15.75">
      <c r="A22" s="35"/>
      <c r="B22" s="135" t="s">
        <v>165</v>
      </c>
      <c r="C22" s="136" t="s">
        <v>10</v>
      </c>
      <c r="D22" s="130">
        <v>0.2</v>
      </c>
      <c r="E22" s="132">
        <f>D22*E17</f>
        <v>35.22</v>
      </c>
      <c r="F22" s="132"/>
      <c r="G22" s="132">
        <f t="shared" si="2"/>
        <v>0</v>
      </c>
      <c r="H22" s="132"/>
      <c r="I22" s="132">
        <f t="shared" si="6"/>
        <v>0</v>
      </c>
      <c r="J22" s="132"/>
      <c r="K22" s="132">
        <f t="shared" ref="K22:K23" si="8">E22*J22</f>
        <v>0</v>
      </c>
      <c r="L22" s="132">
        <f t="shared" si="7"/>
        <v>0</v>
      </c>
    </row>
    <row r="23" spans="1:13" customFormat="1">
      <c r="A23" s="35"/>
      <c r="B23" s="137" t="s">
        <v>166</v>
      </c>
      <c r="C23" s="138" t="s">
        <v>1</v>
      </c>
      <c r="D23" s="130">
        <v>0.05</v>
      </c>
      <c r="E23" s="132">
        <f>D23*E17</f>
        <v>8.8049999999999997</v>
      </c>
      <c r="F23" s="132"/>
      <c r="G23" s="132">
        <f t="shared" si="2"/>
        <v>0</v>
      </c>
      <c r="H23" s="132"/>
      <c r="I23" s="132">
        <f t="shared" si="6"/>
        <v>0</v>
      </c>
      <c r="J23" s="132"/>
      <c r="K23" s="132">
        <f t="shared" si="8"/>
        <v>0</v>
      </c>
      <c r="L23" s="132">
        <f t="shared" si="7"/>
        <v>0</v>
      </c>
    </row>
    <row r="24" spans="1:13" customFormat="1">
      <c r="A24" s="35">
        <v>4</v>
      </c>
      <c r="B24" s="128" t="s">
        <v>223</v>
      </c>
      <c r="C24" s="129" t="s">
        <v>60</v>
      </c>
      <c r="D24" s="130"/>
      <c r="E24" s="131">
        <f>99.41</f>
        <v>99.41</v>
      </c>
      <c r="F24" s="132"/>
      <c r="G24" s="132">
        <f t="shared" ref="G24:G36" si="9">E24*F24</f>
        <v>0</v>
      </c>
      <c r="H24" s="132"/>
      <c r="I24" s="132">
        <f>H24*E24</f>
        <v>0</v>
      </c>
      <c r="J24" s="132"/>
      <c r="K24" s="132">
        <f>E24*J24</f>
        <v>0</v>
      </c>
      <c r="L24" s="132">
        <f>K24+I24+G24</f>
        <v>0</v>
      </c>
    </row>
    <row r="25" spans="1:13" customFormat="1">
      <c r="A25" s="35"/>
      <c r="B25" s="133" t="s">
        <v>50</v>
      </c>
      <c r="C25" s="32" t="s">
        <v>6</v>
      </c>
      <c r="D25" s="130">
        <v>1</v>
      </c>
      <c r="E25" s="132">
        <f>D25*E24</f>
        <v>99.41</v>
      </c>
      <c r="F25" s="132"/>
      <c r="G25" s="132">
        <f t="shared" si="9"/>
        <v>0</v>
      </c>
      <c r="H25" s="132"/>
      <c r="I25" s="132">
        <f>H25*E25</f>
        <v>0</v>
      </c>
      <c r="J25" s="132"/>
      <c r="K25" s="132">
        <f>E25*J25</f>
        <v>0</v>
      </c>
      <c r="L25" s="132">
        <f>K25+I25+G25</f>
        <v>0</v>
      </c>
    </row>
    <row r="26" spans="1:13" customFormat="1">
      <c r="A26" s="35"/>
      <c r="B26" s="133" t="s">
        <v>163</v>
      </c>
      <c r="C26" s="134" t="s">
        <v>1</v>
      </c>
      <c r="D26" s="130">
        <v>0.05</v>
      </c>
      <c r="E26" s="132">
        <f>D26*E24</f>
        <v>4.9705000000000004</v>
      </c>
      <c r="F26" s="132"/>
      <c r="G26" s="132">
        <f t="shared" si="9"/>
        <v>0</v>
      </c>
      <c r="H26" s="132"/>
      <c r="I26" s="132">
        <f>H26*E26</f>
        <v>0</v>
      </c>
      <c r="J26" s="132"/>
      <c r="K26" s="132">
        <f>E26*J26</f>
        <v>0</v>
      </c>
      <c r="L26" s="132">
        <f>K26+I26+G26</f>
        <v>0</v>
      </c>
      <c r="M26" s="151"/>
    </row>
    <row r="27" spans="1:13" customFormat="1" ht="15.75">
      <c r="A27" s="35"/>
      <c r="B27" s="135" t="s">
        <v>224</v>
      </c>
      <c r="C27" s="136" t="s">
        <v>60</v>
      </c>
      <c r="D27" s="130">
        <v>1</v>
      </c>
      <c r="E27" s="132">
        <f>E24*D27</f>
        <v>99.41</v>
      </c>
      <c r="F27" s="132"/>
      <c r="G27" s="132">
        <f t="shared" ref="G27" si="10">E27*F27</f>
        <v>0</v>
      </c>
      <c r="H27" s="132"/>
      <c r="I27" s="132">
        <f t="shared" ref="I27" si="11">H27*E27</f>
        <v>0</v>
      </c>
      <c r="J27" s="132"/>
      <c r="K27" s="132">
        <f>E27*J27</f>
        <v>0</v>
      </c>
      <c r="L27" s="132">
        <f t="shared" ref="L27" si="12">K27+I27+G27</f>
        <v>0</v>
      </c>
    </row>
    <row r="28" spans="1:13" customFormat="1" ht="15.75">
      <c r="A28" s="35"/>
      <c r="B28" s="135" t="s">
        <v>225</v>
      </c>
      <c r="C28" s="136" t="s">
        <v>10</v>
      </c>
      <c r="D28" s="130">
        <v>0.15</v>
      </c>
      <c r="E28" s="132">
        <f>D28*E24</f>
        <v>14.911499999999998</v>
      </c>
      <c r="F28" s="132"/>
      <c r="G28" s="132">
        <f t="shared" si="9"/>
        <v>0</v>
      </c>
      <c r="H28" s="132"/>
      <c r="I28" s="132">
        <f t="shared" ref="I28:I29" si="13">H28*E28</f>
        <v>0</v>
      </c>
      <c r="J28" s="132"/>
      <c r="K28" s="132">
        <f>E28*J28</f>
        <v>0</v>
      </c>
      <c r="L28" s="132">
        <f t="shared" ref="L28:L29" si="14">K28+I28+G28</f>
        <v>0</v>
      </c>
    </row>
    <row r="29" spans="1:13" customFormat="1">
      <c r="A29" s="35"/>
      <c r="B29" s="137" t="s">
        <v>166</v>
      </c>
      <c r="C29" s="138" t="s">
        <v>1</v>
      </c>
      <c r="D29" s="130">
        <v>0.05</v>
      </c>
      <c r="E29" s="132">
        <f>D29*E24</f>
        <v>4.9705000000000004</v>
      </c>
      <c r="F29" s="132"/>
      <c r="G29" s="132">
        <f t="shared" si="9"/>
        <v>0</v>
      </c>
      <c r="H29" s="132"/>
      <c r="I29" s="132">
        <f t="shared" si="13"/>
        <v>0</v>
      </c>
      <c r="J29" s="132"/>
      <c r="K29" s="132">
        <f t="shared" ref="K29" si="15">E29*J29</f>
        <v>0</v>
      </c>
      <c r="L29" s="132">
        <f t="shared" si="14"/>
        <v>0</v>
      </c>
    </row>
    <row r="30" spans="1:13" customFormat="1" ht="15.75">
      <c r="A30" s="35">
        <v>5</v>
      </c>
      <c r="B30" s="128" t="s">
        <v>228</v>
      </c>
      <c r="C30" s="129" t="s">
        <v>61</v>
      </c>
      <c r="D30" s="130"/>
      <c r="E30" s="131">
        <f>10.48*3+5.25*3+5*3-1.15</f>
        <v>61.04</v>
      </c>
      <c r="F30" s="132"/>
      <c r="G30" s="132">
        <f t="shared" si="9"/>
        <v>0</v>
      </c>
      <c r="H30" s="132"/>
      <c r="I30" s="132">
        <f>H30*E30</f>
        <v>0</v>
      </c>
      <c r="J30" s="132"/>
      <c r="K30" s="132">
        <f>E30*J30</f>
        <v>0</v>
      </c>
      <c r="L30" s="132">
        <f>K30+I30+G30</f>
        <v>0</v>
      </c>
    </row>
    <row r="31" spans="1:13" customFormat="1">
      <c r="A31" s="35"/>
      <c r="B31" s="133" t="s">
        <v>50</v>
      </c>
      <c r="C31" s="32" t="s">
        <v>6</v>
      </c>
      <c r="D31" s="130">
        <v>1</v>
      </c>
      <c r="E31" s="132">
        <f>D31*E30</f>
        <v>61.04</v>
      </c>
      <c r="F31" s="132"/>
      <c r="G31" s="132">
        <f t="shared" si="9"/>
        <v>0</v>
      </c>
      <c r="H31" s="132"/>
      <c r="I31" s="132">
        <f>H31*E31</f>
        <v>0</v>
      </c>
      <c r="J31" s="132"/>
      <c r="K31" s="132">
        <f>E31*J31</f>
        <v>0</v>
      </c>
      <c r="L31" s="132">
        <f>K31+I31+G31</f>
        <v>0</v>
      </c>
    </row>
    <row r="32" spans="1:13" customFormat="1">
      <c r="A32" s="35"/>
      <c r="B32" s="133" t="s">
        <v>163</v>
      </c>
      <c r="C32" s="134" t="s">
        <v>1</v>
      </c>
      <c r="D32" s="130">
        <v>0.05</v>
      </c>
      <c r="E32" s="132">
        <f>D32*E30</f>
        <v>3.052</v>
      </c>
      <c r="F32" s="132"/>
      <c r="G32" s="132">
        <f t="shared" si="9"/>
        <v>0</v>
      </c>
      <c r="H32" s="132"/>
      <c r="I32" s="132">
        <f>H32*E32</f>
        <v>0</v>
      </c>
      <c r="J32" s="132"/>
      <c r="K32" s="132">
        <f>E32*J32</f>
        <v>0</v>
      </c>
      <c r="L32" s="132">
        <f>K32+I32+G32</f>
        <v>0</v>
      </c>
    </row>
    <row r="33" spans="1:12" customFormat="1" ht="15.75">
      <c r="A33" s="35"/>
      <c r="B33" s="135" t="s">
        <v>227</v>
      </c>
      <c r="C33" s="136" t="s">
        <v>6</v>
      </c>
      <c r="D33" s="130">
        <v>1.02</v>
      </c>
      <c r="E33" s="132">
        <f>E30*D33</f>
        <v>62.260800000000003</v>
      </c>
      <c r="F33" s="132"/>
      <c r="G33" s="132">
        <f t="shared" si="9"/>
        <v>0</v>
      </c>
      <c r="H33" s="132"/>
      <c r="I33" s="132">
        <f t="shared" ref="I33" si="16">H33*E33</f>
        <v>0</v>
      </c>
      <c r="J33" s="132"/>
      <c r="K33" s="132">
        <f>E33*J33</f>
        <v>0</v>
      </c>
      <c r="L33" s="132">
        <f t="shared" ref="L33" si="17">K33+I33+G33</f>
        <v>0</v>
      </c>
    </row>
    <row r="34" spans="1:12" customFormat="1" ht="15.75">
      <c r="A34" s="35"/>
      <c r="B34" s="135" t="s">
        <v>164</v>
      </c>
      <c r="C34" s="136" t="s">
        <v>10</v>
      </c>
      <c r="D34" s="130">
        <v>6.25</v>
      </c>
      <c r="E34" s="132">
        <f>D34*E30</f>
        <v>381.5</v>
      </c>
      <c r="F34" s="132"/>
      <c r="G34" s="132">
        <f t="shared" si="9"/>
        <v>0</v>
      </c>
      <c r="H34" s="132"/>
      <c r="I34" s="132">
        <f t="shared" ref="I34:I36" si="18">H34*E34</f>
        <v>0</v>
      </c>
      <c r="J34" s="132"/>
      <c r="K34" s="132">
        <f>E34*J34</f>
        <v>0</v>
      </c>
      <c r="L34" s="132">
        <f t="shared" ref="L34:L36" si="19">K34+I34+G34</f>
        <v>0</v>
      </c>
    </row>
    <row r="35" spans="1:12" customFormat="1" ht="15.75">
      <c r="A35" s="35"/>
      <c r="B35" s="135" t="s">
        <v>165</v>
      </c>
      <c r="C35" s="136" t="s">
        <v>10</v>
      </c>
      <c r="D35" s="130">
        <v>0.2</v>
      </c>
      <c r="E35" s="132">
        <f>D35*E30</f>
        <v>12.208</v>
      </c>
      <c r="F35" s="132"/>
      <c r="G35" s="132">
        <f t="shared" si="9"/>
        <v>0</v>
      </c>
      <c r="H35" s="132"/>
      <c r="I35" s="132">
        <f t="shared" si="18"/>
        <v>0</v>
      </c>
      <c r="J35" s="132"/>
      <c r="K35" s="132">
        <f t="shared" ref="K35:K36" si="20">E35*J35</f>
        <v>0</v>
      </c>
      <c r="L35" s="132">
        <f t="shared" si="19"/>
        <v>0</v>
      </c>
    </row>
    <row r="36" spans="1:12" customFormat="1">
      <c r="A36" s="35"/>
      <c r="B36" s="137" t="s">
        <v>166</v>
      </c>
      <c r="C36" s="138" t="s">
        <v>1</v>
      </c>
      <c r="D36" s="130">
        <v>0.05</v>
      </c>
      <c r="E36" s="132">
        <f>D36*E30</f>
        <v>3.052</v>
      </c>
      <c r="F36" s="132"/>
      <c r="G36" s="132">
        <f t="shared" si="9"/>
        <v>0</v>
      </c>
      <c r="H36" s="132"/>
      <c r="I36" s="132">
        <f t="shared" si="18"/>
        <v>0</v>
      </c>
      <c r="J36" s="132"/>
      <c r="K36" s="132">
        <f t="shared" si="20"/>
        <v>0</v>
      </c>
      <c r="L36" s="132">
        <f t="shared" si="19"/>
        <v>0</v>
      </c>
    </row>
    <row r="37" spans="1:12" customFormat="1" ht="18">
      <c r="A37" s="35"/>
      <c r="B37" s="74" t="s">
        <v>128</v>
      </c>
      <c r="C37" s="62"/>
      <c r="D37" s="62"/>
      <c r="E37" s="116"/>
      <c r="F37" s="63"/>
      <c r="G37" s="63"/>
      <c r="H37" s="85"/>
      <c r="I37" s="12"/>
      <c r="J37" s="63"/>
      <c r="K37" s="63"/>
      <c r="L37" s="63"/>
    </row>
    <row r="38" spans="1:12" ht="47.45" customHeight="1">
      <c r="A38" s="67">
        <v>6</v>
      </c>
      <c r="B38" s="79" t="s">
        <v>198</v>
      </c>
      <c r="C38" s="30" t="s">
        <v>6</v>
      </c>
      <c r="D38" s="30"/>
      <c r="E38" s="117">
        <f>48*4.5*1.01</f>
        <v>218.16</v>
      </c>
      <c r="F38" s="32"/>
      <c r="G38" s="44"/>
      <c r="H38" s="33"/>
      <c r="I38" s="45"/>
      <c r="J38" s="46"/>
      <c r="K38" s="46"/>
      <c r="L38" s="33"/>
    </row>
    <row r="39" spans="1:12">
      <c r="A39" s="67"/>
      <c r="B39" s="76" t="s">
        <v>59</v>
      </c>
      <c r="C39" s="62" t="s">
        <v>6</v>
      </c>
      <c r="D39" s="32">
        <v>1</v>
      </c>
      <c r="E39" s="118">
        <f>D39*E38</f>
        <v>218.16</v>
      </c>
      <c r="F39" s="32"/>
      <c r="G39" s="44"/>
      <c r="H39" s="33"/>
      <c r="I39" s="45">
        <f t="shared" ref="I39" si="21">E39*H39</f>
        <v>0</v>
      </c>
      <c r="J39" s="46"/>
      <c r="K39" s="46"/>
      <c r="L39" s="33">
        <f t="shared" ref="L39:L40" si="22">K39+I39+G39</f>
        <v>0</v>
      </c>
    </row>
    <row r="40" spans="1:12">
      <c r="A40" s="67"/>
      <c r="B40" s="76" t="s">
        <v>129</v>
      </c>
      <c r="C40" s="32" t="s">
        <v>6</v>
      </c>
      <c r="D40" s="32">
        <v>1.05</v>
      </c>
      <c r="E40" s="118">
        <f>D40*E38</f>
        <v>229.06800000000001</v>
      </c>
      <c r="F40" s="33"/>
      <c r="G40" s="44">
        <f t="shared" ref="G40" si="23">F40*E40</f>
        <v>0</v>
      </c>
      <c r="H40" s="33"/>
      <c r="I40" s="45"/>
      <c r="J40" s="46"/>
      <c r="K40" s="46"/>
      <c r="L40" s="33">
        <f t="shared" si="22"/>
        <v>0</v>
      </c>
    </row>
    <row r="41" spans="1:12" ht="41.45" customHeight="1">
      <c r="A41" s="67">
        <v>7</v>
      </c>
      <c r="B41" s="79" t="s">
        <v>204</v>
      </c>
      <c r="C41" s="30" t="s">
        <v>45</v>
      </c>
      <c r="D41" s="30"/>
      <c r="E41" s="117">
        <v>8</v>
      </c>
      <c r="F41" s="32"/>
      <c r="G41" s="44"/>
      <c r="H41" s="33"/>
      <c r="I41" s="45"/>
      <c r="J41" s="46"/>
      <c r="K41" s="46"/>
      <c r="L41" s="33"/>
    </row>
    <row r="42" spans="1:12">
      <c r="A42" s="67"/>
      <c r="B42" s="76" t="s">
        <v>59</v>
      </c>
      <c r="C42" s="62" t="s">
        <v>45</v>
      </c>
      <c r="D42" s="32">
        <v>1</v>
      </c>
      <c r="E42" s="118">
        <f>D42*E41</f>
        <v>8</v>
      </c>
      <c r="F42" s="32"/>
      <c r="G42" s="44"/>
      <c r="H42" s="33"/>
      <c r="I42" s="45">
        <f t="shared" ref="I42" si="24">E42*H42</f>
        <v>0</v>
      </c>
      <c r="J42" s="46"/>
      <c r="K42" s="46"/>
      <c r="L42" s="33">
        <f t="shared" ref="L42:L43" si="25">K42+I42+G42</f>
        <v>0</v>
      </c>
    </row>
    <row r="43" spans="1:12">
      <c r="A43" s="67"/>
      <c r="B43" s="76" t="s">
        <v>199</v>
      </c>
      <c r="C43" s="32" t="s">
        <v>45</v>
      </c>
      <c r="D43" s="32"/>
      <c r="E43" s="118">
        <v>8</v>
      </c>
      <c r="F43" s="33"/>
      <c r="G43" s="44">
        <f t="shared" ref="G43" si="26">F43*E43</f>
        <v>0</v>
      </c>
      <c r="H43" s="33"/>
      <c r="I43" s="45"/>
      <c r="J43" s="46"/>
      <c r="K43" s="46"/>
      <c r="L43" s="33">
        <f t="shared" si="25"/>
        <v>0</v>
      </c>
    </row>
    <row r="44" spans="1:12" ht="25.5">
      <c r="A44" s="67">
        <v>8</v>
      </c>
      <c r="B44" s="125" t="s">
        <v>161</v>
      </c>
      <c r="C44" s="92" t="s">
        <v>131</v>
      </c>
      <c r="D44" s="93"/>
      <c r="E44" s="117">
        <v>101.87</v>
      </c>
      <c r="F44" s="94"/>
      <c r="G44" s="95">
        <f t="shared" ref="G44:G60" si="27">E44*F44</f>
        <v>0</v>
      </c>
      <c r="H44" s="94"/>
      <c r="I44" s="95">
        <f t="shared" ref="I44:I45" si="28">H44*E44</f>
        <v>0</v>
      </c>
      <c r="J44" s="94"/>
      <c r="K44" s="95">
        <f t="shared" ref="K44" si="29">E44*J44</f>
        <v>0</v>
      </c>
      <c r="L44" s="95">
        <f t="shared" ref="L44:L60" si="30">K44+I44+G44</f>
        <v>0</v>
      </c>
    </row>
    <row r="45" spans="1:12">
      <c r="A45" s="67"/>
      <c r="B45" s="96" t="s">
        <v>50</v>
      </c>
      <c r="C45" s="62" t="s">
        <v>6</v>
      </c>
      <c r="D45" s="98">
        <v>1</v>
      </c>
      <c r="E45" s="119">
        <f>D45*E44</f>
        <v>101.87</v>
      </c>
      <c r="F45" s="33"/>
      <c r="G45" s="33"/>
      <c r="H45" s="33"/>
      <c r="I45" s="33">
        <f t="shared" si="28"/>
        <v>0</v>
      </c>
      <c r="J45" s="33"/>
      <c r="K45" s="33"/>
      <c r="L45" s="33">
        <f t="shared" si="30"/>
        <v>0</v>
      </c>
    </row>
    <row r="46" spans="1:12" ht="15.75">
      <c r="A46" s="67"/>
      <c r="B46" s="101" t="s">
        <v>162</v>
      </c>
      <c r="C46" s="102" t="s">
        <v>132</v>
      </c>
      <c r="D46" s="98">
        <v>7.2</v>
      </c>
      <c r="E46" s="119">
        <f>D46*E44</f>
        <v>733.46400000000006</v>
      </c>
      <c r="F46" s="33"/>
      <c r="G46" s="33">
        <f t="shared" si="27"/>
        <v>0</v>
      </c>
      <c r="H46" s="33"/>
      <c r="I46" s="33"/>
      <c r="J46" s="33"/>
      <c r="K46" s="33"/>
      <c r="L46" s="33">
        <f t="shared" si="30"/>
        <v>0</v>
      </c>
    </row>
    <row r="47" spans="1:12">
      <c r="A47" s="67"/>
      <c r="B47" s="103" t="s">
        <v>133</v>
      </c>
      <c r="C47" s="97" t="s">
        <v>60</v>
      </c>
      <c r="D47" s="98">
        <f>2*2</f>
        <v>4</v>
      </c>
      <c r="E47" s="119">
        <f>D47*E44</f>
        <v>407.48</v>
      </c>
      <c r="F47" s="33"/>
      <c r="G47" s="33">
        <f t="shared" si="27"/>
        <v>0</v>
      </c>
      <c r="H47" s="33"/>
      <c r="I47" s="33"/>
      <c r="J47" s="33"/>
      <c r="K47" s="33"/>
      <c r="L47" s="33">
        <f t="shared" si="30"/>
        <v>0</v>
      </c>
    </row>
    <row r="48" spans="1:12" ht="21" customHeight="1">
      <c r="A48" s="67"/>
      <c r="B48" s="107" t="s">
        <v>134</v>
      </c>
      <c r="C48" s="97" t="s">
        <v>60</v>
      </c>
      <c r="D48" s="98">
        <f>0.7</f>
        <v>0.7</v>
      </c>
      <c r="E48" s="119">
        <f>D48*E44</f>
        <v>71.308999999999997</v>
      </c>
      <c r="F48" s="33"/>
      <c r="G48" s="33">
        <f t="shared" si="27"/>
        <v>0</v>
      </c>
      <c r="H48" s="33"/>
      <c r="I48" s="33"/>
      <c r="J48" s="33"/>
      <c r="K48" s="33"/>
      <c r="L48" s="33">
        <f t="shared" si="30"/>
        <v>0</v>
      </c>
    </row>
    <row r="49" spans="1:12">
      <c r="A49" s="67"/>
      <c r="B49" s="101" t="s">
        <v>135</v>
      </c>
      <c r="C49" s="97" t="s">
        <v>45</v>
      </c>
      <c r="D49" s="98">
        <v>1.5</v>
      </c>
      <c r="E49" s="119">
        <f>D49*E44</f>
        <v>152.80500000000001</v>
      </c>
      <c r="F49" s="33"/>
      <c r="G49" s="33">
        <f t="shared" si="27"/>
        <v>0</v>
      </c>
      <c r="H49" s="33"/>
      <c r="I49" s="33"/>
      <c r="J49" s="33"/>
      <c r="K49" s="33"/>
      <c r="L49" s="33">
        <f t="shared" si="30"/>
        <v>0</v>
      </c>
    </row>
    <row r="50" spans="1:12">
      <c r="A50" s="67"/>
      <c r="B50" s="101" t="s">
        <v>136</v>
      </c>
      <c r="C50" s="97" t="s">
        <v>45</v>
      </c>
      <c r="D50" s="98">
        <v>14</v>
      </c>
      <c r="E50" s="119">
        <f>D50*E44</f>
        <v>1426.18</v>
      </c>
      <c r="F50" s="33"/>
      <c r="G50" s="33">
        <f t="shared" si="27"/>
        <v>0</v>
      </c>
      <c r="H50" s="33"/>
      <c r="I50" s="33"/>
      <c r="J50" s="33"/>
      <c r="K50" s="33"/>
      <c r="L50" s="33">
        <f t="shared" si="30"/>
        <v>0</v>
      </c>
    </row>
    <row r="51" spans="1:12">
      <c r="A51" s="67"/>
      <c r="B51" s="101" t="s">
        <v>137</v>
      </c>
      <c r="C51" s="97" t="s">
        <v>45</v>
      </c>
      <c r="D51" s="98">
        <v>30</v>
      </c>
      <c r="E51" s="119">
        <f>D51*E44</f>
        <v>3056.1000000000004</v>
      </c>
      <c r="F51" s="33"/>
      <c r="G51" s="33">
        <f t="shared" si="27"/>
        <v>0</v>
      </c>
      <c r="H51" s="33"/>
      <c r="I51" s="33"/>
      <c r="J51" s="33"/>
      <c r="K51" s="33"/>
      <c r="L51" s="33">
        <f t="shared" si="30"/>
        <v>0</v>
      </c>
    </row>
    <row r="52" spans="1:12">
      <c r="A52" s="67"/>
      <c r="B52" s="101" t="s">
        <v>138</v>
      </c>
      <c r="C52" s="97" t="s">
        <v>60</v>
      </c>
      <c r="D52" s="98">
        <v>2.2000000000000002</v>
      </c>
      <c r="E52" s="119">
        <f>D52*E44</f>
        <v>224.11400000000003</v>
      </c>
      <c r="F52" s="33"/>
      <c r="G52" s="33">
        <f t="shared" si="27"/>
        <v>0</v>
      </c>
      <c r="H52" s="33"/>
      <c r="I52" s="33"/>
      <c r="J52" s="33"/>
      <c r="K52" s="33"/>
      <c r="L52" s="33">
        <f t="shared" si="30"/>
        <v>0</v>
      </c>
    </row>
    <row r="53" spans="1:12">
      <c r="A53" s="67"/>
      <c r="B53" s="101" t="s">
        <v>139</v>
      </c>
      <c r="C53" s="97" t="s">
        <v>10</v>
      </c>
      <c r="D53" s="98">
        <v>1.5</v>
      </c>
      <c r="E53" s="119">
        <f>D53*E44</f>
        <v>152.80500000000001</v>
      </c>
      <c r="F53" s="33"/>
      <c r="G53" s="33">
        <f t="shared" si="27"/>
        <v>0</v>
      </c>
      <c r="H53" s="33"/>
      <c r="I53" s="33"/>
      <c r="J53" s="33"/>
      <c r="K53" s="33"/>
      <c r="L53" s="33">
        <f t="shared" si="30"/>
        <v>0</v>
      </c>
    </row>
    <row r="54" spans="1:12" ht="15.75">
      <c r="A54" s="67"/>
      <c r="B54" s="101" t="s">
        <v>140</v>
      </c>
      <c r="C54" s="104" t="s">
        <v>141</v>
      </c>
      <c r="D54" s="98">
        <v>2.1</v>
      </c>
      <c r="E54" s="119">
        <f>D54*E44</f>
        <v>213.92700000000002</v>
      </c>
      <c r="F54" s="33"/>
      <c r="G54" s="33">
        <f t="shared" si="27"/>
        <v>0</v>
      </c>
      <c r="H54" s="33"/>
      <c r="I54" s="33"/>
      <c r="J54" s="33"/>
      <c r="K54" s="33"/>
      <c r="L54" s="33">
        <f t="shared" si="30"/>
        <v>0</v>
      </c>
    </row>
    <row r="55" spans="1:12" ht="16.5">
      <c r="A55" s="67">
        <v>9</v>
      </c>
      <c r="B55" s="108" t="s">
        <v>205</v>
      </c>
      <c r="C55" s="92" t="s">
        <v>131</v>
      </c>
      <c r="D55" s="109"/>
      <c r="E55" s="157">
        <f>E44*2-E30</f>
        <v>142.70000000000002</v>
      </c>
      <c r="F55" s="110"/>
      <c r="G55" s="139">
        <f t="shared" si="27"/>
        <v>0</v>
      </c>
      <c r="H55" s="110"/>
      <c r="I55" s="139">
        <f t="shared" ref="I55:I60" si="31">H55*E55</f>
        <v>0</v>
      </c>
      <c r="J55" s="110"/>
      <c r="K55" s="139">
        <f t="shared" ref="K55:K60" si="32">E55*J55</f>
        <v>0</v>
      </c>
      <c r="L55" s="139">
        <f t="shared" si="30"/>
        <v>0</v>
      </c>
    </row>
    <row r="56" spans="1:12">
      <c r="A56" s="67"/>
      <c r="B56" s="96" t="s">
        <v>62</v>
      </c>
      <c r="C56" s="62" t="s">
        <v>6</v>
      </c>
      <c r="D56" s="140">
        <v>1</v>
      </c>
      <c r="E56" s="158">
        <f>E55*D56</f>
        <v>142.70000000000002</v>
      </c>
      <c r="F56" s="100"/>
      <c r="G56" s="139">
        <f t="shared" si="27"/>
        <v>0</v>
      </c>
      <c r="H56" s="33"/>
      <c r="I56" s="139">
        <f t="shared" si="31"/>
        <v>0</v>
      </c>
      <c r="J56" s="100"/>
      <c r="K56" s="139">
        <f t="shared" si="32"/>
        <v>0</v>
      </c>
      <c r="L56" s="139">
        <f t="shared" si="30"/>
        <v>0</v>
      </c>
    </row>
    <row r="57" spans="1:12">
      <c r="A57" s="67"/>
      <c r="B57" s="96" t="s">
        <v>163</v>
      </c>
      <c r="C57" s="104" t="s">
        <v>1</v>
      </c>
      <c r="D57" s="141">
        <v>0.01</v>
      </c>
      <c r="E57" s="159">
        <f>D57*E55</f>
        <v>1.4270000000000003</v>
      </c>
      <c r="F57" s="142"/>
      <c r="G57" s="139">
        <f t="shared" si="27"/>
        <v>0</v>
      </c>
      <c r="H57" s="143"/>
      <c r="I57" s="139">
        <f t="shared" si="31"/>
        <v>0</v>
      </c>
      <c r="J57" s="144"/>
      <c r="K57" s="139">
        <f t="shared" si="32"/>
        <v>0</v>
      </c>
      <c r="L57" s="139">
        <f t="shared" si="30"/>
        <v>0</v>
      </c>
    </row>
    <row r="58" spans="1:12">
      <c r="A58" s="67"/>
      <c r="B58" s="145" t="s">
        <v>167</v>
      </c>
      <c r="C58" s="146" t="s">
        <v>10</v>
      </c>
      <c r="D58" s="147">
        <v>0.63</v>
      </c>
      <c r="E58" s="159">
        <f>D58*E55</f>
        <v>89.90100000000001</v>
      </c>
      <c r="F58" s="33"/>
      <c r="G58" s="139">
        <f t="shared" si="27"/>
        <v>0</v>
      </c>
      <c r="H58" s="148"/>
      <c r="I58" s="139">
        <f t="shared" si="31"/>
        <v>0</v>
      </c>
      <c r="J58" s="148"/>
      <c r="K58" s="139">
        <f t="shared" si="32"/>
        <v>0</v>
      </c>
      <c r="L58" s="139">
        <f t="shared" si="30"/>
        <v>0</v>
      </c>
    </row>
    <row r="59" spans="1:12">
      <c r="A59" s="67"/>
      <c r="B59" s="145" t="s">
        <v>168</v>
      </c>
      <c r="C59" s="146" t="s">
        <v>10</v>
      </c>
      <c r="D59" s="147">
        <v>0.79</v>
      </c>
      <c r="E59" s="159">
        <f>E55*D59</f>
        <v>112.73300000000002</v>
      </c>
      <c r="F59" s="33"/>
      <c r="G59" s="139">
        <f t="shared" si="27"/>
        <v>0</v>
      </c>
      <c r="H59" s="148"/>
      <c r="I59" s="139">
        <f t="shared" si="31"/>
        <v>0</v>
      </c>
      <c r="J59" s="148"/>
      <c r="K59" s="139">
        <f t="shared" si="32"/>
        <v>0</v>
      </c>
      <c r="L59" s="139">
        <f t="shared" si="30"/>
        <v>0</v>
      </c>
    </row>
    <row r="60" spans="1:12">
      <c r="A60" s="67"/>
      <c r="B60" s="96" t="s">
        <v>166</v>
      </c>
      <c r="C60" s="105" t="s">
        <v>1</v>
      </c>
      <c r="D60" s="149">
        <v>1.6E-2</v>
      </c>
      <c r="E60" s="159">
        <f>D60*E55</f>
        <v>2.2832000000000003</v>
      </c>
      <c r="F60" s="33"/>
      <c r="G60" s="139">
        <f t="shared" si="27"/>
        <v>0</v>
      </c>
      <c r="H60" s="150"/>
      <c r="I60" s="139">
        <f t="shared" si="31"/>
        <v>0</v>
      </c>
      <c r="J60" s="150"/>
      <c r="K60" s="139">
        <f t="shared" si="32"/>
        <v>0</v>
      </c>
      <c r="L60" s="139">
        <f t="shared" si="30"/>
        <v>0</v>
      </c>
    </row>
    <row r="61" spans="1:12">
      <c r="A61" s="67"/>
      <c r="B61" s="92" t="s">
        <v>151</v>
      </c>
      <c r="C61" s="104"/>
      <c r="D61" s="98"/>
      <c r="E61" s="119"/>
      <c r="F61" s="33"/>
      <c r="G61" s="33"/>
      <c r="H61" s="33"/>
      <c r="I61" s="33"/>
      <c r="J61" s="33"/>
      <c r="K61" s="33"/>
      <c r="L61" s="33"/>
    </row>
    <row r="62" spans="1:12" s="189" customFormat="1" ht="28.5">
      <c r="A62" s="235">
        <v>10</v>
      </c>
      <c r="B62" s="359" t="s">
        <v>350</v>
      </c>
      <c r="C62" s="360" t="s">
        <v>131</v>
      </c>
      <c r="D62" s="361"/>
      <c r="E62" s="117">
        <v>13.5</v>
      </c>
      <c r="F62" s="110"/>
      <c r="G62" s="95">
        <f t="shared" ref="G62:G80" si="33">E62*F62</f>
        <v>0</v>
      </c>
      <c r="H62" s="110"/>
      <c r="I62" s="95">
        <f t="shared" ref="I62:I80" si="34">H62*E62</f>
        <v>0</v>
      </c>
      <c r="J62" s="110"/>
      <c r="K62" s="95">
        <f t="shared" ref="K62:K80" si="35">E62*J62</f>
        <v>0</v>
      </c>
      <c r="L62" s="95">
        <f t="shared" ref="L62:L80" si="36">K62+I62+G62</f>
        <v>0</v>
      </c>
    </row>
    <row r="63" spans="1:12" s="189" customFormat="1">
      <c r="A63" s="235"/>
      <c r="B63" s="362" t="s">
        <v>50</v>
      </c>
      <c r="C63" s="358" t="s">
        <v>6</v>
      </c>
      <c r="D63" s="119">
        <v>1</v>
      </c>
      <c r="E63" s="119">
        <f>D63*E62</f>
        <v>13.5</v>
      </c>
      <c r="F63" s="100"/>
      <c r="G63" s="95">
        <f t="shared" si="33"/>
        <v>0</v>
      </c>
      <c r="H63" s="119"/>
      <c r="I63" s="95">
        <f t="shared" si="34"/>
        <v>0</v>
      </c>
      <c r="J63" s="100"/>
      <c r="K63" s="95">
        <f t="shared" si="35"/>
        <v>0</v>
      </c>
      <c r="L63" s="95">
        <f t="shared" si="36"/>
        <v>0</v>
      </c>
    </row>
    <row r="64" spans="1:12" s="189" customFormat="1">
      <c r="A64" s="235"/>
      <c r="B64" s="363" t="s">
        <v>142</v>
      </c>
      <c r="C64" s="364" t="s">
        <v>60</v>
      </c>
      <c r="D64" s="119">
        <v>2.9</v>
      </c>
      <c r="E64" s="119">
        <f>D64*E62</f>
        <v>39.15</v>
      </c>
      <c r="F64" s="119"/>
      <c r="G64" s="215">
        <f t="shared" si="33"/>
        <v>0</v>
      </c>
      <c r="H64" s="119"/>
      <c r="I64" s="95">
        <f t="shared" si="34"/>
        <v>0</v>
      </c>
      <c r="J64" s="100"/>
      <c r="K64" s="95">
        <f t="shared" si="35"/>
        <v>0</v>
      </c>
      <c r="L64" s="95">
        <f t="shared" si="36"/>
        <v>0</v>
      </c>
    </row>
    <row r="65" spans="1:12" s="189" customFormat="1" ht="25.5">
      <c r="A65" s="235"/>
      <c r="B65" s="363" t="s">
        <v>143</v>
      </c>
      <c r="C65" s="365" t="s">
        <v>60</v>
      </c>
      <c r="D65" s="119">
        <v>0.8</v>
      </c>
      <c r="E65" s="119">
        <f>D65*E62</f>
        <v>10.8</v>
      </c>
      <c r="F65" s="119"/>
      <c r="G65" s="215">
        <f t="shared" si="33"/>
        <v>0</v>
      </c>
      <c r="H65" s="119"/>
      <c r="I65" s="95">
        <f t="shared" si="34"/>
        <v>0</v>
      </c>
      <c r="J65" s="99"/>
      <c r="K65" s="95">
        <f t="shared" si="35"/>
        <v>0</v>
      </c>
      <c r="L65" s="95">
        <f t="shared" si="36"/>
        <v>0</v>
      </c>
    </row>
    <row r="66" spans="1:12" s="189" customFormat="1">
      <c r="A66" s="235"/>
      <c r="B66" s="362" t="s">
        <v>144</v>
      </c>
      <c r="C66" s="366" t="s">
        <v>45</v>
      </c>
      <c r="D66" s="119">
        <v>0.7</v>
      </c>
      <c r="E66" s="119">
        <f>D66*E62</f>
        <v>9.4499999999999993</v>
      </c>
      <c r="F66" s="119"/>
      <c r="G66" s="215">
        <f t="shared" si="33"/>
        <v>0</v>
      </c>
      <c r="H66" s="119"/>
      <c r="I66" s="95">
        <f t="shared" si="34"/>
        <v>0</v>
      </c>
      <c r="J66" s="100"/>
      <c r="K66" s="95">
        <f t="shared" si="35"/>
        <v>0</v>
      </c>
      <c r="L66" s="95">
        <f t="shared" si="36"/>
        <v>0</v>
      </c>
    </row>
    <row r="67" spans="1:12" s="189" customFormat="1">
      <c r="A67" s="235"/>
      <c r="B67" s="367" t="s">
        <v>145</v>
      </c>
      <c r="C67" s="365" t="s">
        <v>45</v>
      </c>
      <c r="D67" s="119">
        <v>0.7</v>
      </c>
      <c r="E67" s="119">
        <f>D67*E62</f>
        <v>9.4499999999999993</v>
      </c>
      <c r="F67" s="119"/>
      <c r="G67" s="215">
        <f t="shared" si="33"/>
        <v>0</v>
      </c>
      <c r="H67" s="119"/>
      <c r="I67" s="95">
        <f t="shared" si="34"/>
        <v>0</v>
      </c>
      <c r="J67" s="99"/>
      <c r="K67" s="95">
        <f t="shared" si="35"/>
        <v>0</v>
      </c>
      <c r="L67" s="95">
        <f t="shared" si="36"/>
        <v>0</v>
      </c>
    </row>
    <row r="68" spans="1:12" s="189" customFormat="1">
      <c r="A68" s="235"/>
      <c r="B68" s="362" t="s">
        <v>146</v>
      </c>
      <c r="C68" s="366" t="s">
        <v>45</v>
      </c>
      <c r="D68" s="119">
        <v>0.7</v>
      </c>
      <c r="E68" s="119">
        <f>D68*E62</f>
        <v>9.4499999999999993</v>
      </c>
      <c r="F68" s="119"/>
      <c r="G68" s="215">
        <f t="shared" si="33"/>
        <v>0</v>
      </c>
      <c r="H68" s="119"/>
      <c r="I68" s="95">
        <f t="shared" si="34"/>
        <v>0</v>
      </c>
      <c r="J68" s="100"/>
      <c r="K68" s="95">
        <f t="shared" si="35"/>
        <v>0</v>
      </c>
      <c r="L68" s="95">
        <f t="shared" si="36"/>
        <v>0</v>
      </c>
    </row>
    <row r="69" spans="1:12" s="189" customFormat="1">
      <c r="A69" s="235"/>
      <c r="B69" s="362" t="s">
        <v>147</v>
      </c>
      <c r="C69" s="366" t="s">
        <v>45</v>
      </c>
      <c r="D69" s="119">
        <v>0.2</v>
      </c>
      <c r="E69" s="119">
        <f>D69*E62</f>
        <v>2.7</v>
      </c>
      <c r="F69" s="119"/>
      <c r="G69" s="215">
        <f t="shared" si="33"/>
        <v>0</v>
      </c>
      <c r="H69" s="119"/>
      <c r="I69" s="95">
        <f t="shared" si="34"/>
        <v>0</v>
      </c>
      <c r="J69" s="100"/>
      <c r="K69" s="95">
        <f t="shared" si="35"/>
        <v>0</v>
      </c>
      <c r="L69" s="95">
        <f t="shared" si="36"/>
        <v>0</v>
      </c>
    </row>
    <row r="70" spans="1:12" s="189" customFormat="1">
      <c r="A70" s="235"/>
      <c r="B70" s="362" t="s">
        <v>148</v>
      </c>
      <c r="C70" s="366" t="s">
        <v>45</v>
      </c>
      <c r="D70" s="119">
        <v>0.7</v>
      </c>
      <c r="E70" s="119">
        <f>D70*E62</f>
        <v>9.4499999999999993</v>
      </c>
      <c r="F70" s="119"/>
      <c r="G70" s="215">
        <f t="shared" si="33"/>
        <v>0</v>
      </c>
      <c r="H70" s="119"/>
      <c r="I70" s="95">
        <f t="shared" si="34"/>
        <v>0</v>
      </c>
      <c r="J70" s="100"/>
      <c r="K70" s="95">
        <f t="shared" si="35"/>
        <v>0</v>
      </c>
      <c r="L70" s="95">
        <f t="shared" si="36"/>
        <v>0</v>
      </c>
    </row>
    <row r="71" spans="1:12" s="189" customFormat="1" ht="28.5">
      <c r="A71" s="235">
        <v>11</v>
      </c>
      <c r="B71" s="359" t="s">
        <v>351</v>
      </c>
      <c r="C71" s="360" t="s">
        <v>131</v>
      </c>
      <c r="D71" s="361"/>
      <c r="E71" s="117">
        <f>E62</f>
        <v>13.5</v>
      </c>
      <c r="F71" s="119"/>
      <c r="G71" s="95">
        <f t="shared" si="33"/>
        <v>0</v>
      </c>
      <c r="H71" s="119"/>
      <c r="I71" s="95">
        <f t="shared" si="34"/>
        <v>0</v>
      </c>
      <c r="J71" s="110"/>
      <c r="K71" s="95">
        <f t="shared" si="35"/>
        <v>0</v>
      </c>
      <c r="L71" s="95">
        <f t="shared" si="36"/>
        <v>0</v>
      </c>
    </row>
    <row r="72" spans="1:12" s="189" customFormat="1">
      <c r="A72" s="235"/>
      <c r="B72" s="362" t="s">
        <v>50</v>
      </c>
      <c r="C72" s="358" t="s">
        <v>6</v>
      </c>
      <c r="D72" s="119">
        <v>1</v>
      </c>
      <c r="E72" s="119">
        <f>D72*E71</f>
        <v>13.5</v>
      </c>
      <c r="F72" s="119"/>
      <c r="G72" s="95">
        <f t="shared" si="33"/>
        <v>0</v>
      </c>
      <c r="H72" s="119"/>
      <c r="I72" s="95">
        <f t="shared" si="34"/>
        <v>0</v>
      </c>
      <c r="J72" s="100"/>
      <c r="K72" s="95">
        <f t="shared" si="35"/>
        <v>0</v>
      </c>
      <c r="L72" s="95">
        <f t="shared" si="36"/>
        <v>0</v>
      </c>
    </row>
    <row r="73" spans="1:12" s="189" customFormat="1" ht="15.75">
      <c r="A73" s="235"/>
      <c r="B73" s="367" t="s">
        <v>149</v>
      </c>
      <c r="C73" s="366" t="s">
        <v>141</v>
      </c>
      <c r="D73" s="119">
        <v>1.05</v>
      </c>
      <c r="E73" s="119">
        <f>D73*E71</f>
        <v>14.175000000000001</v>
      </c>
      <c r="F73" s="119"/>
      <c r="G73" s="215">
        <f t="shared" si="33"/>
        <v>0</v>
      </c>
      <c r="H73" s="119"/>
      <c r="I73" s="95">
        <f t="shared" si="34"/>
        <v>0</v>
      </c>
      <c r="J73" s="100"/>
      <c r="K73" s="95">
        <f t="shared" si="35"/>
        <v>0</v>
      </c>
      <c r="L73" s="95">
        <f t="shared" si="36"/>
        <v>0</v>
      </c>
    </row>
    <row r="74" spans="1:12" s="189" customFormat="1">
      <c r="A74" s="235"/>
      <c r="B74" s="367" t="s">
        <v>150</v>
      </c>
      <c r="C74" s="365" t="s">
        <v>10</v>
      </c>
      <c r="D74" s="119">
        <v>0.4</v>
      </c>
      <c r="E74" s="119">
        <f>D74*E71</f>
        <v>5.4</v>
      </c>
      <c r="F74" s="119"/>
      <c r="G74" s="215">
        <f t="shared" si="33"/>
        <v>0</v>
      </c>
      <c r="H74" s="119"/>
      <c r="I74" s="95">
        <f t="shared" si="34"/>
        <v>0</v>
      </c>
      <c r="J74" s="94"/>
      <c r="K74" s="95">
        <f t="shared" si="35"/>
        <v>0</v>
      </c>
      <c r="L74" s="95">
        <f t="shared" si="36"/>
        <v>0</v>
      </c>
    </row>
    <row r="75" spans="1:12" s="189" customFormat="1" ht="16.5">
      <c r="A75" s="235">
        <v>12</v>
      </c>
      <c r="B75" s="359" t="s">
        <v>352</v>
      </c>
      <c r="C75" s="360" t="s">
        <v>131</v>
      </c>
      <c r="D75" s="361"/>
      <c r="E75" s="368">
        <f>E71</f>
        <v>13.5</v>
      </c>
      <c r="F75" s="110"/>
      <c r="G75" s="139">
        <f t="shared" si="33"/>
        <v>0</v>
      </c>
      <c r="H75" s="110"/>
      <c r="I75" s="139">
        <f t="shared" si="34"/>
        <v>0</v>
      </c>
      <c r="J75" s="110"/>
      <c r="K75" s="139">
        <f t="shared" si="35"/>
        <v>0</v>
      </c>
      <c r="L75" s="139">
        <f t="shared" si="36"/>
        <v>0</v>
      </c>
    </row>
    <row r="76" spans="1:12" s="189" customFormat="1">
      <c r="A76" s="235"/>
      <c r="B76" s="362" t="s">
        <v>62</v>
      </c>
      <c r="C76" s="358" t="s">
        <v>6</v>
      </c>
      <c r="D76" s="369">
        <v>1</v>
      </c>
      <c r="E76" s="370">
        <f>E75*D76</f>
        <v>13.5</v>
      </c>
      <c r="F76" s="100"/>
      <c r="G76" s="139">
        <f t="shared" si="33"/>
        <v>0</v>
      </c>
      <c r="H76" s="119"/>
      <c r="I76" s="139">
        <f t="shared" si="34"/>
        <v>0</v>
      </c>
      <c r="J76" s="100"/>
      <c r="K76" s="139">
        <f t="shared" si="35"/>
        <v>0</v>
      </c>
      <c r="L76" s="139">
        <f t="shared" si="36"/>
        <v>0</v>
      </c>
    </row>
    <row r="77" spans="1:12" s="189" customFormat="1">
      <c r="A77" s="235"/>
      <c r="B77" s="362" t="s">
        <v>163</v>
      </c>
      <c r="C77" s="366" t="s">
        <v>1</v>
      </c>
      <c r="D77" s="371">
        <v>0.01</v>
      </c>
      <c r="E77" s="372">
        <f>D77*E75</f>
        <v>0.13500000000000001</v>
      </c>
      <c r="F77" s="142"/>
      <c r="G77" s="139">
        <f t="shared" si="33"/>
        <v>0</v>
      </c>
      <c r="H77" s="143"/>
      <c r="I77" s="139">
        <f t="shared" si="34"/>
        <v>0</v>
      </c>
      <c r="J77" s="144"/>
      <c r="K77" s="139">
        <f t="shared" si="35"/>
        <v>0</v>
      </c>
      <c r="L77" s="139">
        <f t="shared" si="36"/>
        <v>0</v>
      </c>
    </row>
    <row r="78" spans="1:12" s="189" customFormat="1">
      <c r="A78" s="235"/>
      <c r="B78" s="373" t="s">
        <v>167</v>
      </c>
      <c r="C78" s="374" t="s">
        <v>10</v>
      </c>
      <c r="D78" s="375">
        <v>0.63</v>
      </c>
      <c r="E78" s="372">
        <f>D78*E75</f>
        <v>8.5050000000000008</v>
      </c>
      <c r="F78" s="119"/>
      <c r="G78" s="139">
        <f t="shared" si="33"/>
        <v>0</v>
      </c>
      <c r="H78" s="148"/>
      <c r="I78" s="139">
        <f t="shared" si="34"/>
        <v>0</v>
      </c>
      <c r="J78" s="148"/>
      <c r="K78" s="139">
        <f t="shared" si="35"/>
        <v>0</v>
      </c>
      <c r="L78" s="139">
        <f t="shared" si="36"/>
        <v>0</v>
      </c>
    </row>
    <row r="79" spans="1:12" s="189" customFormat="1">
      <c r="A79" s="235"/>
      <c r="B79" s="373" t="s">
        <v>168</v>
      </c>
      <c r="C79" s="374" t="s">
        <v>10</v>
      </c>
      <c r="D79" s="375">
        <v>0.79</v>
      </c>
      <c r="E79" s="372">
        <f>E75*D79</f>
        <v>10.665000000000001</v>
      </c>
      <c r="F79" s="119"/>
      <c r="G79" s="139">
        <f t="shared" si="33"/>
        <v>0</v>
      </c>
      <c r="H79" s="148"/>
      <c r="I79" s="139">
        <f t="shared" si="34"/>
        <v>0</v>
      </c>
      <c r="J79" s="148"/>
      <c r="K79" s="139">
        <f t="shared" si="35"/>
        <v>0</v>
      </c>
      <c r="L79" s="139">
        <f t="shared" si="36"/>
        <v>0</v>
      </c>
    </row>
    <row r="80" spans="1:12" s="189" customFormat="1">
      <c r="A80" s="235"/>
      <c r="B80" s="362" t="s">
        <v>166</v>
      </c>
      <c r="C80" s="364" t="s">
        <v>1</v>
      </c>
      <c r="D80" s="376">
        <v>1.6E-2</v>
      </c>
      <c r="E80" s="372">
        <f>D80*E75</f>
        <v>0.216</v>
      </c>
      <c r="F80" s="119"/>
      <c r="G80" s="139">
        <f t="shared" si="33"/>
        <v>0</v>
      </c>
      <c r="H80" s="150"/>
      <c r="I80" s="139">
        <f t="shared" si="34"/>
        <v>0</v>
      </c>
      <c r="J80" s="150"/>
      <c r="K80" s="139">
        <f t="shared" si="35"/>
        <v>0</v>
      </c>
      <c r="L80" s="139">
        <f t="shared" si="36"/>
        <v>0</v>
      </c>
    </row>
    <row r="81" spans="1:12" ht="28.5">
      <c r="A81" s="67"/>
      <c r="B81" s="111" t="s">
        <v>169</v>
      </c>
      <c r="C81" s="104"/>
      <c r="D81" s="33"/>
      <c r="E81" s="119"/>
      <c r="F81" s="33"/>
      <c r="G81" s="44"/>
      <c r="H81" s="33"/>
      <c r="I81" s="95"/>
      <c r="J81" s="100"/>
      <c r="K81" s="95"/>
      <c r="L81" s="95"/>
    </row>
    <row r="82" spans="1:12">
      <c r="A82" s="67">
        <v>15</v>
      </c>
      <c r="B82" s="271" t="s">
        <v>170</v>
      </c>
      <c r="C82" s="92" t="s">
        <v>63</v>
      </c>
      <c r="D82" s="33"/>
      <c r="E82" s="119">
        <v>30</v>
      </c>
      <c r="F82" s="33"/>
      <c r="G82" s="44">
        <f t="shared" ref="G82:G83" si="37">E82*F82</f>
        <v>0</v>
      </c>
      <c r="H82" s="33"/>
      <c r="I82" s="95">
        <f t="shared" ref="I82:I83" si="38">H82*E82</f>
        <v>0</v>
      </c>
      <c r="J82" s="100"/>
      <c r="K82" s="95">
        <f t="shared" ref="K82:K83" si="39">E82*J82</f>
        <v>0</v>
      </c>
      <c r="L82" s="95">
        <f t="shared" ref="L82:L83" si="40">K82+I82+G82</f>
        <v>0</v>
      </c>
    </row>
    <row r="83" spans="1:12">
      <c r="A83" s="67">
        <v>16</v>
      </c>
      <c r="B83" s="271" t="s">
        <v>173</v>
      </c>
      <c r="C83" s="92" t="s">
        <v>45</v>
      </c>
      <c r="D83" s="33">
        <v>1</v>
      </c>
      <c r="E83" s="119">
        <f>E82*D83</f>
        <v>30</v>
      </c>
      <c r="F83" s="33"/>
      <c r="G83" s="44">
        <f t="shared" si="37"/>
        <v>0</v>
      </c>
      <c r="H83" s="33"/>
      <c r="I83" s="95">
        <f t="shared" si="38"/>
        <v>0</v>
      </c>
      <c r="J83" s="100"/>
      <c r="K83" s="95">
        <f t="shared" si="39"/>
        <v>0</v>
      </c>
      <c r="L83" s="95">
        <f t="shared" si="40"/>
        <v>0</v>
      </c>
    </row>
    <row r="84" spans="1:12">
      <c r="A84" s="67">
        <v>17</v>
      </c>
      <c r="B84" s="271" t="s">
        <v>171</v>
      </c>
      <c r="C84" s="92" t="s">
        <v>45</v>
      </c>
      <c r="D84" s="33"/>
      <c r="E84" s="119">
        <v>3</v>
      </c>
      <c r="F84" s="33"/>
      <c r="G84" s="44">
        <f t="shared" ref="G84:G97" si="41">E84*F84</f>
        <v>0</v>
      </c>
      <c r="H84" s="33"/>
      <c r="I84" s="95">
        <f t="shared" ref="I84" si="42">H84*E84</f>
        <v>0</v>
      </c>
      <c r="J84" s="100"/>
      <c r="K84" s="95">
        <f t="shared" ref="K84" si="43">E84*J84</f>
        <v>0</v>
      </c>
      <c r="L84" s="95">
        <f t="shared" ref="L84:L97" si="44">K84+I84+G84</f>
        <v>0</v>
      </c>
    </row>
    <row r="85" spans="1:12">
      <c r="A85" s="67">
        <v>18</v>
      </c>
      <c r="B85" s="271" t="s">
        <v>172</v>
      </c>
      <c r="C85" s="92" t="s">
        <v>45</v>
      </c>
      <c r="D85" s="33"/>
      <c r="E85" s="119">
        <v>3</v>
      </c>
      <c r="F85" s="33"/>
      <c r="G85" s="44">
        <f t="shared" si="41"/>
        <v>0</v>
      </c>
      <c r="H85" s="33"/>
      <c r="I85" s="95">
        <f t="shared" ref="I85:I97" si="45">H85*E85</f>
        <v>0</v>
      </c>
      <c r="J85" s="100"/>
      <c r="K85" s="95"/>
      <c r="L85" s="95">
        <f t="shared" si="44"/>
        <v>0</v>
      </c>
    </row>
    <row r="86" spans="1:12">
      <c r="A86" s="67">
        <v>19</v>
      </c>
      <c r="B86" s="271" t="s">
        <v>174</v>
      </c>
      <c r="C86" s="92" t="s">
        <v>45</v>
      </c>
      <c r="D86" s="33"/>
      <c r="E86" s="119">
        <v>1</v>
      </c>
      <c r="F86" s="33"/>
      <c r="G86" s="44">
        <f t="shared" si="41"/>
        <v>0</v>
      </c>
      <c r="H86" s="33"/>
      <c r="I86" s="95">
        <f t="shared" si="45"/>
        <v>0</v>
      </c>
      <c r="J86" s="100"/>
      <c r="K86" s="95"/>
      <c r="L86" s="95">
        <f t="shared" si="44"/>
        <v>0</v>
      </c>
    </row>
    <row r="87" spans="1:12">
      <c r="A87" s="67">
        <v>20</v>
      </c>
      <c r="B87" s="271" t="s">
        <v>175</v>
      </c>
      <c r="C87" s="92" t="s">
        <v>45</v>
      </c>
      <c r="D87" s="33"/>
      <c r="E87" s="119">
        <v>6</v>
      </c>
      <c r="F87" s="33"/>
      <c r="G87" s="44">
        <f t="shared" si="41"/>
        <v>0</v>
      </c>
      <c r="H87" s="33"/>
      <c r="I87" s="95">
        <f t="shared" si="45"/>
        <v>0</v>
      </c>
      <c r="J87" s="100"/>
      <c r="K87" s="95"/>
      <c r="L87" s="95">
        <f t="shared" si="44"/>
        <v>0</v>
      </c>
    </row>
    <row r="88" spans="1:12">
      <c r="A88" s="67">
        <v>21</v>
      </c>
      <c r="B88" s="271" t="s">
        <v>176</v>
      </c>
      <c r="C88" s="92" t="s">
        <v>45</v>
      </c>
      <c r="D88" s="33"/>
      <c r="E88" s="119">
        <v>6</v>
      </c>
      <c r="F88" s="33"/>
      <c r="G88" s="44">
        <f t="shared" si="41"/>
        <v>0</v>
      </c>
      <c r="H88" s="33"/>
      <c r="I88" s="95">
        <f t="shared" si="45"/>
        <v>0</v>
      </c>
      <c r="J88" s="100"/>
      <c r="K88" s="95"/>
      <c r="L88" s="95">
        <f t="shared" si="44"/>
        <v>0</v>
      </c>
    </row>
    <row r="89" spans="1:12">
      <c r="A89" s="67">
        <v>22</v>
      </c>
      <c r="B89" s="271" t="s">
        <v>177</v>
      </c>
      <c r="C89" s="92" t="s">
        <v>45</v>
      </c>
      <c r="D89" s="33"/>
      <c r="E89" s="119">
        <v>12</v>
      </c>
      <c r="F89" s="33"/>
      <c r="G89" s="44">
        <f t="shared" si="41"/>
        <v>0</v>
      </c>
      <c r="H89" s="33"/>
      <c r="I89" s="95">
        <f t="shared" si="45"/>
        <v>0</v>
      </c>
      <c r="J89" s="100"/>
      <c r="K89" s="95"/>
      <c r="L89" s="95">
        <f t="shared" si="44"/>
        <v>0</v>
      </c>
    </row>
    <row r="90" spans="1:12">
      <c r="A90" s="67">
        <v>23</v>
      </c>
      <c r="B90" s="271" t="s">
        <v>178</v>
      </c>
      <c r="C90" s="92" t="s">
        <v>63</v>
      </c>
      <c r="D90" s="33"/>
      <c r="E90" s="119">
        <v>15</v>
      </c>
      <c r="F90" s="33"/>
      <c r="G90" s="44">
        <f t="shared" si="41"/>
        <v>0</v>
      </c>
      <c r="H90" s="33"/>
      <c r="I90" s="95">
        <f t="shared" si="45"/>
        <v>0</v>
      </c>
      <c r="J90" s="100"/>
      <c r="K90" s="95"/>
      <c r="L90" s="95">
        <f t="shared" si="44"/>
        <v>0</v>
      </c>
    </row>
    <row r="91" spans="1:12">
      <c r="A91" s="67">
        <v>24</v>
      </c>
      <c r="B91" s="271" t="s">
        <v>179</v>
      </c>
      <c r="C91" s="92" t="s">
        <v>45</v>
      </c>
      <c r="D91" s="33"/>
      <c r="E91" s="119">
        <v>3</v>
      </c>
      <c r="F91" s="33"/>
      <c r="G91" s="44">
        <f t="shared" si="41"/>
        <v>0</v>
      </c>
      <c r="H91" s="33"/>
      <c r="I91" s="95">
        <f t="shared" si="45"/>
        <v>0</v>
      </c>
      <c r="J91" s="100"/>
      <c r="K91" s="95"/>
      <c r="L91" s="95">
        <f t="shared" si="44"/>
        <v>0</v>
      </c>
    </row>
    <row r="92" spans="1:12">
      <c r="A92" s="67">
        <v>25</v>
      </c>
      <c r="B92" s="271" t="s">
        <v>180</v>
      </c>
      <c r="C92" s="92" t="s">
        <v>45</v>
      </c>
      <c r="D92" s="33"/>
      <c r="E92" s="119">
        <v>1</v>
      </c>
      <c r="F92" s="33"/>
      <c r="G92" s="44">
        <f t="shared" si="41"/>
        <v>0</v>
      </c>
      <c r="H92" s="33"/>
      <c r="I92" s="95">
        <f t="shared" si="45"/>
        <v>0</v>
      </c>
      <c r="J92" s="100"/>
      <c r="K92" s="95"/>
      <c r="L92" s="95">
        <f t="shared" si="44"/>
        <v>0</v>
      </c>
    </row>
    <row r="93" spans="1:12">
      <c r="A93" s="67">
        <v>26</v>
      </c>
      <c r="B93" s="271" t="s">
        <v>191</v>
      </c>
      <c r="C93" s="92" t="s">
        <v>45</v>
      </c>
      <c r="D93" s="33"/>
      <c r="E93" s="119">
        <v>3</v>
      </c>
      <c r="F93" s="33"/>
      <c r="G93" s="44">
        <f t="shared" ref="G93" si="46">E93*F93</f>
        <v>0</v>
      </c>
      <c r="H93" s="33"/>
      <c r="I93" s="95">
        <f t="shared" ref="I93" si="47">H93*E93</f>
        <v>0</v>
      </c>
      <c r="J93" s="100"/>
      <c r="K93" s="95"/>
      <c r="L93" s="95">
        <f t="shared" ref="L93" si="48">K93+I93+G93</f>
        <v>0</v>
      </c>
    </row>
    <row r="94" spans="1:12" ht="38.25">
      <c r="A94" s="67">
        <v>27</v>
      </c>
      <c r="B94" s="271" t="s">
        <v>183</v>
      </c>
      <c r="C94" s="92" t="s">
        <v>181</v>
      </c>
      <c r="D94" s="33"/>
      <c r="E94" s="119">
        <v>1</v>
      </c>
      <c r="F94" s="33"/>
      <c r="G94" s="44">
        <f t="shared" si="41"/>
        <v>0</v>
      </c>
      <c r="H94" s="33"/>
      <c r="I94" s="95">
        <f t="shared" si="45"/>
        <v>0</v>
      </c>
      <c r="J94" s="100"/>
      <c r="K94" s="95"/>
      <c r="L94" s="95">
        <f t="shared" si="44"/>
        <v>0</v>
      </c>
    </row>
    <row r="95" spans="1:12" ht="25.5">
      <c r="A95" s="67">
        <v>28</v>
      </c>
      <c r="B95" s="271" t="s">
        <v>184</v>
      </c>
      <c r="C95" s="92" t="s">
        <v>181</v>
      </c>
      <c r="D95" s="33"/>
      <c r="E95" s="119">
        <v>2</v>
      </c>
      <c r="F95" s="33"/>
      <c r="G95" s="44">
        <f t="shared" si="41"/>
        <v>0</v>
      </c>
      <c r="H95" s="33"/>
      <c r="I95" s="95">
        <f t="shared" si="45"/>
        <v>0</v>
      </c>
      <c r="J95" s="100"/>
      <c r="K95" s="95"/>
      <c r="L95" s="95">
        <f t="shared" si="44"/>
        <v>0</v>
      </c>
    </row>
    <row r="96" spans="1:12" ht="25.5">
      <c r="A96" s="67">
        <v>29</v>
      </c>
      <c r="B96" s="271" t="s">
        <v>182</v>
      </c>
      <c r="C96" s="92" t="s">
        <v>181</v>
      </c>
      <c r="D96" s="33"/>
      <c r="E96" s="119">
        <v>1</v>
      </c>
      <c r="F96" s="33"/>
      <c r="G96" s="44">
        <f t="shared" si="41"/>
        <v>0</v>
      </c>
      <c r="H96" s="33"/>
      <c r="I96" s="95">
        <f t="shared" si="45"/>
        <v>0</v>
      </c>
      <c r="J96" s="100"/>
      <c r="K96" s="95"/>
      <c r="L96" s="95">
        <f t="shared" si="44"/>
        <v>0</v>
      </c>
    </row>
    <row r="97" spans="1:12" ht="25.5">
      <c r="A97" s="67">
        <v>30</v>
      </c>
      <c r="B97" s="271" t="s">
        <v>185</v>
      </c>
      <c r="C97" s="92" t="s">
        <v>181</v>
      </c>
      <c r="D97" s="33"/>
      <c r="E97" s="119">
        <v>2</v>
      </c>
      <c r="F97" s="33"/>
      <c r="G97" s="44">
        <f t="shared" si="41"/>
        <v>0</v>
      </c>
      <c r="H97" s="33"/>
      <c r="I97" s="95">
        <f t="shared" si="45"/>
        <v>0</v>
      </c>
      <c r="J97" s="100"/>
      <c r="K97" s="95"/>
      <c r="L97" s="95">
        <f t="shared" si="44"/>
        <v>0</v>
      </c>
    </row>
    <row r="98" spans="1:12">
      <c r="A98" s="67"/>
      <c r="B98" s="111" t="s">
        <v>152</v>
      </c>
      <c r="C98" s="105"/>
      <c r="D98" s="106"/>
      <c r="E98" s="119"/>
      <c r="F98" s="33"/>
      <c r="G98" s="33"/>
      <c r="H98" s="33"/>
      <c r="I98" s="33"/>
      <c r="J98" s="33"/>
      <c r="K98" s="33"/>
      <c r="L98" s="33"/>
    </row>
    <row r="99" spans="1:12" ht="30">
      <c r="A99" s="67">
        <v>31</v>
      </c>
      <c r="B99" s="269" t="s">
        <v>194</v>
      </c>
      <c r="C99" s="92" t="s">
        <v>131</v>
      </c>
      <c r="D99" s="51"/>
      <c r="E99" s="120">
        <f>1.4*2.5</f>
        <v>3.5</v>
      </c>
      <c r="F99" s="52"/>
      <c r="G99" s="44">
        <f t="shared" ref="G99" si="49">F99*E99</f>
        <v>0</v>
      </c>
      <c r="H99" s="52"/>
      <c r="I99" s="45">
        <f t="shared" ref="I99" si="50">E99*H99</f>
        <v>0</v>
      </c>
      <c r="J99" s="46"/>
      <c r="K99" s="46"/>
      <c r="L99" s="33">
        <f t="shared" ref="L99" si="51">K99+I99+G99</f>
        <v>0</v>
      </c>
    </row>
    <row r="100" spans="1:12" ht="30">
      <c r="A100" s="67">
        <v>32</v>
      </c>
      <c r="B100" s="269" t="s">
        <v>195</v>
      </c>
      <c r="C100" s="92" t="s">
        <v>131</v>
      </c>
      <c r="D100" s="51"/>
      <c r="E100" s="120">
        <f>1.4*2.1*2</f>
        <v>5.88</v>
      </c>
      <c r="F100" s="52"/>
      <c r="G100" s="44">
        <f t="shared" ref="G100" si="52">F100*E100</f>
        <v>0</v>
      </c>
      <c r="H100" s="52"/>
      <c r="I100" s="45">
        <f t="shared" ref="I100" si="53">E100*H100</f>
        <v>0</v>
      </c>
      <c r="J100" s="46"/>
      <c r="K100" s="46"/>
      <c r="L100" s="33">
        <f t="shared" ref="L100" si="54">K100+I100+G100</f>
        <v>0</v>
      </c>
    </row>
    <row r="101" spans="1:12" ht="30">
      <c r="A101" s="67">
        <v>33</v>
      </c>
      <c r="B101" s="269" t="s">
        <v>203</v>
      </c>
      <c r="C101" s="92" t="s">
        <v>131</v>
      </c>
      <c r="D101" s="51"/>
      <c r="E101" s="120">
        <f>0.9*1.5*6</f>
        <v>8.1000000000000014</v>
      </c>
      <c r="F101" s="52"/>
      <c r="G101" s="44">
        <f t="shared" ref="G101:G103" si="55">F101*E101</f>
        <v>0</v>
      </c>
      <c r="H101" s="52"/>
      <c r="I101" s="45">
        <f t="shared" ref="I101:I103" si="56">E101*H101</f>
        <v>0</v>
      </c>
      <c r="J101" s="46"/>
      <c r="K101" s="46"/>
      <c r="L101" s="33">
        <f t="shared" ref="L101:L103" si="57">K101+I101+G101</f>
        <v>0</v>
      </c>
    </row>
    <row r="102" spans="1:12" ht="30">
      <c r="A102" s="67">
        <v>34</v>
      </c>
      <c r="B102" s="269" t="s">
        <v>206</v>
      </c>
      <c r="C102" s="92" t="s">
        <v>131</v>
      </c>
      <c r="D102" s="51"/>
      <c r="E102" s="120">
        <f>0.9*2.1*6</f>
        <v>11.34</v>
      </c>
      <c r="F102" s="52"/>
      <c r="G102" s="44">
        <f t="shared" ref="G102" si="58">F102*E102</f>
        <v>0</v>
      </c>
      <c r="H102" s="52"/>
      <c r="I102" s="45">
        <f t="shared" ref="I102" si="59">E102*H102</f>
        <v>0</v>
      </c>
      <c r="J102" s="46"/>
      <c r="K102" s="46"/>
      <c r="L102" s="33">
        <f t="shared" ref="L102" si="60">K102+I102+G102</f>
        <v>0</v>
      </c>
    </row>
    <row r="103" spans="1:12" ht="28.15" customHeight="1">
      <c r="A103" s="67">
        <v>35</v>
      </c>
      <c r="B103" s="270" t="s">
        <v>196</v>
      </c>
      <c r="C103" s="92" t="s">
        <v>131</v>
      </c>
      <c r="D103" s="51"/>
      <c r="E103" s="120">
        <f>0.8*2.1*2</f>
        <v>3.3600000000000003</v>
      </c>
      <c r="F103" s="52"/>
      <c r="G103" s="44">
        <f t="shared" si="55"/>
        <v>0</v>
      </c>
      <c r="H103" s="52"/>
      <c r="I103" s="45">
        <f t="shared" si="56"/>
        <v>0</v>
      </c>
      <c r="J103" s="46"/>
      <c r="K103" s="46"/>
      <c r="L103" s="33">
        <f t="shared" si="57"/>
        <v>0</v>
      </c>
    </row>
    <row r="104" spans="1:12" ht="28.15" customHeight="1">
      <c r="A104" s="67">
        <v>36</v>
      </c>
      <c r="B104" s="270" t="s">
        <v>207</v>
      </c>
      <c r="C104" s="92" t="s">
        <v>131</v>
      </c>
      <c r="D104" s="51"/>
      <c r="E104" s="120">
        <f>4.5*1.8</f>
        <v>8.1</v>
      </c>
      <c r="F104" s="52"/>
      <c r="G104" s="44">
        <f t="shared" ref="G104" si="61">F104*E104</f>
        <v>0</v>
      </c>
      <c r="H104" s="52"/>
      <c r="I104" s="45">
        <f t="shared" ref="I104" si="62">E104*H104</f>
        <v>0</v>
      </c>
      <c r="J104" s="46"/>
      <c r="K104" s="46"/>
      <c r="L104" s="33">
        <f t="shared" ref="L104" si="63">K104+I104+G104</f>
        <v>0</v>
      </c>
    </row>
    <row r="105" spans="1:12" ht="28.15" customHeight="1">
      <c r="A105" s="67">
        <v>37</v>
      </c>
      <c r="B105" s="270" t="s">
        <v>197</v>
      </c>
      <c r="C105" s="92" t="s">
        <v>131</v>
      </c>
      <c r="D105" s="51"/>
      <c r="E105" s="120">
        <f>1.6*1.5</f>
        <v>2.4000000000000004</v>
      </c>
      <c r="F105" s="52"/>
      <c r="G105" s="44">
        <f t="shared" ref="G105" si="64">F105*E105</f>
        <v>0</v>
      </c>
      <c r="H105" s="52"/>
      <c r="I105" s="45">
        <f t="shared" ref="I105" si="65">E105*H105</f>
        <v>0</v>
      </c>
      <c r="J105" s="46"/>
      <c r="K105" s="46"/>
      <c r="L105" s="33">
        <f t="shared" ref="L105" si="66">K105+I105+G105</f>
        <v>0</v>
      </c>
    </row>
    <row r="106" spans="1:12" ht="28.15" customHeight="1">
      <c r="A106" s="67">
        <v>38</v>
      </c>
      <c r="B106" s="270" t="s">
        <v>197</v>
      </c>
      <c r="C106" s="92" t="s">
        <v>131</v>
      </c>
      <c r="D106" s="51"/>
      <c r="E106" s="120">
        <f>1.6*1.1</f>
        <v>1.7600000000000002</v>
      </c>
      <c r="F106" s="52"/>
      <c r="G106" s="44">
        <f t="shared" ref="G106" si="67">F106*E106</f>
        <v>0</v>
      </c>
      <c r="H106" s="52"/>
      <c r="I106" s="45">
        <f t="shared" ref="I106" si="68">E106*H106</f>
        <v>0</v>
      </c>
      <c r="J106" s="46"/>
      <c r="K106" s="46"/>
      <c r="L106" s="33">
        <f t="shared" ref="L106" si="69">K106+I106+G106</f>
        <v>0</v>
      </c>
    </row>
    <row r="107" spans="1:12" ht="28.15" customHeight="1">
      <c r="A107" s="67">
        <v>39</v>
      </c>
      <c r="B107" s="270" t="s">
        <v>201</v>
      </c>
      <c r="C107" s="92" t="s">
        <v>131</v>
      </c>
      <c r="D107" s="51"/>
      <c r="E107" s="120">
        <f>0.9*2.5*2</f>
        <v>4.5</v>
      </c>
      <c r="F107" s="52"/>
      <c r="G107" s="44">
        <f t="shared" ref="G107" si="70">F107*E107</f>
        <v>0</v>
      </c>
      <c r="H107" s="52"/>
      <c r="I107" s="45">
        <f t="shared" ref="I107" si="71">E107*H107</f>
        <v>0</v>
      </c>
      <c r="J107" s="46"/>
      <c r="K107" s="46"/>
      <c r="L107" s="33">
        <f t="shared" ref="L107" si="72">K107+I107+G107</f>
        <v>0</v>
      </c>
    </row>
    <row r="108" spans="1:12" ht="28.15" customHeight="1">
      <c r="A108" s="67">
        <v>40</v>
      </c>
      <c r="B108" s="270" t="s">
        <v>200</v>
      </c>
      <c r="C108" s="92" t="s">
        <v>131</v>
      </c>
      <c r="D108" s="51"/>
      <c r="E108" s="120">
        <f>1.6*1.1</f>
        <v>1.7600000000000002</v>
      </c>
      <c r="F108" s="52"/>
      <c r="G108" s="44">
        <f t="shared" ref="G108" si="73">F108*E108</f>
        <v>0</v>
      </c>
      <c r="H108" s="52"/>
      <c r="I108" s="45">
        <f t="shared" ref="I108" si="74">E108*H108</f>
        <v>0</v>
      </c>
      <c r="J108" s="46"/>
      <c r="K108" s="46"/>
      <c r="L108" s="33">
        <f t="shared" ref="L108" si="75">K108+I108+G108</f>
        <v>0</v>
      </c>
    </row>
    <row r="109" spans="1:12" ht="28.15" customHeight="1">
      <c r="A109" s="67">
        <v>41</v>
      </c>
      <c r="B109" s="270" t="s">
        <v>200</v>
      </c>
      <c r="C109" s="92" t="s">
        <v>131</v>
      </c>
      <c r="D109" s="51"/>
      <c r="E109" s="120">
        <f>1.75*2.5</f>
        <v>4.375</v>
      </c>
      <c r="F109" s="52"/>
      <c r="G109" s="44">
        <f t="shared" ref="G109" si="76">F109*E109</f>
        <v>0</v>
      </c>
      <c r="H109" s="52"/>
      <c r="I109" s="45">
        <f t="shared" ref="I109" si="77">E109*H109</f>
        <v>0</v>
      </c>
      <c r="J109" s="46"/>
      <c r="K109" s="46"/>
      <c r="L109" s="33">
        <f t="shared" ref="L109" si="78">K109+I109+G109</f>
        <v>0</v>
      </c>
    </row>
    <row r="110" spans="1:12" ht="28.15" customHeight="1">
      <c r="A110" s="67">
        <v>42</v>
      </c>
      <c r="B110" s="270" t="s">
        <v>202</v>
      </c>
      <c r="C110" s="92" t="s">
        <v>131</v>
      </c>
      <c r="D110" s="51"/>
      <c r="E110" s="120">
        <f>0.9*2.5*2</f>
        <v>4.5</v>
      </c>
      <c r="F110" s="52"/>
      <c r="G110" s="44">
        <f t="shared" ref="G110" si="79">F110*E110</f>
        <v>0</v>
      </c>
      <c r="H110" s="52"/>
      <c r="I110" s="45">
        <f t="shared" ref="I110" si="80">E110*H110</f>
        <v>0</v>
      </c>
      <c r="J110" s="46"/>
      <c r="K110" s="46"/>
      <c r="L110" s="33">
        <f t="shared" ref="L110" si="81">K110+I110+G110</f>
        <v>0</v>
      </c>
    </row>
    <row r="111" spans="1:12" ht="28.15" customHeight="1">
      <c r="A111" s="67"/>
      <c r="B111" s="186" t="s">
        <v>153</v>
      </c>
      <c r="C111" s="92"/>
      <c r="D111" s="51"/>
      <c r="E111" s="120"/>
      <c r="F111" s="52"/>
      <c r="G111" s="44"/>
      <c r="H111" s="52"/>
      <c r="I111" s="45"/>
      <c r="J111" s="46"/>
      <c r="K111" s="46"/>
      <c r="L111" s="33"/>
    </row>
    <row r="112" spans="1:12">
      <c r="A112" s="67">
        <v>43</v>
      </c>
      <c r="B112" s="268" t="s">
        <v>155</v>
      </c>
      <c r="C112" s="58" t="s">
        <v>63</v>
      </c>
      <c r="D112" s="59"/>
      <c r="E112" s="121">
        <v>4.8899999999999997</v>
      </c>
      <c r="F112" s="33"/>
      <c r="G112" s="75">
        <f t="shared" ref="G112:G121" si="82">F112*E112</f>
        <v>0</v>
      </c>
      <c r="H112" s="33"/>
      <c r="I112" s="45">
        <f t="shared" ref="I112:I119" si="83">E112*H112</f>
        <v>0</v>
      </c>
      <c r="J112" s="46"/>
      <c r="K112" s="46"/>
      <c r="L112" s="33">
        <f t="shared" ref="L112:L121" si="84">K112+I112+G112</f>
        <v>0</v>
      </c>
    </row>
    <row r="113" spans="1:12">
      <c r="A113" s="67">
        <v>44</v>
      </c>
      <c r="B113" s="64" t="s">
        <v>51</v>
      </c>
      <c r="C113" s="68" t="s">
        <v>46</v>
      </c>
      <c r="D113" s="81"/>
      <c r="E113" s="115">
        <f>E112</f>
        <v>4.8899999999999997</v>
      </c>
      <c r="F113" s="57"/>
      <c r="G113" s="44"/>
      <c r="H113" s="84"/>
      <c r="I113" s="45">
        <f t="shared" si="83"/>
        <v>0</v>
      </c>
      <c r="J113" s="46"/>
      <c r="K113" s="46"/>
      <c r="L113" s="33">
        <f t="shared" si="84"/>
        <v>0</v>
      </c>
    </row>
    <row r="114" spans="1:12">
      <c r="A114" s="67"/>
      <c r="B114" s="65" t="s">
        <v>52</v>
      </c>
      <c r="C114" s="36" t="s">
        <v>10</v>
      </c>
      <c r="D114" s="46">
        <v>0.1</v>
      </c>
      <c r="E114" s="122">
        <f>E113*D114</f>
        <v>0.48899999999999999</v>
      </c>
      <c r="F114" s="60"/>
      <c r="G114" s="44">
        <f t="shared" si="82"/>
        <v>0</v>
      </c>
      <c r="H114" s="46"/>
      <c r="I114" s="45"/>
      <c r="J114" s="46"/>
      <c r="K114" s="46"/>
      <c r="L114" s="33">
        <f t="shared" si="84"/>
        <v>0</v>
      </c>
    </row>
    <row r="115" spans="1:12">
      <c r="A115" s="67"/>
      <c r="B115" s="65" t="s">
        <v>53</v>
      </c>
      <c r="C115" s="36" t="s">
        <v>46</v>
      </c>
      <c r="D115" s="46">
        <v>0.01</v>
      </c>
      <c r="E115" s="122">
        <f>E113*D115</f>
        <v>4.8899999999999999E-2</v>
      </c>
      <c r="F115" s="60"/>
      <c r="G115" s="44">
        <f t="shared" si="82"/>
        <v>0</v>
      </c>
      <c r="H115" s="46"/>
      <c r="I115" s="45"/>
      <c r="J115" s="46"/>
      <c r="K115" s="46"/>
      <c r="L115" s="33">
        <f t="shared" si="84"/>
        <v>0</v>
      </c>
    </row>
    <row r="116" spans="1:12">
      <c r="A116" s="67">
        <v>45</v>
      </c>
      <c r="B116" s="64" t="s">
        <v>54</v>
      </c>
      <c r="C116" s="68" t="s">
        <v>46</v>
      </c>
      <c r="D116" s="81"/>
      <c r="E116" s="115">
        <f>E113</f>
        <v>4.8899999999999997</v>
      </c>
      <c r="F116" s="57"/>
      <c r="G116" s="44"/>
      <c r="H116" s="84"/>
      <c r="I116" s="45">
        <f t="shared" si="83"/>
        <v>0</v>
      </c>
      <c r="J116" s="46"/>
      <c r="K116" s="46"/>
      <c r="L116" s="33">
        <f t="shared" si="84"/>
        <v>0</v>
      </c>
    </row>
    <row r="117" spans="1:12">
      <c r="A117" s="67"/>
      <c r="B117" s="65" t="s">
        <v>55</v>
      </c>
      <c r="C117" s="36" t="s">
        <v>10</v>
      </c>
      <c r="D117" s="46">
        <v>0.16</v>
      </c>
      <c r="E117" s="122">
        <f>E116*D117</f>
        <v>0.78239999999999998</v>
      </c>
      <c r="F117" s="60"/>
      <c r="G117" s="44">
        <f t="shared" si="82"/>
        <v>0</v>
      </c>
      <c r="H117" s="46"/>
      <c r="I117" s="45"/>
      <c r="J117" s="46"/>
      <c r="K117" s="46"/>
      <c r="L117" s="33">
        <f t="shared" si="84"/>
        <v>0</v>
      </c>
    </row>
    <row r="118" spans="1:12">
      <c r="A118" s="67"/>
      <c r="B118" s="65" t="s">
        <v>56</v>
      </c>
      <c r="C118" s="36" t="s">
        <v>10</v>
      </c>
      <c r="D118" s="46">
        <v>7.0000000000000007E-2</v>
      </c>
      <c r="E118" s="122">
        <f>E116*D118</f>
        <v>0.34229999999999999</v>
      </c>
      <c r="F118" s="60"/>
      <c r="G118" s="44">
        <f t="shared" si="82"/>
        <v>0</v>
      </c>
      <c r="H118" s="46"/>
      <c r="I118" s="45"/>
      <c r="J118" s="46"/>
      <c r="K118" s="46"/>
      <c r="L118" s="33">
        <f t="shared" si="84"/>
        <v>0</v>
      </c>
    </row>
    <row r="119" spans="1:12" ht="28.9" customHeight="1">
      <c r="A119" s="67">
        <v>46</v>
      </c>
      <c r="B119" s="64" t="s">
        <v>57</v>
      </c>
      <c r="C119" s="68" t="s">
        <v>46</v>
      </c>
      <c r="D119" s="81"/>
      <c r="E119" s="115">
        <f>E113</f>
        <v>4.8899999999999997</v>
      </c>
      <c r="F119" s="57"/>
      <c r="G119" s="44"/>
      <c r="H119" s="84"/>
      <c r="I119" s="45">
        <f t="shared" si="83"/>
        <v>0</v>
      </c>
      <c r="J119" s="46"/>
      <c r="K119" s="46"/>
      <c r="L119" s="33">
        <f t="shared" si="84"/>
        <v>0</v>
      </c>
    </row>
    <row r="120" spans="1:12">
      <c r="A120" s="67"/>
      <c r="B120" s="65" t="s">
        <v>58</v>
      </c>
      <c r="C120" s="36" t="s">
        <v>10</v>
      </c>
      <c r="D120" s="46">
        <v>0.3</v>
      </c>
      <c r="E120" s="122">
        <f>E119*D120</f>
        <v>1.4669999999999999</v>
      </c>
      <c r="F120" s="60"/>
      <c r="G120" s="44">
        <f t="shared" si="82"/>
        <v>0</v>
      </c>
      <c r="H120" s="46"/>
      <c r="I120" s="45"/>
      <c r="J120" s="46"/>
      <c r="K120" s="46"/>
      <c r="L120" s="33">
        <f t="shared" si="84"/>
        <v>0</v>
      </c>
    </row>
    <row r="121" spans="1:12">
      <c r="A121" s="67"/>
      <c r="B121" s="65" t="s">
        <v>56</v>
      </c>
      <c r="C121" s="36" t="s">
        <v>10</v>
      </c>
      <c r="D121" s="46">
        <v>0.03</v>
      </c>
      <c r="E121" s="122">
        <f>E119*D121</f>
        <v>0.1467</v>
      </c>
      <c r="F121" s="60"/>
      <c r="G121" s="44">
        <f t="shared" si="82"/>
        <v>0</v>
      </c>
      <c r="H121" s="46"/>
      <c r="I121" s="45"/>
      <c r="J121" s="46"/>
      <c r="K121" s="46"/>
      <c r="L121" s="33">
        <f t="shared" si="84"/>
        <v>0</v>
      </c>
    </row>
    <row r="122" spans="1:12" customFormat="1">
      <c r="A122" s="35"/>
      <c r="B122" s="112" t="s">
        <v>154</v>
      </c>
      <c r="C122" s="62"/>
      <c r="D122" s="62"/>
      <c r="E122" s="116"/>
      <c r="F122" s="63"/>
      <c r="G122" s="63"/>
      <c r="H122" s="85"/>
      <c r="I122" s="12"/>
      <c r="J122" s="63"/>
      <c r="K122" s="63"/>
      <c r="L122" s="63"/>
    </row>
    <row r="123" spans="1:12" s="189" customFormat="1" ht="47.45" customHeight="1">
      <c r="A123" s="235">
        <v>6</v>
      </c>
      <c r="B123" s="355" t="s">
        <v>354</v>
      </c>
      <c r="C123" s="356" t="s">
        <v>6</v>
      </c>
      <c r="D123" s="356"/>
      <c r="E123" s="117">
        <v>180</v>
      </c>
      <c r="F123" s="118"/>
      <c r="G123" s="215"/>
      <c r="H123" s="119"/>
      <c r="I123" s="123"/>
      <c r="J123" s="122"/>
      <c r="K123" s="122"/>
      <c r="L123" s="119"/>
    </row>
    <row r="124" spans="1:12" s="189" customFormat="1">
      <c r="A124" s="235"/>
      <c r="B124" s="357" t="s">
        <v>59</v>
      </c>
      <c r="C124" s="358" t="s">
        <v>6</v>
      </c>
      <c r="D124" s="118">
        <v>1</v>
      </c>
      <c r="E124" s="118">
        <f>D124*E123</f>
        <v>180</v>
      </c>
      <c r="F124" s="118"/>
      <c r="G124" s="215"/>
      <c r="H124" s="119"/>
      <c r="I124" s="123">
        <f t="shared" ref="I124" si="85">E124*H124</f>
        <v>0</v>
      </c>
      <c r="J124" s="122"/>
      <c r="K124" s="122"/>
      <c r="L124" s="119">
        <f t="shared" ref="L124:L125" si="86">K124+I124+G124</f>
        <v>0</v>
      </c>
    </row>
    <row r="125" spans="1:12" s="189" customFormat="1">
      <c r="A125" s="235"/>
      <c r="B125" s="357" t="s">
        <v>353</v>
      </c>
      <c r="C125" s="118" t="s">
        <v>6</v>
      </c>
      <c r="D125" s="118">
        <v>1.05</v>
      </c>
      <c r="E125" s="118">
        <f>D125*E123</f>
        <v>189</v>
      </c>
      <c r="F125" s="119"/>
      <c r="G125" s="215">
        <f t="shared" ref="G125" si="87">F125*E125</f>
        <v>0</v>
      </c>
      <c r="H125" s="119"/>
      <c r="I125" s="123"/>
      <c r="J125" s="122"/>
      <c r="K125" s="122"/>
      <c r="L125" s="119">
        <f t="shared" si="86"/>
        <v>0</v>
      </c>
    </row>
    <row r="126" spans="1:12">
      <c r="A126" s="67">
        <v>48</v>
      </c>
      <c r="B126" s="58" t="s">
        <v>130</v>
      </c>
      <c r="C126" s="50" t="s">
        <v>63</v>
      </c>
      <c r="D126" s="51"/>
      <c r="E126" s="120">
        <f>3.55*3</f>
        <v>10.649999999999999</v>
      </c>
      <c r="F126" s="52"/>
      <c r="G126" s="44"/>
      <c r="H126" s="52"/>
      <c r="I126" s="45">
        <f t="shared" ref="I126" si="88">E126*H126</f>
        <v>0</v>
      </c>
      <c r="J126" s="46"/>
      <c r="K126" s="46"/>
      <c r="L126" s="33">
        <f t="shared" ref="L126:L136" si="89">K126+I126+G126</f>
        <v>0</v>
      </c>
    </row>
    <row r="127" spans="1:12">
      <c r="A127" s="67"/>
      <c r="B127" s="53" t="s">
        <v>82</v>
      </c>
      <c r="C127" s="54" t="s">
        <v>63</v>
      </c>
      <c r="D127" s="55">
        <v>1.2</v>
      </c>
      <c r="E127" s="124">
        <f>E126*D127</f>
        <v>12.779999999999998</v>
      </c>
      <c r="F127" s="56"/>
      <c r="G127" s="44">
        <f t="shared" ref="G127:G129" si="90">F127*E127</f>
        <v>0</v>
      </c>
      <c r="H127" s="52"/>
      <c r="I127" s="45"/>
      <c r="J127" s="46"/>
      <c r="K127" s="46"/>
      <c r="L127" s="33">
        <f t="shared" si="89"/>
        <v>0</v>
      </c>
    </row>
    <row r="128" spans="1:12">
      <c r="A128" s="67"/>
      <c r="B128" s="53" t="s">
        <v>83</v>
      </c>
      <c r="C128" s="54" t="s">
        <v>45</v>
      </c>
      <c r="D128" s="55"/>
      <c r="E128" s="124">
        <v>10</v>
      </c>
      <c r="F128" s="56"/>
      <c r="G128" s="44">
        <f t="shared" si="90"/>
        <v>0</v>
      </c>
      <c r="H128" s="52"/>
      <c r="I128" s="45"/>
      <c r="J128" s="46"/>
      <c r="K128" s="46"/>
      <c r="L128" s="33">
        <f t="shared" si="89"/>
        <v>0</v>
      </c>
    </row>
    <row r="129" spans="1:14">
      <c r="A129" s="67"/>
      <c r="B129" s="53" t="s">
        <v>84</v>
      </c>
      <c r="C129" s="54" t="s">
        <v>45</v>
      </c>
      <c r="D129" s="55">
        <v>2</v>
      </c>
      <c r="E129" s="124">
        <v>20</v>
      </c>
      <c r="F129" s="56"/>
      <c r="G129" s="44">
        <f t="shared" si="90"/>
        <v>0</v>
      </c>
      <c r="H129" s="52"/>
      <c r="I129" s="45"/>
      <c r="J129" s="46"/>
      <c r="K129" s="46"/>
      <c r="L129" s="33">
        <f t="shared" si="89"/>
        <v>0</v>
      </c>
    </row>
    <row r="130" spans="1:14">
      <c r="A130" s="67"/>
      <c r="B130" s="112" t="s">
        <v>186</v>
      </c>
      <c r="C130" s="54"/>
      <c r="D130" s="55"/>
      <c r="E130" s="124"/>
      <c r="F130" s="56"/>
      <c r="G130" s="44"/>
      <c r="H130" s="52"/>
      <c r="I130" s="45"/>
      <c r="J130" s="46"/>
      <c r="K130" s="46"/>
      <c r="L130" s="33">
        <f t="shared" si="89"/>
        <v>0</v>
      </c>
    </row>
    <row r="131" spans="1:14" ht="30">
      <c r="A131" s="67">
        <v>49</v>
      </c>
      <c r="B131" s="161" t="s">
        <v>189</v>
      </c>
      <c r="C131" s="162" t="s">
        <v>63</v>
      </c>
      <c r="D131" s="55"/>
      <c r="E131" s="124">
        <v>7.1</v>
      </c>
      <c r="F131" s="56"/>
      <c r="G131" s="44"/>
      <c r="H131" s="52"/>
      <c r="I131" s="45">
        <f t="shared" ref="I131" si="91">E131*H131</f>
        <v>0</v>
      </c>
      <c r="J131" s="46"/>
      <c r="K131" s="46"/>
      <c r="L131" s="33">
        <f t="shared" si="89"/>
        <v>0</v>
      </c>
    </row>
    <row r="132" spans="1:14">
      <c r="A132" s="67">
        <v>50</v>
      </c>
      <c r="B132" s="161" t="s">
        <v>187</v>
      </c>
      <c r="C132" s="162" t="s">
        <v>63</v>
      </c>
      <c r="D132" s="55"/>
      <c r="E132" s="124">
        <f>7.1*2+0.5*2</f>
        <v>15.2</v>
      </c>
      <c r="F132" s="56"/>
      <c r="G132" s="44">
        <f t="shared" ref="G132:G136" si="92">F132*E132</f>
        <v>0</v>
      </c>
      <c r="H132" s="52"/>
      <c r="I132" s="45">
        <f t="shared" ref="I132:I136" si="93">E132*H132</f>
        <v>0</v>
      </c>
      <c r="J132" s="46"/>
      <c r="K132" s="46"/>
      <c r="L132" s="33">
        <f t="shared" si="89"/>
        <v>0</v>
      </c>
    </row>
    <row r="133" spans="1:14">
      <c r="A133" s="67">
        <v>51</v>
      </c>
      <c r="B133" s="161" t="s">
        <v>190</v>
      </c>
      <c r="C133" s="162" t="s">
        <v>46</v>
      </c>
      <c r="D133" s="55"/>
      <c r="E133" s="124">
        <v>3.55</v>
      </c>
      <c r="F133" s="56"/>
      <c r="G133" s="44">
        <f t="shared" ref="G133" si="94">F133*E133</f>
        <v>0</v>
      </c>
      <c r="H133" s="52"/>
      <c r="I133" s="45">
        <f t="shared" ref="I133" si="95">E133*H133</f>
        <v>0</v>
      </c>
      <c r="J133" s="46"/>
      <c r="K133" s="46"/>
      <c r="L133" s="33">
        <f t="shared" ref="L133" si="96">K133+I133+G133</f>
        <v>0</v>
      </c>
    </row>
    <row r="134" spans="1:14">
      <c r="A134" s="67">
        <v>52</v>
      </c>
      <c r="B134" s="161" t="s">
        <v>188</v>
      </c>
      <c r="C134" s="162" t="s">
        <v>45</v>
      </c>
      <c r="D134" s="55"/>
      <c r="E134" s="124">
        <v>12</v>
      </c>
      <c r="F134" s="56"/>
      <c r="G134" s="44">
        <f t="shared" si="92"/>
        <v>0</v>
      </c>
      <c r="H134" s="52"/>
      <c r="I134" s="45">
        <f t="shared" si="93"/>
        <v>0</v>
      </c>
      <c r="J134" s="46"/>
      <c r="K134" s="46"/>
      <c r="L134" s="33">
        <f t="shared" si="89"/>
        <v>0</v>
      </c>
    </row>
    <row r="135" spans="1:14" ht="45">
      <c r="A135" s="67">
        <v>53</v>
      </c>
      <c r="B135" s="161" t="s">
        <v>193</v>
      </c>
      <c r="C135" s="162" t="s">
        <v>63</v>
      </c>
      <c r="D135" s="55"/>
      <c r="E135" s="124">
        <f>3.9*11+0.5+0.6*2</f>
        <v>44.6</v>
      </c>
      <c r="F135" s="56"/>
      <c r="G135" s="44">
        <f t="shared" si="92"/>
        <v>0</v>
      </c>
      <c r="H135" s="52"/>
      <c r="I135" s="45">
        <f t="shared" si="93"/>
        <v>0</v>
      </c>
      <c r="J135" s="46"/>
      <c r="K135" s="46"/>
      <c r="L135" s="33">
        <f t="shared" si="89"/>
        <v>0</v>
      </c>
    </row>
    <row r="136" spans="1:14" ht="45">
      <c r="A136" s="67">
        <v>54</v>
      </c>
      <c r="B136" s="161" t="s">
        <v>192</v>
      </c>
      <c r="C136" s="162" t="s">
        <v>63</v>
      </c>
      <c r="D136" s="55"/>
      <c r="E136" s="124">
        <f>5+1.4+2.1*4+1.4*2</f>
        <v>17.600000000000001</v>
      </c>
      <c r="F136" s="56"/>
      <c r="G136" s="44">
        <f t="shared" si="92"/>
        <v>0</v>
      </c>
      <c r="H136" s="52"/>
      <c r="I136" s="45">
        <f t="shared" si="93"/>
        <v>0</v>
      </c>
      <c r="J136" s="46"/>
      <c r="K136" s="46"/>
      <c r="L136" s="33">
        <f t="shared" si="89"/>
        <v>0</v>
      </c>
    </row>
    <row r="137" spans="1:14" customFormat="1">
      <c r="A137" s="35"/>
      <c r="B137" s="112" t="s">
        <v>156</v>
      </c>
      <c r="C137" s="62"/>
      <c r="D137" s="62"/>
      <c r="E137" s="116"/>
      <c r="F137" s="63"/>
      <c r="G137" s="63"/>
      <c r="H137" s="85"/>
      <c r="I137" s="12"/>
      <c r="J137" s="63"/>
      <c r="K137" s="63"/>
      <c r="L137" s="63"/>
    </row>
    <row r="138" spans="1:14" ht="28.9" customHeight="1">
      <c r="A138" s="67">
        <v>55</v>
      </c>
      <c r="B138" s="64" t="s">
        <v>159</v>
      </c>
      <c r="C138" s="36" t="s">
        <v>46</v>
      </c>
      <c r="D138" s="262"/>
      <c r="E138" s="122">
        <v>713.9</v>
      </c>
      <c r="F138" s="57"/>
      <c r="G138" s="44"/>
      <c r="H138" s="84"/>
      <c r="I138" s="45">
        <f t="shared" ref="I138" si="97">E138*H138</f>
        <v>0</v>
      </c>
      <c r="J138" s="46"/>
      <c r="K138" s="46"/>
      <c r="L138" s="33">
        <f t="shared" ref="L138" si="98">K138+I138+G138</f>
        <v>0</v>
      </c>
    </row>
    <row r="139" spans="1:14" customFormat="1">
      <c r="A139" s="35">
        <v>56</v>
      </c>
      <c r="B139" s="263" t="s">
        <v>157</v>
      </c>
      <c r="C139" s="62" t="s">
        <v>158</v>
      </c>
      <c r="D139" s="62">
        <v>0.2</v>
      </c>
      <c r="E139" s="63">
        <f>E138*D139</f>
        <v>142.78</v>
      </c>
      <c r="F139" s="63"/>
      <c r="G139" s="44">
        <f t="shared" ref="G139:G141" si="99">F139*E139</f>
        <v>0</v>
      </c>
      <c r="H139" s="85"/>
      <c r="I139" s="12"/>
      <c r="J139" s="63"/>
      <c r="K139" s="63"/>
      <c r="L139" s="63"/>
    </row>
    <row r="140" spans="1:14" customFormat="1">
      <c r="A140" s="67">
        <v>57</v>
      </c>
      <c r="B140" s="263" t="s">
        <v>160</v>
      </c>
      <c r="C140" s="36" t="s">
        <v>46</v>
      </c>
      <c r="D140" s="262"/>
      <c r="E140" s="46">
        <v>713.9</v>
      </c>
      <c r="F140" s="57"/>
      <c r="G140" s="44">
        <f t="shared" si="99"/>
        <v>0</v>
      </c>
      <c r="H140" s="84"/>
      <c r="I140" s="45">
        <f t="shared" ref="I140:I142" si="100">E140*H140</f>
        <v>0</v>
      </c>
      <c r="J140" s="46"/>
      <c r="K140" s="46"/>
      <c r="L140" s="33">
        <f t="shared" ref="L140:L149" si="101">K140+I140+G140</f>
        <v>0</v>
      </c>
    </row>
    <row r="141" spans="1:14" customFormat="1" ht="30">
      <c r="A141" s="35">
        <v>58</v>
      </c>
      <c r="B141" s="264" t="s">
        <v>208</v>
      </c>
      <c r="C141" s="36" t="s">
        <v>45</v>
      </c>
      <c r="D141" s="262"/>
      <c r="E141" s="46">
        <v>12</v>
      </c>
      <c r="F141" s="57"/>
      <c r="G141" s="44">
        <f t="shared" si="99"/>
        <v>0</v>
      </c>
      <c r="H141" s="84"/>
      <c r="I141" s="45">
        <f t="shared" si="100"/>
        <v>0</v>
      </c>
      <c r="J141" s="46"/>
      <c r="K141" s="46"/>
      <c r="L141" s="33">
        <f t="shared" si="101"/>
        <v>0</v>
      </c>
    </row>
    <row r="142" spans="1:14" customFormat="1" ht="28.5" customHeight="1">
      <c r="A142" s="67">
        <v>59</v>
      </c>
      <c r="B142" s="265" t="s">
        <v>124</v>
      </c>
      <c r="C142" s="11" t="s">
        <v>64</v>
      </c>
      <c r="D142" s="266"/>
      <c r="E142" s="266">
        <v>30</v>
      </c>
      <c r="F142" s="14"/>
      <c r="G142" s="13"/>
      <c r="H142" s="4"/>
      <c r="I142" s="4">
        <f t="shared" si="100"/>
        <v>0</v>
      </c>
      <c r="J142" s="4"/>
      <c r="K142" s="4"/>
      <c r="L142" s="4">
        <f t="shared" si="101"/>
        <v>0</v>
      </c>
    </row>
    <row r="143" spans="1:14" customFormat="1">
      <c r="A143" s="35"/>
      <c r="B143" s="112" t="s">
        <v>340</v>
      </c>
      <c r="C143" s="62"/>
      <c r="D143" s="62"/>
      <c r="E143" s="116"/>
      <c r="F143" s="63"/>
      <c r="G143" s="63"/>
      <c r="H143" s="85"/>
      <c r="I143" s="12"/>
      <c r="J143" s="63"/>
      <c r="K143" s="63"/>
      <c r="L143" s="63"/>
    </row>
    <row r="144" spans="1:14" ht="28.9" customHeight="1">
      <c r="A144" s="67">
        <v>60</v>
      </c>
      <c r="B144" s="265" t="s">
        <v>341</v>
      </c>
      <c r="C144" s="36" t="s">
        <v>46</v>
      </c>
      <c r="D144" s="266"/>
      <c r="E144" s="266">
        <v>560</v>
      </c>
      <c r="F144" s="14"/>
      <c r="G144" s="13">
        <f t="shared" ref="G144:G146" si="102">E144*F144</f>
        <v>0</v>
      </c>
      <c r="H144" s="4"/>
      <c r="I144" s="4">
        <f t="shared" ref="I144:I146" si="103">H144*E144</f>
        <v>0</v>
      </c>
      <c r="J144" s="4"/>
      <c r="K144" s="4">
        <f t="shared" ref="K144:K146" si="104">J144*E144</f>
        <v>0</v>
      </c>
      <c r="L144" s="4">
        <f t="shared" ref="L144:L147" si="105">K144+I144+G144</f>
        <v>0</v>
      </c>
      <c r="N144" s="267"/>
    </row>
    <row r="145" spans="1:14" customFormat="1">
      <c r="A145" s="35">
        <v>61</v>
      </c>
      <c r="B145" s="265" t="s">
        <v>342</v>
      </c>
      <c r="C145" s="62" t="s">
        <v>158</v>
      </c>
      <c r="D145" s="266"/>
      <c r="E145" s="266">
        <v>24</v>
      </c>
      <c r="F145" s="14"/>
      <c r="G145" s="13">
        <f t="shared" si="102"/>
        <v>0</v>
      </c>
      <c r="H145" s="4"/>
      <c r="I145" s="4">
        <f t="shared" si="103"/>
        <v>0</v>
      </c>
      <c r="J145" s="4"/>
      <c r="K145" s="4">
        <f t="shared" si="104"/>
        <v>0</v>
      </c>
      <c r="L145" s="4">
        <f t="shared" si="105"/>
        <v>0</v>
      </c>
    </row>
    <row r="146" spans="1:14" customFormat="1">
      <c r="A146" s="67">
        <v>62</v>
      </c>
      <c r="B146" s="265" t="s">
        <v>343</v>
      </c>
      <c r="C146" s="11" t="s">
        <v>45</v>
      </c>
      <c r="D146" s="266"/>
      <c r="E146" s="266">
        <v>120</v>
      </c>
      <c r="F146" s="14"/>
      <c r="G146" s="13">
        <f t="shared" si="102"/>
        <v>0</v>
      </c>
      <c r="H146" s="4"/>
      <c r="I146" s="4">
        <f t="shared" si="103"/>
        <v>0</v>
      </c>
      <c r="J146" s="4"/>
      <c r="K146" s="4">
        <f t="shared" si="104"/>
        <v>0</v>
      </c>
      <c r="L146" s="4">
        <f t="shared" si="105"/>
        <v>0</v>
      </c>
    </row>
    <row r="147" spans="1:14" customFormat="1">
      <c r="A147" s="35">
        <v>63</v>
      </c>
      <c r="B147" s="265" t="s">
        <v>344</v>
      </c>
      <c r="C147" s="11" t="s">
        <v>63</v>
      </c>
      <c r="D147" s="266"/>
      <c r="E147" s="266">
        <v>310</v>
      </c>
      <c r="F147" s="14"/>
      <c r="G147" s="13"/>
      <c r="H147" s="4"/>
      <c r="I147" s="4"/>
      <c r="J147" s="4"/>
      <c r="K147" s="4"/>
      <c r="L147" s="4">
        <f t="shared" si="105"/>
        <v>0</v>
      </c>
    </row>
    <row r="148" spans="1:14" customFormat="1">
      <c r="A148" s="35"/>
      <c r="B148" s="112" t="s">
        <v>345</v>
      </c>
      <c r="C148" s="62"/>
      <c r="D148" s="62"/>
      <c r="E148" s="116"/>
      <c r="F148" s="63"/>
      <c r="G148" s="63"/>
      <c r="H148" s="85"/>
      <c r="I148" s="12"/>
      <c r="J148" s="63"/>
      <c r="K148" s="63"/>
      <c r="L148" s="63"/>
    </row>
    <row r="149" spans="1:14" s="189" customFormat="1" ht="44.25" customHeight="1">
      <c r="A149" s="235">
        <v>64</v>
      </c>
      <c r="B149" s="351" t="s">
        <v>356</v>
      </c>
      <c r="C149" s="352" t="s">
        <v>181</v>
      </c>
      <c r="D149" s="353"/>
      <c r="E149" s="353">
        <v>5</v>
      </c>
      <c r="F149" s="240"/>
      <c r="G149" s="13">
        <f t="shared" ref="G149" si="106">E149*F149</f>
        <v>0</v>
      </c>
      <c r="H149" s="90"/>
      <c r="I149" s="90">
        <f t="shared" ref="I149" si="107">H149*E149</f>
        <v>0</v>
      </c>
      <c r="J149" s="90"/>
      <c r="K149" s="90">
        <f t="shared" ref="K149" si="108">J149*E149</f>
        <v>0</v>
      </c>
      <c r="L149" s="90">
        <f t="shared" si="101"/>
        <v>0</v>
      </c>
      <c r="N149" s="354"/>
    </row>
    <row r="150" spans="1:14" ht="15.75">
      <c r="A150" s="154"/>
      <c r="B150" s="80" t="s">
        <v>65</v>
      </c>
      <c r="C150" s="31"/>
      <c r="D150" s="32"/>
      <c r="E150" s="32"/>
      <c r="F150" s="32"/>
      <c r="G150" s="66">
        <f>SUM(G10:G149)</f>
        <v>0</v>
      </c>
      <c r="H150" s="66"/>
      <c r="I150" s="66">
        <f>SUM(I10:I149)</f>
        <v>0</v>
      </c>
      <c r="J150" s="66"/>
      <c r="K150" s="66">
        <f>SUM(K10:K149)</f>
        <v>0</v>
      </c>
      <c r="L150" s="66">
        <f>SUM(L10:L149)</f>
        <v>0</v>
      </c>
    </row>
    <row r="151" spans="1:14" ht="18">
      <c r="A151" s="155"/>
      <c r="B151" s="176" t="s">
        <v>66</v>
      </c>
      <c r="C151" s="16"/>
      <c r="D151" s="15"/>
      <c r="E151" s="155"/>
      <c r="F151" s="15"/>
      <c r="G151" s="15"/>
      <c r="H151" s="15"/>
      <c r="I151" s="15"/>
      <c r="J151" s="15"/>
      <c r="K151" s="15"/>
      <c r="L151" s="4">
        <f>G150*C151</f>
        <v>0</v>
      </c>
    </row>
    <row r="152" spans="1:14" ht="18">
      <c r="A152" s="155"/>
      <c r="B152" s="177" t="s">
        <v>8</v>
      </c>
      <c r="C152" s="17"/>
      <c r="D152" s="15"/>
      <c r="E152" s="155"/>
      <c r="F152" s="15"/>
      <c r="G152" s="15"/>
      <c r="H152" s="15"/>
      <c r="I152" s="15"/>
      <c r="J152" s="15"/>
      <c r="K152" s="15"/>
      <c r="L152" s="7">
        <f>SUM(L150:L151)</f>
        <v>0</v>
      </c>
    </row>
    <row r="153" spans="1:14" ht="17.25">
      <c r="A153" s="153"/>
      <c r="B153" s="178" t="s">
        <v>77</v>
      </c>
      <c r="C153" s="18"/>
      <c r="D153" s="3"/>
      <c r="E153" s="3"/>
      <c r="F153" s="3"/>
      <c r="G153" s="3"/>
      <c r="H153" s="3"/>
      <c r="I153" s="3"/>
      <c r="J153" s="3"/>
      <c r="K153" s="3"/>
      <c r="L153" s="4">
        <f>L152*C153</f>
        <v>0</v>
      </c>
    </row>
    <row r="154" spans="1:14" ht="18">
      <c r="A154" s="153"/>
      <c r="B154" s="177" t="s">
        <v>8</v>
      </c>
      <c r="C154" s="19"/>
      <c r="D154" s="3"/>
      <c r="E154" s="3"/>
      <c r="F154" s="3"/>
      <c r="G154" s="3"/>
      <c r="H154" s="3"/>
      <c r="I154" s="3"/>
      <c r="J154" s="3"/>
      <c r="K154" s="3"/>
      <c r="L154" s="7">
        <f>SUM(L152:L153)</f>
        <v>0</v>
      </c>
    </row>
    <row r="155" spans="1:14" ht="17.25">
      <c r="A155" s="155"/>
      <c r="B155" s="178" t="s">
        <v>41</v>
      </c>
      <c r="C155" s="18"/>
      <c r="D155" s="15"/>
      <c r="E155" s="155"/>
      <c r="F155" s="15"/>
      <c r="G155" s="15"/>
      <c r="H155" s="15"/>
      <c r="I155" s="15"/>
      <c r="J155" s="15"/>
      <c r="K155" s="15"/>
      <c r="L155" s="4">
        <f>L154*C155</f>
        <v>0</v>
      </c>
    </row>
    <row r="156" spans="1:14" ht="19.5">
      <c r="A156" s="155"/>
      <c r="B156" s="179" t="s">
        <v>8</v>
      </c>
      <c r="C156" s="20"/>
      <c r="D156" s="15"/>
      <c r="E156" s="155"/>
      <c r="F156" s="15"/>
      <c r="G156" s="15"/>
      <c r="H156" s="15"/>
      <c r="I156" s="15"/>
      <c r="J156" s="15"/>
      <c r="K156" s="15"/>
      <c r="L156" s="7">
        <f>SUM(L154:L155)</f>
        <v>0</v>
      </c>
    </row>
    <row r="157" spans="1:14" ht="18">
      <c r="A157" s="155"/>
      <c r="B157" s="177" t="s">
        <v>68</v>
      </c>
      <c r="C157" s="21"/>
      <c r="D157" s="15"/>
      <c r="E157" s="155"/>
      <c r="F157" s="15"/>
      <c r="G157" s="15"/>
      <c r="H157" s="15"/>
      <c r="I157" s="15"/>
      <c r="J157" s="15"/>
      <c r="K157" s="15"/>
      <c r="L157" s="4">
        <f>L156*C157</f>
        <v>0</v>
      </c>
    </row>
    <row r="158" spans="1:14" ht="19.5">
      <c r="A158" s="155"/>
      <c r="B158" s="179" t="s">
        <v>8</v>
      </c>
      <c r="C158" s="20"/>
      <c r="D158" s="15"/>
      <c r="E158" s="155"/>
      <c r="F158" s="15"/>
      <c r="G158" s="15"/>
      <c r="H158" s="15"/>
      <c r="I158" s="15"/>
      <c r="J158" s="15"/>
      <c r="K158" s="15"/>
      <c r="L158" s="7">
        <f>SUM(L156:L157)</f>
        <v>0</v>
      </c>
    </row>
    <row r="159" spans="1:14" ht="18">
      <c r="A159" s="155"/>
      <c r="B159" s="177" t="s">
        <v>88</v>
      </c>
      <c r="C159" s="21"/>
      <c r="D159" s="15"/>
      <c r="E159" s="155"/>
      <c r="F159" s="15"/>
      <c r="G159" s="15"/>
      <c r="H159" s="15"/>
      <c r="I159" s="15"/>
      <c r="J159" s="15"/>
      <c r="K159" s="15"/>
      <c r="L159" s="4">
        <f>I150*C159</f>
        <v>0</v>
      </c>
    </row>
    <row r="160" spans="1:14" ht="19.5">
      <c r="A160" s="155"/>
      <c r="B160" s="179" t="s">
        <v>8</v>
      </c>
      <c r="C160" s="20"/>
      <c r="D160" s="15"/>
      <c r="E160" s="155"/>
      <c r="F160" s="15"/>
      <c r="G160" s="15"/>
      <c r="H160" s="15"/>
      <c r="I160" s="15"/>
      <c r="J160" s="15"/>
      <c r="K160" s="15"/>
      <c r="L160" s="28">
        <f>SUM(L158:L159)</f>
        <v>0</v>
      </c>
    </row>
    <row r="161" spans="1:12" ht="18">
      <c r="A161" s="155"/>
      <c r="B161" s="177" t="s">
        <v>9</v>
      </c>
      <c r="C161" s="21">
        <v>0.18</v>
      </c>
      <c r="D161" s="15"/>
      <c r="E161" s="155"/>
      <c r="F161" s="15"/>
      <c r="G161" s="15"/>
      <c r="H161" s="15"/>
      <c r="I161" s="15"/>
      <c r="J161" s="15"/>
      <c r="K161" s="15"/>
      <c r="L161" s="4">
        <f>L160*C161</f>
        <v>0</v>
      </c>
    </row>
    <row r="162" spans="1:12" ht="19.5">
      <c r="A162" s="155"/>
      <c r="B162" s="179" t="s">
        <v>69</v>
      </c>
      <c r="C162" s="22"/>
      <c r="D162" s="15"/>
      <c r="E162" s="155"/>
      <c r="F162" s="15"/>
      <c r="G162" s="15"/>
      <c r="H162" s="15"/>
      <c r="I162" s="15"/>
      <c r="J162" s="15"/>
      <c r="K162" s="15"/>
      <c r="L162" s="27">
        <f>SUM(L160:L161)</f>
        <v>0</v>
      </c>
    </row>
  </sheetData>
  <autoFilter ref="A9:L162" xr:uid="{00000000-0009-0000-0000-000003000000}"/>
  <mergeCells count="13">
    <mergeCell ref="H7:I7"/>
    <mergeCell ref="J7:K7"/>
    <mergeCell ref="L7:L8"/>
    <mergeCell ref="A1:L1"/>
    <mergeCell ref="A2:L2"/>
    <mergeCell ref="B3:K3"/>
    <mergeCell ref="B5:E5"/>
    <mergeCell ref="F5:I5"/>
    <mergeCell ref="A7:A8"/>
    <mergeCell ref="B7:B8"/>
    <mergeCell ref="C7:C8"/>
    <mergeCell ref="D7:E7"/>
    <mergeCell ref="F7:G7"/>
  </mergeCells>
  <phoneticPr fontId="45" type="noConversion"/>
  <conditionalFormatting sqref="B17:C17 E17:E36 B18 B19:C24 B25 B26:C30 B31 B32:C36">
    <cfRule type="cellIs" dxfId="25" priority="5" stopIfTrue="1" operator="equal">
      <formula>0</formula>
    </cfRule>
  </conditionalFormatting>
  <conditionalFormatting sqref="C144">
    <cfRule type="cellIs" dxfId="24" priority="1" stopIfTrue="1" operator="equal">
      <formula>0</formula>
    </cfRule>
  </conditionalFormatting>
  <conditionalFormatting sqref="C149">
    <cfRule type="cellIs" dxfId="23" priority="2" stopIfTrue="1" operator="equal">
      <formula>0</formula>
    </cfRule>
  </conditionalFormatting>
  <conditionalFormatting sqref="C113:E121">
    <cfRule type="cellIs" dxfId="22" priority="13" stopIfTrue="1" operator="equal">
      <formula>0</formula>
    </cfRule>
  </conditionalFormatting>
  <conditionalFormatting sqref="C138:F138">
    <cfRule type="cellIs" dxfId="21" priority="4" stopIfTrue="1" operator="equal">
      <formula>0</formula>
    </cfRule>
  </conditionalFormatting>
  <conditionalFormatting sqref="C140:F141">
    <cfRule type="cellIs" dxfId="20" priority="3" stopIfTrue="1" operator="equal">
      <formula>0</formula>
    </cfRule>
  </conditionalFormatting>
  <conditionalFormatting sqref="D112:F121">
    <cfRule type="cellIs" dxfId="19" priority="12" stopIfTrue="1" operator="equal">
      <formula>0</formula>
    </cfRule>
  </conditionalFormatting>
  <pageMargins left="0.7" right="0.7" top="0.75" bottom="0.75" header="0.3" footer="0.3"/>
  <pageSetup paperSize="9" scale="68" fitToHeight="0" orientation="landscape" r:id="rId1"/>
  <rowBreaks count="1" manualBreakCount="1">
    <brk id="12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0"/>
  <sheetViews>
    <sheetView topLeftCell="A9" zoomScale="90" zoomScaleNormal="90" zoomScaleSheetLayoutView="100" workbookViewId="0">
      <selection activeCell="G32" sqref="G32"/>
    </sheetView>
  </sheetViews>
  <sheetFormatPr defaultColWidth="8.85546875" defaultRowHeight="15"/>
  <cols>
    <col min="1" max="1" width="5.85546875" style="88" customWidth="1"/>
    <col min="2" max="2" width="57.5703125" style="37" customWidth="1"/>
    <col min="3" max="3" width="12.42578125" style="37" customWidth="1"/>
    <col min="4" max="4" width="9.85546875" style="37" customWidth="1"/>
    <col min="5" max="5" width="13.140625" style="88" customWidth="1"/>
    <col min="6" max="6" width="11.5703125" style="37" customWidth="1"/>
    <col min="7" max="7" width="14.42578125" style="37" customWidth="1"/>
    <col min="8" max="8" width="11.140625" style="47" customWidth="1"/>
    <col min="9" max="9" width="13.7109375" style="37" bestFit="1" customWidth="1"/>
    <col min="10" max="10" width="11.5703125" style="37" customWidth="1"/>
    <col min="11" max="11" width="13.5703125" style="37" customWidth="1"/>
    <col min="12" max="12" width="16.42578125" style="88" bestFit="1" customWidth="1"/>
    <col min="13" max="13" width="16.42578125" style="88" hidden="1" customWidth="1"/>
    <col min="14" max="14" width="17.42578125" style="37" hidden="1" customWidth="1"/>
    <col min="15" max="16" width="0" style="37" hidden="1" customWidth="1"/>
    <col min="17" max="17" width="12.85546875" style="37" hidden="1" customWidth="1"/>
    <col min="18" max="18" width="0" style="37" hidden="1" customWidth="1"/>
    <col min="19" max="20" width="8.85546875" style="37"/>
    <col min="21" max="21" width="11.28515625" style="37" bestFit="1" customWidth="1"/>
    <col min="22" max="16384" width="8.85546875" style="37"/>
  </cols>
  <sheetData>
    <row r="1" spans="1:18" ht="19.5">
      <c r="A1" s="342"/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166"/>
    </row>
    <row r="2" spans="1:18" ht="19.5">
      <c r="A2" s="343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163"/>
    </row>
    <row r="3" spans="1:18" ht="19.5">
      <c r="A3" s="163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163"/>
      <c r="M3" s="163"/>
    </row>
    <row r="4" spans="1:18" ht="19.5">
      <c r="A4" s="163"/>
      <c r="B4" s="163"/>
      <c r="C4" s="163"/>
      <c r="D4" s="163"/>
      <c r="E4" s="163"/>
      <c r="F4" s="163"/>
      <c r="G4" s="163"/>
      <c r="H4" s="82"/>
      <c r="I4" s="163"/>
      <c r="J4" s="39"/>
      <c r="K4" s="39"/>
      <c r="L4" s="163"/>
      <c r="M4" s="163"/>
    </row>
    <row r="5" spans="1:18" ht="16.5" customHeight="1">
      <c r="A5" s="152" t="s">
        <v>24</v>
      </c>
      <c r="B5" s="344"/>
      <c r="C5" s="344"/>
      <c r="D5" s="344"/>
      <c r="E5" s="344"/>
      <c r="F5" s="345"/>
      <c r="G5" s="345"/>
      <c r="H5" s="345"/>
      <c r="I5" s="345"/>
      <c r="J5" s="39"/>
      <c r="K5" s="39"/>
      <c r="L5" s="86"/>
      <c r="M5" s="86"/>
    </row>
    <row r="6" spans="1:18" ht="15.75" customHeight="1">
      <c r="A6" s="152"/>
      <c r="B6" s="40"/>
      <c r="C6" s="41"/>
      <c r="D6" s="41"/>
      <c r="E6" s="167"/>
      <c r="F6" s="41"/>
      <c r="G6" s="42"/>
      <c r="H6" s="42"/>
      <c r="I6" s="42"/>
      <c r="J6" s="43"/>
      <c r="K6" s="43"/>
      <c r="L6" s="87"/>
      <c r="M6" s="87"/>
    </row>
    <row r="7" spans="1:18" ht="54" customHeight="1">
      <c r="A7" s="346" t="s">
        <v>35</v>
      </c>
      <c r="B7" s="347" t="s">
        <v>34</v>
      </c>
      <c r="C7" s="340" t="s">
        <v>33</v>
      </c>
      <c r="D7" s="340" t="s">
        <v>2</v>
      </c>
      <c r="E7" s="340"/>
      <c r="F7" s="341" t="s">
        <v>32</v>
      </c>
      <c r="G7" s="341"/>
      <c r="H7" s="340" t="s">
        <v>31</v>
      </c>
      <c r="I7" s="340"/>
      <c r="J7" s="340" t="s">
        <v>30</v>
      </c>
      <c r="K7" s="340"/>
      <c r="L7" s="341" t="s">
        <v>8</v>
      </c>
      <c r="M7" s="168"/>
      <c r="N7" s="69"/>
      <c r="O7" s="69"/>
      <c r="P7" s="69"/>
      <c r="Q7" s="69"/>
      <c r="R7" s="69"/>
    </row>
    <row r="8" spans="1:18" ht="36">
      <c r="A8" s="346"/>
      <c r="B8" s="347"/>
      <c r="C8" s="340"/>
      <c r="D8" s="164" t="s">
        <v>29</v>
      </c>
      <c r="E8" s="164" t="s">
        <v>3</v>
      </c>
      <c r="F8" s="70" t="s">
        <v>28</v>
      </c>
      <c r="G8" s="165" t="s">
        <v>3</v>
      </c>
      <c r="H8" s="165" t="s">
        <v>28</v>
      </c>
      <c r="I8" s="165" t="s">
        <v>3</v>
      </c>
      <c r="J8" s="164" t="s">
        <v>27</v>
      </c>
      <c r="K8" s="165" t="s">
        <v>3</v>
      </c>
      <c r="L8" s="341"/>
      <c r="M8" s="168"/>
      <c r="N8" s="69"/>
      <c r="O8" s="69"/>
      <c r="P8" s="69"/>
      <c r="Q8" s="69"/>
      <c r="R8" s="69"/>
    </row>
    <row r="9" spans="1:18" ht="18">
      <c r="A9" s="71" t="s">
        <v>49</v>
      </c>
      <c r="B9" s="71">
        <v>2</v>
      </c>
      <c r="C9" s="71">
        <v>4</v>
      </c>
      <c r="D9" s="71">
        <v>5</v>
      </c>
      <c r="E9" s="71">
        <v>6</v>
      </c>
      <c r="F9" s="72" t="s">
        <v>26</v>
      </c>
      <c r="G9" s="73">
        <v>8</v>
      </c>
      <c r="H9" s="72">
        <v>9</v>
      </c>
      <c r="I9" s="73">
        <v>10</v>
      </c>
      <c r="J9" s="71">
        <v>11</v>
      </c>
      <c r="K9" s="73">
        <v>12</v>
      </c>
      <c r="L9" s="73">
        <v>13</v>
      </c>
      <c r="M9" s="169"/>
      <c r="N9" s="69"/>
      <c r="O9" s="69"/>
      <c r="P9" s="69"/>
      <c r="Q9" s="69"/>
      <c r="R9" s="69"/>
    </row>
    <row r="10" spans="1:18" customFormat="1" ht="42.75">
      <c r="A10" s="5">
        <v>1</v>
      </c>
      <c r="B10" s="180" t="s">
        <v>209</v>
      </c>
      <c r="C10" s="181" t="s">
        <v>210</v>
      </c>
      <c r="D10" s="182"/>
      <c r="E10" s="183">
        <f>E13*0.37</f>
        <v>705.36800000000005</v>
      </c>
      <c r="F10" s="25"/>
      <c r="G10" s="4"/>
      <c r="H10" s="23"/>
      <c r="I10" s="4"/>
      <c r="J10" s="23"/>
      <c r="K10" s="4">
        <f>J10*E10</f>
        <v>0</v>
      </c>
      <c r="L10" s="24">
        <f>G10+I10+K10</f>
        <v>0</v>
      </c>
      <c r="N10" s="26"/>
    </row>
    <row r="11" spans="1:18" customFormat="1" ht="42.75">
      <c r="A11" s="5">
        <v>2</v>
      </c>
      <c r="B11" s="180" t="s">
        <v>211</v>
      </c>
      <c r="C11" s="181" t="s">
        <v>210</v>
      </c>
      <c r="D11" s="182"/>
      <c r="E11" s="183">
        <f>E13*0.25*1.22</f>
        <v>581.452</v>
      </c>
      <c r="F11" s="25"/>
      <c r="G11" s="4">
        <f t="shared" ref="G11:G17" si="0">F11*E11</f>
        <v>0</v>
      </c>
      <c r="H11" s="23"/>
      <c r="I11" s="4">
        <f>H11*E11</f>
        <v>0</v>
      </c>
      <c r="J11" s="25"/>
      <c r="K11" s="4">
        <f>J11*E11</f>
        <v>0</v>
      </c>
      <c r="L11" s="24">
        <f t="shared" ref="L11:L17" si="1">G11+I11+K11</f>
        <v>0</v>
      </c>
      <c r="M11" s="24">
        <f>H11+J11+L11</f>
        <v>0</v>
      </c>
      <c r="N11" s="26"/>
    </row>
    <row r="12" spans="1:18" customFormat="1" ht="28.5">
      <c r="A12" s="5">
        <v>3</v>
      </c>
      <c r="B12" s="180" t="s">
        <v>212</v>
      </c>
      <c r="C12" s="181" t="s">
        <v>210</v>
      </c>
      <c r="D12" s="182"/>
      <c r="E12" s="183">
        <f>E13*0.12*1.26</f>
        <v>288.24768</v>
      </c>
      <c r="F12" s="25"/>
      <c r="G12" s="4">
        <f t="shared" si="0"/>
        <v>0</v>
      </c>
      <c r="H12" s="23"/>
      <c r="I12" s="4">
        <f>H12*E12</f>
        <v>0</v>
      </c>
      <c r="J12" s="25"/>
      <c r="K12" s="4">
        <f>J12*E12</f>
        <v>0</v>
      </c>
      <c r="L12" s="24">
        <f t="shared" si="1"/>
        <v>0</v>
      </c>
      <c r="M12" s="24">
        <f>H12+J12+L12</f>
        <v>0</v>
      </c>
      <c r="N12" s="26"/>
    </row>
    <row r="13" spans="1:18" customFormat="1" ht="28.5">
      <c r="A13" s="5">
        <v>4</v>
      </c>
      <c r="B13" s="184" t="s">
        <v>213</v>
      </c>
      <c r="C13" s="181" t="s">
        <v>214</v>
      </c>
      <c r="D13" s="182"/>
      <c r="E13" s="185">
        <v>1906.4</v>
      </c>
      <c r="F13" s="25"/>
      <c r="G13" s="4">
        <f t="shared" si="0"/>
        <v>0</v>
      </c>
      <c r="H13" s="23"/>
      <c r="I13" s="4">
        <f t="shared" ref="I13:I17" si="2">H13*E13</f>
        <v>0</v>
      </c>
      <c r="J13" s="25"/>
      <c r="K13" s="4">
        <f t="shared" ref="K13:K17" si="3">J13*E13</f>
        <v>0</v>
      </c>
      <c r="L13" s="24">
        <f t="shared" si="1"/>
        <v>0</v>
      </c>
      <c r="N13" s="26"/>
    </row>
    <row r="14" spans="1:18" customFormat="1" ht="18">
      <c r="A14" s="170" t="s">
        <v>215</v>
      </c>
      <c r="B14" s="184" t="s">
        <v>216</v>
      </c>
      <c r="C14" s="181" t="s">
        <v>5</v>
      </c>
      <c r="D14" s="182"/>
      <c r="E14" s="183">
        <f>E13*0.6/1000</f>
        <v>1.14384</v>
      </c>
      <c r="F14" s="25"/>
      <c r="G14" s="4">
        <f t="shared" si="0"/>
        <v>0</v>
      </c>
      <c r="H14" s="23"/>
      <c r="I14" s="4">
        <f t="shared" si="2"/>
        <v>0</v>
      </c>
      <c r="J14" s="25"/>
      <c r="K14" s="4">
        <f t="shared" si="3"/>
        <v>0</v>
      </c>
      <c r="L14" s="24">
        <f t="shared" si="1"/>
        <v>0</v>
      </c>
      <c r="N14" s="26"/>
    </row>
    <row r="15" spans="1:18" customFormat="1" ht="28.5">
      <c r="A15" s="5">
        <v>5</v>
      </c>
      <c r="B15" s="184" t="s">
        <v>217</v>
      </c>
      <c r="C15" s="181" t="s">
        <v>214</v>
      </c>
      <c r="D15" s="182"/>
      <c r="E15" s="183">
        <f>E13</f>
        <v>1906.4</v>
      </c>
      <c r="F15" s="25"/>
      <c r="G15" s="4">
        <f t="shared" si="0"/>
        <v>0</v>
      </c>
      <c r="H15" s="23"/>
      <c r="I15" s="4">
        <f t="shared" si="2"/>
        <v>0</v>
      </c>
      <c r="J15" s="25"/>
      <c r="K15" s="4">
        <f t="shared" si="3"/>
        <v>0</v>
      </c>
      <c r="L15" s="24">
        <f t="shared" si="1"/>
        <v>0</v>
      </c>
      <c r="N15" s="26"/>
    </row>
    <row r="16" spans="1:18" customFormat="1" ht="18">
      <c r="A16" s="5" t="s">
        <v>218</v>
      </c>
      <c r="B16" s="184" t="s">
        <v>219</v>
      </c>
      <c r="C16" s="181" t="s">
        <v>5</v>
      </c>
      <c r="D16" s="182"/>
      <c r="E16" s="183">
        <f>E13*0.3/1000</f>
        <v>0.57191999999999998</v>
      </c>
      <c r="F16" s="25"/>
      <c r="G16" s="4">
        <f t="shared" si="0"/>
        <v>0</v>
      </c>
      <c r="H16" s="23"/>
      <c r="I16" s="4">
        <f t="shared" si="2"/>
        <v>0</v>
      </c>
      <c r="J16" s="25"/>
      <c r="K16" s="4">
        <f t="shared" si="3"/>
        <v>0</v>
      </c>
      <c r="L16" s="24">
        <f t="shared" si="1"/>
        <v>0</v>
      </c>
      <c r="N16" s="26"/>
    </row>
    <row r="17" spans="1:18" customFormat="1" ht="18">
      <c r="A17" s="5">
        <v>6</v>
      </c>
      <c r="B17" s="184" t="s">
        <v>220</v>
      </c>
      <c r="C17" s="181" t="s">
        <v>63</v>
      </c>
      <c r="D17" s="182"/>
      <c r="E17" s="183">
        <v>222.7</v>
      </c>
      <c r="F17" s="25"/>
      <c r="G17" s="4">
        <f t="shared" si="0"/>
        <v>0</v>
      </c>
      <c r="H17" s="23"/>
      <c r="I17" s="4">
        <f t="shared" si="2"/>
        <v>0</v>
      </c>
      <c r="J17" s="25"/>
      <c r="K17" s="4">
        <f t="shared" si="3"/>
        <v>0</v>
      </c>
      <c r="L17" s="24">
        <f t="shared" si="1"/>
        <v>0</v>
      </c>
      <c r="N17" s="26"/>
    </row>
    <row r="18" spans="1:18" ht="15.75">
      <c r="A18" s="154"/>
      <c r="B18" s="80" t="s">
        <v>65</v>
      </c>
      <c r="C18" s="31"/>
      <c r="D18" s="32"/>
      <c r="E18" s="32"/>
      <c r="F18" s="32"/>
      <c r="G18" s="66">
        <f>SUM(G10:G17)</f>
        <v>0</v>
      </c>
      <c r="H18" s="66"/>
      <c r="I18" s="66">
        <f>SUM(I10:I17)</f>
        <v>0</v>
      </c>
      <c r="J18" s="66"/>
      <c r="K18" s="66">
        <f>SUM(K10:K17)</f>
        <v>0</v>
      </c>
      <c r="L18" s="66">
        <f>SUM(L10:L17)</f>
        <v>0</v>
      </c>
      <c r="M18" s="171"/>
      <c r="N18" s="69"/>
      <c r="O18" s="69"/>
      <c r="P18" s="69"/>
      <c r="Q18" s="69"/>
      <c r="R18" s="69"/>
    </row>
    <row r="19" spans="1:18" ht="18">
      <c r="A19" s="155"/>
      <c r="B19" s="176" t="s">
        <v>66</v>
      </c>
      <c r="C19" s="16"/>
      <c r="D19" s="15"/>
      <c r="E19" s="155"/>
      <c r="F19" s="15"/>
      <c r="G19" s="15"/>
      <c r="H19" s="15"/>
      <c r="I19" s="15"/>
      <c r="J19" s="15"/>
      <c r="K19" s="15"/>
      <c r="L19" s="4">
        <f>G18*C19</f>
        <v>0</v>
      </c>
      <c r="M19" s="172"/>
      <c r="N19" s="69"/>
      <c r="O19" s="69"/>
      <c r="P19" s="69"/>
      <c r="Q19" s="69"/>
      <c r="R19" s="69"/>
    </row>
    <row r="20" spans="1:18" ht="18">
      <c r="A20" s="155"/>
      <c r="B20" s="177" t="s">
        <v>8</v>
      </c>
      <c r="C20" s="17"/>
      <c r="D20" s="15"/>
      <c r="E20" s="155"/>
      <c r="F20" s="15"/>
      <c r="G20" s="15"/>
      <c r="H20" s="15"/>
      <c r="I20" s="15"/>
      <c r="J20" s="15"/>
      <c r="K20" s="15"/>
      <c r="L20" s="7">
        <f>SUM(L18:L19)</f>
        <v>0</v>
      </c>
      <c r="M20" s="171"/>
      <c r="N20" s="69"/>
      <c r="O20" s="69"/>
      <c r="P20" s="69"/>
      <c r="Q20" s="69"/>
      <c r="R20" s="69"/>
    </row>
    <row r="21" spans="1:18" ht="17.25">
      <c r="A21" s="153"/>
      <c r="B21" s="178" t="s">
        <v>77</v>
      </c>
      <c r="C21" s="18"/>
      <c r="D21" s="3"/>
      <c r="E21" s="3"/>
      <c r="F21" s="3"/>
      <c r="G21" s="3"/>
      <c r="H21" s="3"/>
      <c r="I21" s="3"/>
      <c r="J21" s="3"/>
      <c r="K21" s="3"/>
      <c r="L21" s="4">
        <f>L20*C21</f>
        <v>0</v>
      </c>
      <c r="M21" s="172"/>
      <c r="N21" s="69"/>
      <c r="O21" s="69"/>
      <c r="P21" s="69"/>
      <c r="Q21" s="69"/>
      <c r="R21" s="69"/>
    </row>
    <row r="22" spans="1:18" ht="18">
      <c r="A22" s="153"/>
      <c r="B22" s="177" t="s">
        <v>8</v>
      </c>
      <c r="C22" s="19"/>
      <c r="D22" s="3"/>
      <c r="E22" s="3"/>
      <c r="F22" s="3"/>
      <c r="G22" s="3"/>
      <c r="H22" s="3"/>
      <c r="I22" s="3"/>
      <c r="J22" s="3"/>
      <c r="K22" s="3"/>
      <c r="L22" s="7">
        <f>SUM(L20:L21)</f>
        <v>0</v>
      </c>
      <c r="M22" s="171"/>
      <c r="N22" s="69"/>
      <c r="O22" s="69"/>
      <c r="P22" s="69"/>
      <c r="Q22" s="69"/>
      <c r="R22" s="69"/>
    </row>
    <row r="23" spans="1:18" ht="17.25">
      <c r="A23" s="155"/>
      <c r="B23" s="178" t="s">
        <v>41</v>
      </c>
      <c r="C23" s="18"/>
      <c r="D23" s="15"/>
      <c r="E23" s="155"/>
      <c r="F23" s="15"/>
      <c r="G23" s="15"/>
      <c r="H23" s="15"/>
      <c r="I23" s="15"/>
      <c r="J23" s="15"/>
      <c r="K23" s="15"/>
      <c r="L23" s="4">
        <f>L22*C23</f>
        <v>0</v>
      </c>
      <c r="M23" s="172"/>
      <c r="N23" s="69"/>
      <c r="O23" s="69"/>
      <c r="P23" s="69"/>
      <c r="Q23" s="69"/>
      <c r="R23" s="69"/>
    </row>
    <row r="24" spans="1:18" ht="19.5">
      <c r="A24" s="155"/>
      <c r="B24" s="179" t="s">
        <v>8</v>
      </c>
      <c r="C24" s="20"/>
      <c r="D24" s="15"/>
      <c r="E24" s="155"/>
      <c r="F24" s="15"/>
      <c r="G24" s="15"/>
      <c r="H24" s="15"/>
      <c r="I24" s="15"/>
      <c r="J24" s="15"/>
      <c r="K24" s="15"/>
      <c r="L24" s="7">
        <f>SUM(L22:L23)</f>
        <v>0</v>
      </c>
      <c r="M24" s="171"/>
      <c r="N24" s="69"/>
      <c r="O24" s="69"/>
      <c r="P24" s="69"/>
      <c r="Q24" s="69"/>
      <c r="R24" s="69"/>
    </row>
    <row r="25" spans="1:18" ht="18">
      <c r="A25" s="155"/>
      <c r="B25" s="177" t="s">
        <v>68</v>
      </c>
      <c r="C25" s="21"/>
      <c r="D25" s="15"/>
      <c r="E25" s="155"/>
      <c r="F25" s="15"/>
      <c r="G25" s="15"/>
      <c r="H25" s="15"/>
      <c r="I25" s="15"/>
      <c r="J25" s="15"/>
      <c r="K25" s="15"/>
      <c r="L25" s="4">
        <f>L24*C25</f>
        <v>0</v>
      </c>
      <c r="M25" s="172"/>
      <c r="N25" s="69"/>
      <c r="O25" s="69"/>
      <c r="P25" s="69"/>
      <c r="Q25" s="69"/>
      <c r="R25" s="69"/>
    </row>
    <row r="26" spans="1:18" ht="19.5">
      <c r="A26" s="155"/>
      <c r="B26" s="179" t="s">
        <v>8</v>
      </c>
      <c r="C26" s="20"/>
      <c r="D26" s="15"/>
      <c r="E26" s="155"/>
      <c r="F26" s="15"/>
      <c r="G26" s="15"/>
      <c r="H26" s="15"/>
      <c r="I26" s="15"/>
      <c r="J26" s="15"/>
      <c r="K26" s="15"/>
      <c r="L26" s="7">
        <f>SUM(L24:L25)</f>
        <v>0</v>
      </c>
      <c r="M26" s="171"/>
      <c r="N26" s="69"/>
      <c r="O26" s="69"/>
      <c r="P26" s="69"/>
      <c r="Q26" s="69"/>
      <c r="R26" s="69"/>
    </row>
    <row r="27" spans="1:18" ht="18">
      <c r="A27" s="155"/>
      <c r="B27" s="177" t="s">
        <v>88</v>
      </c>
      <c r="C27" s="21"/>
      <c r="D27" s="15"/>
      <c r="E27" s="155"/>
      <c r="F27" s="15"/>
      <c r="G27" s="15"/>
      <c r="H27" s="15"/>
      <c r="I27" s="15"/>
      <c r="J27" s="15"/>
      <c r="K27" s="15"/>
      <c r="L27" s="4">
        <f>I18*C27</f>
        <v>0</v>
      </c>
      <c r="M27" s="172"/>
      <c r="N27" s="69"/>
      <c r="O27" s="69"/>
      <c r="P27" s="69"/>
      <c r="Q27" s="69"/>
      <c r="R27" s="69"/>
    </row>
    <row r="28" spans="1:18" ht="19.5">
      <c r="A28" s="155"/>
      <c r="B28" s="179" t="s">
        <v>8</v>
      </c>
      <c r="C28" s="20"/>
      <c r="D28" s="15"/>
      <c r="E28" s="155"/>
      <c r="F28" s="15"/>
      <c r="G28" s="15"/>
      <c r="H28" s="15"/>
      <c r="I28" s="15"/>
      <c r="J28" s="15"/>
      <c r="K28" s="15"/>
      <c r="L28" s="27">
        <f>SUM(L26:L27)</f>
        <v>0</v>
      </c>
      <c r="M28" s="171"/>
      <c r="N28" s="69"/>
      <c r="O28" s="69"/>
      <c r="P28" s="69"/>
      <c r="Q28" s="69"/>
      <c r="R28" s="69"/>
    </row>
    <row r="29" spans="1:18" ht="18">
      <c r="A29" s="155"/>
      <c r="B29" s="177" t="s">
        <v>9</v>
      </c>
      <c r="C29" s="21">
        <v>0.18</v>
      </c>
      <c r="D29" s="15"/>
      <c r="E29" s="155"/>
      <c r="F29" s="15"/>
      <c r="G29" s="15"/>
      <c r="H29" s="15"/>
      <c r="I29" s="15"/>
      <c r="J29" s="15"/>
      <c r="K29" s="15"/>
      <c r="L29" s="4">
        <f>L28*C29</f>
        <v>0</v>
      </c>
      <c r="M29" s="173"/>
      <c r="N29" s="69"/>
      <c r="O29" s="69"/>
      <c r="P29" s="69"/>
      <c r="Q29" s="69"/>
      <c r="R29" s="69"/>
    </row>
    <row r="30" spans="1:18" ht="19.5">
      <c r="A30" s="155"/>
      <c r="B30" s="179" t="s">
        <v>69</v>
      </c>
      <c r="C30" s="22"/>
      <c r="D30" s="15"/>
      <c r="E30" s="155"/>
      <c r="F30" s="15"/>
      <c r="G30" s="15"/>
      <c r="H30" s="15"/>
      <c r="I30" s="15"/>
      <c r="J30" s="15"/>
      <c r="K30" s="15"/>
      <c r="L30" s="27">
        <f>SUM(L28:L29)</f>
        <v>0</v>
      </c>
      <c r="M30" s="171"/>
      <c r="N30" s="69"/>
      <c r="O30" s="69"/>
      <c r="P30" s="69"/>
      <c r="Q30" s="69"/>
      <c r="R30" s="69"/>
    </row>
  </sheetData>
  <autoFilter ref="A9:L30" xr:uid="{00000000-0009-0000-0000-000004000000}"/>
  <mergeCells count="13">
    <mergeCell ref="H7:I7"/>
    <mergeCell ref="J7:K7"/>
    <mergeCell ref="L7:L8"/>
    <mergeCell ref="A1:L1"/>
    <mergeCell ref="A2:L2"/>
    <mergeCell ref="B3:K3"/>
    <mergeCell ref="B5:E5"/>
    <mergeCell ref="F5:I5"/>
    <mergeCell ref="A7:A8"/>
    <mergeCell ref="B7:B8"/>
    <mergeCell ref="C7:C8"/>
    <mergeCell ref="D7:E7"/>
    <mergeCell ref="F7:G7"/>
  </mergeCells>
  <conditionalFormatting sqref="B14:B15">
    <cfRule type="cellIs" dxfId="18" priority="10" stopIfTrue="1" operator="equal">
      <formula>0</formula>
    </cfRule>
  </conditionalFormatting>
  <conditionalFormatting sqref="B17">
    <cfRule type="cellIs" dxfId="17" priority="9" stopIfTrue="1" operator="equal">
      <formula>0</formula>
    </cfRule>
  </conditionalFormatting>
  <conditionalFormatting sqref="B16:C16">
    <cfRule type="cellIs" dxfId="16" priority="11" stopIfTrue="1" operator="equal">
      <formula>0</formula>
    </cfRule>
  </conditionalFormatting>
  <conditionalFormatting sqref="E16">
    <cfRule type="cellIs" dxfId="15" priority="12" stopIfTrue="1" operator="equal">
      <formula>8223.307275</formula>
    </cfRule>
    <cfRule type="cellIs" dxfId="14" priority="13" stopIfTrue="1" operator="equal">
      <formula>0</formula>
    </cfRule>
  </conditionalFormatting>
  <conditionalFormatting sqref="E10:F17 J10">
    <cfRule type="cellIs" dxfId="13" priority="14" stopIfTrue="1" operator="equal">
      <formula>8223.307275</formula>
    </cfRule>
  </conditionalFormatting>
  <conditionalFormatting sqref="F11:G12">
    <cfRule type="cellIs" dxfId="12" priority="5" stopIfTrue="1" operator="equal">
      <formula>8223.307275</formula>
    </cfRule>
    <cfRule type="cellIs" dxfId="11" priority="6" stopIfTrue="1" operator="equal">
      <formula>0</formula>
    </cfRule>
  </conditionalFormatting>
  <conditionalFormatting sqref="H10:H11">
    <cfRule type="cellIs" dxfId="10" priority="1" stopIfTrue="1" operator="equal">
      <formula>8223.307275</formula>
    </cfRule>
    <cfRule type="cellIs" dxfId="9" priority="2" stopIfTrue="1" operator="equal">
      <formula>0</formula>
    </cfRule>
  </conditionalFormatting>
  <conditionalFormatting sqref="H12:K12 G13:K17">
    <cfRule type="cellIs" dxfId="8" priority="3" stopIfTrue="1" operator="equal">
      <formula>8223.307275</formula>
    </cfRule>
    <cfRule type="cellIs" dxfId="7" priority="4" stopIfTrue="1" operator="equal">
      <formula>0</formula>
    </cfRule>
  </conditionalFormatting>
  <conditionalFormatting sqref="I11:K11">
    <cfRule type="cellIs" dxfId="6" priority="7" stopIfTrue="1" operator="equal">
      <formula>8223.307275</formula>
    </cfRule>
    <cfRule type="cellIs" dxfId="5" priority="8" stopIfTrue="1" operator="equal">
      <formula>0</formula>
    </cfRule>
  </conditionalFormatting>
  <conditionalFormatting sqref="J10 E10:F17">
    <cfRule type="cellIs" dxfId="4" priority="15" stopIfTrue="1" operator="equal">
      <formula>0</formula>
    </cfRule>
  </conditionalFormatting>
  <pageMargins left="0.7" right="0.7" top="0.75" bottom="0.75" header="0.3" footer="0.3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32"/>
  <sheetViews>
    <sheetView zoomScale="85" zoomScaleNormal="85" workbookViewId="0">
      <selection activeCell="I144" sqref="I144"/>
    </sheetView>
  </sheetViews>
  <sheetFormatPr defaultColWidth="8.85546875" defaultRowHeight="15"/>
  <cols>
    <col min="1" max="1" width="5.85546875" style="160" customWidth="1"/>
    <col min="2" max="2" width="57.5703125" style="189" customWidth="1"/>
    <col min="3" max="3" width="12.42578125" style="189" customWidth="1"/>
    <col min="4" max="4" width="9.85546875" style="189" customWidth="1"/>
    <col min="5" max="5" width="13.140625" style="160" customWidth="1"/>
    <col min="6" max="6" width="11.5703125" style="189" customWidth="1"/>
    <col min="7" max="7" width="14.42578125" style="189" customWidth="1"/>
    <col min="8" max="8" width="11.140625" style="228" customWidth="1"/>
    <col min="9" max="9" width="13.7109375" style="189" bestFit="1" customWidth="1"/>
    <col min="10" max="10" width="11.5703125" style="189" customWidth="1"/>
    <col min="11" max="11" width="13.5703125" style="189" customWidth="1"/>
    <col min="12" max="12" width="16.42578125" style="160" bestFit="1" customWidth="1"/>
    <col min="13" max="13" width="16.42578125" style="160" hidden="1" customWidth="1"/>
    <col min="14" max="14" width="17.42578125" style="189" hidden="1" customWidth="1"/>
    <col min="15" max="16" width="0" style="189" hidden="1" customWidth="1"/>
    <col min="17" max="17" width="12.85546875" style="189" hidden="1" customWidth="1"/>
    <col min="18" max="18" width="0" style="189" hidden="1" customWidth="1"/>
    <col min="19" max="20" width="8.85546875" style="189"/>
    <col min="21" max="21" width="11.28515625" style="189" bestFit="1" customWidth="1"/>
    <col min="22" max="16384" width="8.85546875" style="189"/>
  </cols>
  <sheetData>
    <row r="1" spans="1:15" ht="19.5">
      <c r="A1" s="348"/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188"/>
    </row>
    <row r="2" spans="1:15" ht="19.5">
      <c r="A2" s="336" t="s">
        <v>230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8"/>
    </row>
    <row r="3" spans="1:15" ht="19.5">
      <c r="A3" s="38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8"/>
      <c r="M3" s="38"/>
    </row>
    <row r="4" spans="1:15" ht="19.5">
      <c r="A4" s="38"/>
      <c r="B4" s="38"/>
      <c r="C4" s="38"/>
      <c r="D4" s="38"/>
      <c r="E4" s="38"/>
      <c r="F4" s="38"/>
      <c r="G4" s="38"/>
      <c r="H4" s="190"/>
      <c r="I4" s="38"/>
      <c r="J4" s="191"/>
      <c r="K4" s="191"/>
      <c r="L4" s="38"/>
      <c r="M4" s="38"/>
    </row>
    <row r="5" spans="1:15" ht="19.5">
      <c r="A5" s="192" t="s">
        <v>24</v>
      </c>
      <c r="B5" s="349"/>
      <c r="C5" s="349"/>
      <c r="D5" s="349"/>
      <c r="E5" s="349"/>
      <c r="F5" s="350"/>
      <c r="G5" s="350"/>
      <c r="H5" s="350"/>
      <c r="I5" s="350"/>
      <c r="J5" s="191"/>
      <c r="K5" s="191"/>
      <c r="L5" s="193"/>
      <c r="M5" s="193"/>
    </row>
    <row r="6" spans="1:15" ht="19.5">
      <c r="A6" s="192"/>
      <c r="B6" s="194"/>
      <c r="C6" s="195"/>
      <c r="D6" s="195"/>
      <c r="E6" s="156"/>
      <c r="F6" s="195"/>
      <c r="G6" s="196"/>
      <c r="H6" s="196"/>
      <c r="I6" s="196"/>
      <c r="J6" s="197"/>
      <c r="K6" s="197"/>
      <c r="L6" s="198"/>
      <c r="M6" s="198"/>
    </row>
    <row r="7" spans="1:15" ht="18">
      <c r="A7" s="334" t="s">
        <v>35</v>
      </c>
      <c r="B7" s="334" t="s">
        <v>34</v>
      </c>
      <c r="C7" s="334" t="s">
        <v>33</v>
      </c>
      <c r="D7" s="334" t="s">
        <v>2</v>
      </c>
      <c r="E7" s="334"/>
      <c r="F7" s="339" t="s">
        <v>32</v>
      </c>
      <c r="G7" s="339"/>
      <c r="H7" s="334" t="s">
        <v>31</v>
      </c>
      <c r="I7" s="334"/>
      <c r="J7" s="334" t="s">
        <v>30</v>
      </c>
      <c r="K7" s="334"/>
      <c r="L7" s="339" t="s">
        <v>8</v>
      </c>
      <c r="M7" s="199"/>
    </row>
    <row r="8" spans="1:15" ht="36">
      <c r="A8" s="334"/>
      <c r="B8" s="334"/>
      <c r="C8" s="334"/>
      <c r="D8" s="200" t="s">
        <v>29</v>
      </c>
      <c r="E8" s="200" t="s">
        <v>3</v>
      </c>
      <c r="F8" s="201" t="s">
        <v>28</v>
      </c>
      <c r="G8" s="202" t="s">
        <v>3</v>
      </c>
      <c r="H8" s="202" t="s">
        <v>28</v>
      </c>
      <c r="I8" s="202" t="s">
        <v>3</v>
      </c>
      <c r="J8" s="200" t="s">
        <v>27</v>
      </c>
      <c r="K8" s="202" t="s">
        <v>3</v>
      </c>
      <c r="L8" s="339"/>
      <c r="M8" s="199"/>
    </row>
    <row r="9" spans="1:15" ht="18">
      <c r="A9" s="203" t="s">
        <v>49</v>
      </c>
      <c r="B9" s="203">
        <v>2</v>
      </c>
      <c r="C9" s="203">
        <v>4</v>
      </c>
      <c r="D9" s="203">
        <v>5</v>
      </c>
      <c r="E9" s="203">
        <v>6</v>
      </c>
      <c r="F9" s="204" t="s">
        <v>26</v>
      </c>
      <c r="G9" s="205">
        <v>8</v>
      </c>
      <c r="H9" s="204">
        <v>9</v>
      </c>
      <c r="I9" s="205">
        <v>10</v>
      </c>
      <c r="J9" s="203">
        <v>11</v>
      </c>
      <c r="K9" s="205">
        <v>12</v>
      </c>
      <c r="L9" s="205">
        <v>13</v>
      </c>
      <c r="M9" s="206"/>
    </row>
    <row r="10" spans="1:15" ht="18">
      <c r="A10" s="207">
        <v>1</v>
      </c>
      <c r="B10" s="260" t="s">
        <v>231</v>
      </c>
      <c r="C10" s="208"/>
      <c r="D10" s="208"/>
      <c r="E10" s="208"/>
      <c r="F10" s="204"/>
      <c r="G10" s="205"/>
      <c r="H10" s="209"/>
      <c r="I10" s="205"/>
      <c r="J10" s="203"/>
      <c r="K10" s="205"/>
      <c r="L10" s="132"/>
      <c r="M10" s="206"/>
    </row>
    <row r="11" spans="1:15" s="217" customFormat="1">
      <c r="A11" s="210">
        <v>2</v>
      </c>
      <c r="B11" s="211" t="s">
        <v>232</v>
      </c>
      <c r="C11" s="212" t="s">
        <v>339</v>
      </c>
      <c r="D11" s="213"/>
      <c r="E11" s="213">
        <v>610</v>
      </c>
      <c r="F11" s="214"/>
      <c r="G11" s="215"/>
      <c r="H11" s="214"/>
      <c r="I11" s="123"/>
      <c r="J11" s="122"/>
      <c r="K11" s="122"/>
      <c r="L11" s="132"/>
      <c r="M11" s="216"/>
    </row>
    <row r="12" spans="1:15" ht="18">
      <c r="A12" s="207">
        <v>3</v>
      </c>
      <c r="B12" s="211" t="s">
        <v>233</v>
      </c>
      <c r="C12" s="212" t="s">
        <v>339</v>
      </c>
      <c r="D12" s="213"/>
      <c r="E12" s="213">
        <v>820</v>
      </c>
      <c r="F12" s="118"/>
      <c r="G12" s="215"/>
      <c r="H12" s="119"/>
      <c r="I12" s="123"/>
      <c r="J12" s="122"/>
      <c r="K12" s="122"/>
      <c r="L12" s="132">
        <f t="shared" ref="L12:L13" si="0">K12+I12+G12</f>
        <v>0</v>
      </c>
      <c r="M12" s="216"/>
    </row>
    <row r="13" spans="1:15">
      <c r="A13" s="210">
        <v>4</v>
      </c>
      <c r="B13" s="211" t="s">
        <v>234</v>
      </c>
      <c r="C13" s="212" t="s">
        <v>339</v>
      </c>
      <c r="D13" s="187"/>
      <c r="E13" s="187">
        <v>830</v>
      </c>
      <c r="F13" s="118"/>
      <c r="G13" s="215"/>
      <c r="H13" s="119"/>
      <c r="I13" s="123"/>
      <c r="J13" s="122"/>
      <c r="K13" s="122"/>
      <c r="L13" s="132">
        <f t="shared" si="0"/>
        <v>0</v>
      </c>
      <c r="M13" s="216"/>
    </row>
    <row r="14" spans="1:15" s="220" customFormat="1" ht="18">
      <c r="A14" s="207">
        <v>5</v>
      </c>
      <c r="B14" s="211" t="s">
        <v>235</v>
      </c>
      <c r="C14" s="212" t="s">
        <v>339</v>
      </c>
      <c r="D14" s="187"/>
      <c r="E14" s="187">
        <v>270</v>
      </c>
      <c r="F14" s="218"/>
      <c r="G14" s="218"/>
      <c r="H14" s="218"/>
      <c r="I14" s="218"/>
      <c r="J14" s="218"/>
      <c r="K14" s="218"/>
      <c r="L14" s="132"/>
      <c r="M14" s="219"/>
    </row>
    <row r="15" spans="1:15" s="220" customFormat="1">
      <c r="A15" s="210">
        <v>6</v>
      </c>
      <c r="B15" s="211" t="s">
        <v>236</v>
      </c>
      <c r="C15" s="212" t="s">
        <v>339</v>
      </c>
      <c r="D15" s="187"/>
      <c r="E15" s="187">
        <v>30</v>
      </c>
      <c r="F15" s="182"/>
      <c r="G15" s="182"/>
      <c r="H15" s="116"/>
      <c r="I15" s="116"/>
      <c r="J15" s="116"/>
      <c r="K15" s="116"/>
      <c r="L15" s="132">
        <f>I15</f>
        <v>0</v>
      </c>
      <c r="M15" s="221"/>
      <c r="N15" s="222">
        <f>0.83*1.6*3</f>
        <v>3.984</v>
      </c>
      <c r="O15" s="222"/>
    </row>
    <row r="16" spans="1:15" s="220" customFormat="1" ht="18">
      <c r="A16" s="207">
        <v>7</v>
      </c>
      <c r="B16" s="211" t="s">
        <v>237</v>
      </c>
      <c r="C16" s="212" t="s">
        <v>339</v>
      </c>
      <c r="D16" s="187"/>
      <c r="E16" s="187">
        <v>30</v>
      </c>
      <c r="F16" s="116"/>
      <c r="G16" s="116"/>
      <c r="H16" s="223"/>
      <c r="I16" s="182"/>
      <c r="J16" s="116"/>
      <c r="K16" s="116"/>
      <c r="L16" s="132">
        <f>G16</f>
        <v>0</v>
      </c>
      <c r="M16" s="221"/>
      <c r="N16" s="220">
        <f>0.5*0.6</f>
        <v>0.3</v>
      </c>
    </row>
    <row r="17" spans="1:21" s="220" customFormat="1" ht="25.5">
      <c r="A17" s="210">
        <v>8</v>
      </c>
      <c r="B17" s="224" t="s">
        <v>238</v>
      </c>
      <c r="C17" s="212" t="s">
        <v>339</v>
      </c>
      <c r="D17" s="187"/>
      <c r="E17" s="187">
        <v>1850</v>
      </c>
      <c r="F17" s="132"/>
      <c r="G17" s="132"/>
      <c r="H17" s="132"/>
      <c r="I17" s="132"/>
      <c r="J17" s="132"/>
      <c r="K17" s="132"/>
      <c r="L17" s="132">
        <f>K17+I17+G17</f>
        <v>0</v>
      </c>
      <c r="M17" s="221"/>
    </row>
    <row r="18" spans="1:21" s="220" customFormat="1" ht="18">
      <c r="A18" s="207">
        <v>9</v>
      </c>
      <c r="B18" s="260" t="s">
        <v>239</v>
      </c>
      <c r="C18" s="208"/>
      <c r="D18" s="208"/>
      <c r="E18" s="208"/>
      <c r="F18" s="132"/>
      <c r="G18" s="132"/>
      <c r="H18" s="132"/>
      <c r="I18" s="132"/>
      <c r="J18" s="132"/>
      <c r="K18" s="132"/>
      <c r="L18" s="132">
        <f>K18+I18+G18</f>
        <v>0</v>
      </c>
      <c r="M18" s="221"/>
    </row>
    <row r="19" spans="1:21" s="220" customFormat="1">
      <c r="A19" s="210">
        <v>10</v>
      </c>
      <c r="B19" s="211" t="s">
        <v>240</v>
      </c>
      <c r="C19" s="212" t="s">
        <v>339</v>
      </c>
      <c r="D19" s="213"/>
      <c r="E19" s="213">
        <v>30</v>
      </c>
      <c r="F19" s="132"/>
      <c r="G19" s="132"/>
      <c r="H19" s="132"/>
      <c r="I19" s="132"/>
      <c r="J19" s="132"/>
      <c r="K19" s="132"/>
      <c r="L19" s="132">
        <f>K19+I19+G19</f>
        <v>0</v>
      </c>
      <c r="M19" s="221"/>
    </row>
    <row r="20" spans="1:21" s="220" customFormat="1" ht="18">
      <c r="A20" s="207">
        <v>11</v>
      </c>
      <c r="B20" s="211" t="s">
        <v>241</v>
      </c>
      <c r="C20" s="212" t="s">
        <v>339</v>
      </c>
      <c r="D20" s="213"/>
      <c r="E20" s="213">
        <v>21</v>
      </c>
      <c r="F20" s="132"/>
      <c r="G20" s="132"/>
      <c r="H20" s="132"/>
      <c r="I20" s="132"/>
      <c r="J20" s="132"/>
      <c r="K20" s="132"/>
      <c r="L20" s="132">
        <f t="shared" ref="L20:L23" si="1">K20+I20+G20</f>
        <v>0</v>
      </c>
      <c r="M20" s="221"/>
      <c r="S20" s="225"/>
    </row>
    <row r="21" spans="1:21" s="220" customFormat="1">
      <c r="A21" s="210">
        <v>12</v>
      </c>
      <c r="B21" s="211" t="s">
        <v>242</v>
      </c>
      <c r="C21" s="212" t="s">
        <v>45</v>
      </c>
      <c r="D21" s="213"/>
      <c r="E21" s="213">
        <v>60</v>
      </c>
      <c r="F21" s="132"/>
      <c r="G21" s="132"/>
      <c r="H21" s="132"/>
      <c r="I21" s="132"/>
      <c r="J21" s="132"/>
      <c r="K21" s="132"/>
      <c r="L21" s="132">
        <f t="shared" si="1"/>
        <v>0</v>
      </c>
      <c r="M21" s="221"/>
    </row>
    <row r="22" spans="1:21" s="220" customFormat="1" ht="18">
      <c r="A22" s="207">
        <v>13</v>
      </c>
      <c r="B22" s="211" t="s">
        <v>243</v>
      </c>
      <c r="C22" s="212" t="s">
        <v>45</v>
      </c>
      <c r="D22" s="213"/>
      <c r="E22" s="213">
        <v>20</v>
      </c>
      <c r="F22" s="132"/>
      <c r="G22" s="132"/>
      <c r="H22" s="132"/>
      <c r="I22" s="132"/>
      <c r="J22" s="132"/>
      <c r="K22" s="132"/>
      <c r="L22" s="132">
        <f t="shared" si="1"/>
        <v>0</v>
      </c>
      <c r="M22" s="221"/>
    </row>
    <row r="23" spans="1:21" s="220" customFormat="1">
      <c r="A23" s="210">
        <v>14</v>
      </c>
      <c r="B23" s="211" t="s">
        <v>244</v>
      </c>
      <c r="C23" s="212" t="s">
        <v>45</v>
      </c>
      <c r="D23" s="213"/>
      <c r="E23" s="213">
        <v>30</v>
      </c>
      <c r="F23" s="132"/>
      <c r="G23" s="132"/>
      <c r="H23" s="132"/>
      <c r="I23" s="132"/>
      <c r="J23" s="132"/>
      <c r="K23" s="132"/>
      <c r="L23" s="132">
        <f t="shared" si="1"/>
        <v>0</v>
      </c>
      <c r="M23" s="221"/>
    </row>
    <row r="24" spans="1:21" s="220" customFormat="1" ht="18">
      <c r="A24" s="207">
        <v>15</v>
      </c>
      <c r="B24" s="224" t="s">
        <v>245</v>
      </c>
      <c r="C24" s="212" t="s">
        <v>45</v>
      </c>
      <c r="D24" s="213"/>
      <c r="E24" s="213">
        <v>450</v>
      </c>
      <c r="F24" s="132"/>
      <c r="G24" s="132"/>
      <c r="H24" s="132"/>
      <c r="I24" s="132"/>
      <c r="J24" s="132"/>
      <c r="K24" s="132"/>
      <c r="L24" s="132">
        <f>K24+I24+G24</f>
        <v>0</v>
      </c>
      <c r="M24" s="221"/>
    </row>
    <row r="25" spans="1:21" s="220" customFormat="1">
      <c r="A25" s="210">
        <v>16</v>
      </c>
      <c r="B25" s="224" t="s">
        <v>246</v>
      </c>
      <c r="C25" s="212" t="s">
        <v>45</v>
      </c>
      <c r="D25" s="213"/>
      <c r="E25" s="213">
        <v>900</v>
      </c>
      <c r="F25" s="132"/>
      <c r="G25" s="132"/>
      <c r="H25" s="132"/>
      <c r="I25" s="132"/>
      <c r="J25" s="132"/>
      <c r="K25" s="132"/>
      <c r="L25" s="132">
        <f>K25+I25+G25</f>
        <v>0</v>
      </c>
      <c r="M25" s="221"/>
    </row>
    <row r="26" spans="1:21" s="220" customFormat="1" ht="18">
      <c r="A26" s="207">
        <v>17</v>
      </c>
      <c r="B26" s="224" t="s">
        <v>247</v>
      </c>
      <c r="C26" s="212" t="s">
        <v>45</v>
      </c>
      <c r="D26" s="213"/>
      <c r="E26" s="213">
        <v>750</v>
      </c>
      <c r="F26" s="132"/>
      <c r="G26" s="132"/>
      <c r="H26" s="132"/>
      <c r="I26" s="132"/>
      <c r="J26" s="132"/>
      <c r="K26" s="132"/>
      <c r="L26" s="132">
        <f>K26+I26+G26</f>
        <v>0</v>
      </c>
      <c r="M26" s="221"/>
      <c r="U26" s="226"/>
    </row>
    <row r="27" spans="1:21" s="220" customFormat="1">
      <c r="A27" s="210">
        <v>18</v>
      </c>
      <c r="B27" s="224" t="s">
        <v>248</v>
      </c>
      <c r="C27" s="212" t="s">
        <v>45</v>
      </c>
      <c r="D27" s="213"/>
      <c r="E27" s="213">
        <v>300</v>
      </c>
      <c r="F27" s="132"/>
      <c r="G27" s="132"/>
      <c r="H27" s="132"/>
      <c r="I27" s="132"/>
      <c r="J27" s="132"/>
      <c r="K27" s="132"/>
      <c r="L27" s="132">
        <f t="shared" ref="L27:L29" si="2">K27+I27+G27</f>
        <v>0</v>
      </c>
      <c r="M27" s="221"/>
    </row>
    <row r="28" spans="1:21" s="220" customFormat="1" ht="18">
      <c r="A28" s="207">
        <v>19</v>
      </c>
      <c r="B28" s="224" t="s">
        <v>249</v>
      </c>
      <c r="C28" s="212" t="s">
        <v>45</v>
      </c>
      <c r="D28" s="213"/>
      <c r="E28" s="213">
        <v>100</v>
      </c>
      <c r="F28" s="132"/>
      <c r="G28" s="132"/>
      <c r="H28" s="132"/>
      <c r="I28" s="132"/>
      <c r="J28" s="132"/>
      <c r="K28" s="132"/>
      <c r="L28" s="132">
        <f t="shared" si="2"/>
        <v>0</v>
      </c>
      <c r="M28" s="221"/>
    </row>
    <row r="29" spans="1:21" s="220" customFormat="1">
      <c r="A29" s="210">
        <v>20</v>
      </c>
      <c r="B29" s="224" t="s">
        <v>250</v>
      </c>
      <c r="C29" s="212" t="s">
        <v>45</v>
      </c>
      <c r="D29" s="213"/>
      <c r="E29" s="213">
        <v>300</v>
      </c>
      <c r="F29" s="132"/>
      <c r="G29" s="132"/>
      <c r="H29" s="132"/>
      <c r="I29" s="132"/>
      <c r="J29" s="132"/>
      <c r="K29" s="132"/>
      <c r="L29" s="132">
        <f t="shared" si="2"/>
        <v>0</v>
      </c>
      <c r="M29" s="221"/>
    </row>
    <row r="30" spans="1:21" s="220" customFormat="1" ht="18">
      <c r="A30" s="207">
        <v>21</v>
      </c>
      <c r="B30" s="211" t="s">
        <v>251</v>
      </c>
      <c r="C30" s="212" t="s">
        <v>339</v>
      </c>
      <c r="D30" s="213"/>
      <c r="E30" s="213">
        <v>300</v>
      </c>
      <c r="F30" s="132"/>
      <c r="G30" s="132"/>
      <c r="H30" s="132"/>
      <c r="I30" s="132"/>
      <c r="J30" s="132"/>
      <c r="K30" s="132"/>
      <c r="L30" s="132">
        <f>K30+I30+G30</f>
        <v>0</v>
      </c>
      <c r="M30" s="221"/>
    </row>
    <row r="31" spans="1:21" s="220" customFormat="1">
      <c r="A31" s="210">
        <v>22</v>
      </c>
      <c r="B31" s="211" t="s">
        <v>252</v>
      </c>
      <c r="C31" s="212" t="s">
        <v>339</v>
      </c>
      <c r="D31" s="213"/>
      <c r="E31" s="213">
        <v>600</v>
      </c>
      <c r="F31" s="132"/>
      <c r="G31" s="132"/>
      <c r="H31" s="132"/>
      <c r="I31" s="132"/>
      <c r="J31" s="132"/>
      <c r="K31" s="132"/>
      <c r="L31" s="132">
        <f>K31+I31+G31</f>
        <v>0</v>
      </c>
      <c r="M31" s="221"/>
    </row>
    <row r="32" spans="1:21" s="220" customFormat="1" ht="18">
      <c r="A32" s="207">
        <v>23</v>
      </c>
      <c r="B32" s="211" t="s">
        <v>253</v>
      </c>
      <c r="C32" s="212" t="s">
        <v>339</v>
      </c>
      <c r="D32" s="213"/>
      <c r="E32" s="213">
        <v>450</v>
      </c>
      <c r="F32" s="132"/>
      <c r="G32" s="132"/>
      <c r="H32" s="132"/>
      <c r="I32" s="132"/>
      <c r="J32" s="132"/>
      <c r="K32" s="132"/>
      <c r="L32" s="132">
        <f>K32+I32+G32</f>
        <v>0</v>
      </c>
      <c r="M32" s="221"/>
    </row>
    <row r="33" spans="1:19" s="220" customFormat="1">
      <c r="A33" s="210">
        <v>24</v>
      </c>
      <c r="B33" s="211" t="s">
        <v>254</v>
      </c>
      <c r="C33" s="212" t="s">
        <v>339</v>
      </c>
      <c r="D33" s="213"/>
      <c r="E33" s="213">
        <v>350</v>
      </c>
      <c r="F33" s="132"/>
      <c r="G33" s="132"/>
      <c r="H33" s="132"/>
      <c r="I33" s="132"/>
      <c r="J33" s="132"/>
      <c r="K33" s="132"/>
      <c r="L33" s="132">
        <f t="shared" ref="L33:L36" si="3">K33+I33+G33</f>
        <v>0</v>
      </c>
      <c r="M33" s="221"/>
      <c r="S33" s="225"/>
    </row>
    <row r="34" spans="1:19" s="220" customFormat="1" ht="18">
      <c r="A34" s="207">
        <v>25</v>
      </c>
      <c r="B34" s="211" t="s">
        <v>255</v>
      </c>
      <c r="C34" s="212" t="s">
        <v>339</v>
      </c>
      <c r="D34" s="213"/>
      <c r="E34" s="213">
        <v>30</v>
      </c>
      <c r="F34" s="132"/>
      <c r="G34" s="132"/>
      <c r="H34" s="132"/>
      <c r="I34" s="132"/>
      <c r="J34" s="132"/>
      <c r="K34" s="132"/>
      <c r="L34" s="132">
        <f t="shared" si="3"/>
        <v>0</v>
      </c>
      <c r="M34" s="221"/>
    </row>
    <row r="35" spans="1:19" s="220" customFormat="1">
      <c r="A35" s="210">
        <v>26</v>
      </c>
      <c r="B35" s="211" t="s">
        <v>256</v>
      </c>
      <c r="C35" s="212" t="s">
        <v>45</v>
      </c>
      <c r="D35" s="213"/>
      <c r="E35" s="213">
        <v>10</v>
      </c>
      <c r="F35" s="132"/>
      <c r="G35" s="132"/>
      <c r="H35" s="132"/>
      <c r="I35" s="132"/>
      <c r="J35" s="132"/>
      <c r="K35" s="132"/>
      <c r="L35" s="132">
        <f t="shared" si="3"/>
        <v>0</v>
      </c>
      <c r="M35" s="221"/>
    </row>
    <row r="36" spans="1:19" s="220" customFormat="1" ht="18">
      <c r="A36" s="207">
        <v>27</v>
      </c>
      <c r="B36" s="211" t="s">
        <v>257</v>
      </c>
      <c r="C36" s="212" t="s">
        <v>45</v>
      </c>
      <c r="D36" s="213"/>
      <c r="E36" s="213">
        <v>60</v>
      </c>
      <c r="F36" s="132"/>
      <c r="G36" s="132"/>
      <c r="H36" s="132"/>
      <c r="I36" s="132"/>
      <c r="J36" s="132"/>
      <c r="K36" s="132"/>
      <c r="L36" s="132">
        <f t="shared" si="3"/>
        <v>0</v>
      </c>
      <c r="M36" s="221"/>
    </row>
    <row r="37" spans="1:19" s="220" customFormat="1">
      <c r="A37" s="210">
        <v>28</v>
      </c>
      <c r="B37" s="211" t="s">
        <v>258</v>
      </c>
      <c r="C37" s="212" t="s">
        <v>45</v>
      </c>
      <c r="D37" s="213"/>
      <c r="E37" s="213">
        <v>500</v>
      </c>
      <c r="F37" s="116"/>
      <c r="G37" s="116"/>
      <c r="H37" s="223"/>
      <c r="I37" s="182"/>
      <c r="J37" s="116"/>
      <c r="K37" s="116"/>
      <c r="L37" s="132"/>
      <c r="M37" s="221"/>
      <c r="N37" s="220">
        <f>1.5*0.9</f>
        <v>1.35</v>
      </c>
    </row>
    <row r="38" spans="1:19" ht="18">
      <c r="A38" s="207">
        <v>29</v>
      </c>
      <c r="B38" s="211" t="s">
        <v>259</v>
      </c>
      <c r="C38" s="212" t="s">
        <v>45</v>
      </c>
      <c r="D38" s="213"/>
      <c r="E38" s="213">
        <v>80</v>
      </c>
      <c r="F38" s="118"/>
      <c r="G38" s="215"/>
      <c r="H38" s="119"/>
      <c r="I38" s="123"/>
      <c r="J38" s="122"/>
      <c r="K38" s="122"/>
      <c r="L38" s="132"/>
      <c r="M38" s="216">
        <v>56.6</v>
      </c>
      <c r="N38" s="189">
        <f>1.5*0.91</f>
        <v>1.365</v>
      </c>
    </row>
    <row r="39" spans="1:19">
      <c r="A39" s="210">
        <v>30</v>
      </c>
      <c r="B39" s="211" t="s">
        <v>260</v>
      </c>
      <c r="C39" s="212" t="s">
        <v>45</v>
      </c>
      <c r="D39" s="213"/>
      <c r="E39" s="213">
        <v>50</v>
      </c>
      <c r="F39" s="118"/>
      <c r="G39" s="215"/>
      <c r="H39" s="119"/>
      <c r="I39" s="123"/>
      <c r="J39" s="122"/>
      <c r="K39" s="122"/>
      <c r="L39" s="132">
        <f t="shared" ref="L39:L40" si="4">K39+I39+G39</f>
        <v>0</v>
      </c>
      <c r="M39" s="216">
        <f>M38-N38</f>
        <v>55.234999999999999</v>
      </c>
      <c r="N39" s="189">
        <f>2.45*1.4</f>
        <v>3.43</v>
      </c>
    </row>
    <row r="40" spans="1:19" ht="18">
      <c r="A40" s="207">
        <v>31</v>
      </c>
      <c r="B40" s="211" t="s">
        <v>261</v>
      </c>
      <c r="C40" s="212" t="s">
        <v>45</v>
      </c>
      <c r="D40" s="213"/>
      <c r="E40" s="213">
        <v>60</v>
      </c>
      <c r="F40" s="119"/>
      <c r="G40" s="215"/>
      <c r="H40" s="119"/>
      <c r="I40" s="123"/>
      <c r="J40" s="122"/>
      <c r="K40" s="122"/>
      <c r="L40" s="132">
        <f t="shared" si="4"/>
        <v>0</v>
      </c>
      <c r="M40" s="216"/>
      <c r="N40" s="189">
        <f>3.05*1.4</f>
        <v>4.2699999999999996</v>
      </c>
    </row>
    <row r="41" spans="1:19">
      <c r="A41" s="210">
        <v>32</v>
      </c>
      <c r="B41" s="211" t="s">
        <v>262</v>
      </c>
      <c r="C41" s="212" t="s">
        <v>45</v>
      </c>
      <c r="D41" s="213"/>
      <c r="E41" s="213">
        <v>50</v>
      </c>
      <c r="F41" s="118"/>
      <c r="G41" s="215"/>
      <c r="H41" s="119"/>
      <c r="I41" s="123"/>
      <c r="J41" s="122"/>
      <c r="K41" s="122"/>
      <c r="L41" s="132"/>
      <c r="M41" s="216">
        <v>56.6</v>
      </c>
      <c r="N41" s="189">
        <f>1.5*0.91</f>
        <v>1.365</v>
      </c>
    </row>
    <row r="42" spans="1:19" ht="18">
      <c r="A42" s="207">
        <v>33</v>
      </c>
      <c r="B42" s="211" t="s">
        <v>263</v>
      </c>
      <c r="C42" s="212" t="s">
        <v>45</v>
      </c>
      <c r="D42" s="213"/>
      <c r="E42" s="213">
        <v>30</v>
      </c>
      <c r="F42" s="118"/>
      <c r="G42" s="215"/>
      <c r="H42" s="119"/>
      <c r="I42" s="123"/>
      <c r="J42" s="122"/>
      <c r="K42" s="122"/>
      <c r="L42" s="132">
        <f t="shared" ref="L42:L86" si="5">K42+I42+G42</f>
        <v>0</v>
      </c>
      <c r="M42" s="216">
        <f>M41-N41</f>
        <v>55.234999999999999</v>
      </c>
      <c r="N42" s="189">
        <f>2.45*1.4</f>
        <v>3.43</v>
      </c>
    </row>
    <row r="43" spans="1:19">
      <c r="A43" s="210">
        <v>34</v>
      </c>
      <c r="B43" s="211" t="s">
        <v>264</v>
      </c>
      <c r="C43" s="212" t="s">
        <v>45</v>
      </c>
      <c r="D43" s="213"/>
      <c r="E43" s="213">
        <v>20</v>
      </c>
      <c r="F43" s="119"/>
      <c r="G43" s="215"/>
      <c r="H43" s="119"/>
      <c r="I43" s="123"/>
      <c r="J43" s="122"/>
      <c r="K43" s="122"/>
      <c r="L43" s="132">
        <f t="shared" si="5"/>
        <v>0</v>
      </c>
      <c r="M43" s="216"/>
      <c r="N43" s="189">
        <f>3.05*1.4</f>
        <v>4.2699999999999996</v>
      </c>
    </row>
    <row r="44" spans="1:19" ht="25.5">
      <c r="A44" s="207">
        <v>35</v>
      </c>
      <c r="B44" s="211" t="s">
        <v>265</v>
      </c>
      <c r="C44" s="212" t="s">
        <v>45</v>
      </c>
      <c r="D44" s="213"/>
      <c r="E44" s="213">
        <v>500</v>
      </c>
      <c r="F44" s="94"/>
      <c r="G44" s="95"/>
      <c r="H44" s="94"/>
      <c r="I44" s="95"/>
      <c r="J44" s="94"/>
      <c r="K44" s="95"/>
      <c r="L44" s="132">
        <f t="shared" si="5"/>
        <v>0</v>
      </c>
      <c r="M44" s="216"/>
    </row>
    <row r="45" spans="1:19" ht="25.5">
      <c r="A45" s="210">
        <v>36</v>
      </c>
      <c r="B45" s="211" t="s">
        <v>266</v>
      </c>
      <c r="C45" s="212" t="s">
        <v>45</v>
      </c>
      <c r="D45" s="213"/>
      <c r="E45" s="213">
        <v>600</v>
      </c>
      <c r="F45" s="119"/>
      <c r="G45" s="119"/>
      <c r="H45" s="119"/>
      <c r="I45" s="119"/>
      <c r="J45" s="119"/>
      <c r="K45" s="119"/>
      <c r="L45" s="132">
        <f t="shared" si="5"/>
        <v>0</v>
      </c>
      <c r="M45" s="216"/>
    </row>
    <row r="46" spans="1:19" ht="25.5">
      <c r="A46" s="207">
        <v>37</v>
      </c>
      <c r="B46" s="211" t="s">
        <v>267</v>
      </c>
      <c r="C46" s="212" t="s">
        <v>45</v>
      </c>
      <c r="D46" s="213"/>
      <c r="E46" s="213">
        <v>50</v>
      </c>
      <c r="F46" s="119"/>
      <c r="G46" s="119"/>
      <c r="H46" s="119"/>
      <c r="I46" s="119"/>
      <c r="J46" s="119"/>
      <c r="K46" s="119"/>
      <c r="L46" s="132">
        <f t="shared" si="5"/>
        <v>0</v>
      </c>
      <c r="M46" s="216"/>
    </row>
    <row r="47" spans="1:19">
      <c r="A47" s="210">
        <v>38</v>
      </c>
      <c r="B47" s="211" t="s">
        <v>268</v>
      </c>
      <c r="C47" s="212" t="s">
        <v>45</v>
      </c>
      <c r="D47" s="213"/>
      <c r="E47" s="213">
        <v>1</v>
      </c>
      <c r="F47" s="119"/>
      <c r="G47" s="119"/>
      <c r="H47" s="119"/>
      <c r="I47" s="119"/>
      <c r="J47" s="119"/>
      <c r="K47" s="119"/>
      <c r="L47" s="132">
        <f t="shared" si="5"/>
        <v>0</v>
      </c>
      <c r="M47" s="216"/>
    </row>
    <row r="48" spans="1:19" ht="18">
      <c r="A48" s="207">
        <v>39</v>
      </c>
      <c r="B48" s="260" t="s">
        <v>269</v>
      </c>
      <c r="C48" s="208"/>
      <c r="D48" s="208"/>
      <c r="E48" s="208"/>
      <c r="F48" s="119"/>
      <c r="G48" s="119"/>
      <c r="H48" s="119"/>
      <c r="I48" s="119"/>
      <c r="J48" s="119"/>
      <c r="K48" s="119"/>
      <c r="L48" s="132">
        <f t="shared" si="5"/>
        <v>0</v>
      </c>
      <c r="M48" s="216"/>
    </row>
    <row r="49" spans="1:20">
      <c r="A49" s="210">
        <v>40</v>
      </c>
      <c r="B49" s="227" t="s">
        <v>270</v>
      </c>
      <c r="C49" s="212"/>
      <c r="D49" s="213"/>
      <c r="E49" s="213"/>
      <c r="F49" s="119"/>
      <c r="G49" s="119"/>
      <c r="H49" s="119"/>
      <c r="I49" s="119"/>
      <c r="J49" s="119"/>
      <c r="K49" s="119"/>
      <c r="L49" s="132">
        <f t="shared" si="5"/>
        <v>0</v>
      </c>
      <c r="M49" s="216"/>
    </row>
    <row r="50" spans="1:20" ht="18">
      <c r="A50" s="207">
        <v>41</v>
      </c>
      <c r="B50" s="211" t="s">
        <v>271</v>
      </c>
      <c r="C50" s="212" t="s">
        <v>45</v>
      </c>
      <c r="D50" s="213"/>
      <c r="E50" s="213">
        <v>1</v>
      </c>
      <c r="F50" s="119"/>
      <c r="G50" s="119"/>
      <c r="H50" s="119"/>
      <c r="I50" s="119"/>
      <c r="J50" s="119"/>
      <c r="K50" s="119"/>
      <c r="L50" s="132">
        <f t="shared" si="5"/>
        <v>0</v>
      </c>
      <c r="M50" s="216"/>
    </row>
    <row r="51" spans="1:20">
      <c r="A51" s="210">
        <v>42</v>
      </c>
      <c r="B51" s="211" t="s">
        <v>272</v>
      </c>
      <c r="C51" s="212" t="s">
        <v>45</v>
      </c>
      <c r="D51" s="213"/>
      <c r="E51" s="213">
        <v>1</v>
      </c>
      <c r="F51" s="119"/>
      <c r="G51" s="119"/>
      <c r="H51" s="119"/>
      <c r="I51" s="119"/>
      <c r="J51" s="119"/>
      <c r="K51" s="119"/>
      <c r="L51" s="132">
        <f t="shared" si="5"/>
        <v>0</v>
      </c>
      <c r="M51" s="216"/>
    </row>
    <row r="52" spans="1:20" ht="18">
      <c r="A52" s="207">
        <v>43</v>
      </c>
      <c r="B52" s="211" t="s">
        <v>273</v>
      </c>
      <c r="C52" s="212" t="s">
        <v>45</v>
      </c>
      <c r="D52" s="213"/>
      <c r="E52" s="213">
        <v>1</v>
      </c>
      <c r="F52" s="119"/>
      <c r="G52" s="119"/>
      <c r="H52" s="119"/>
      <c r="I52" s="119"/>
      <c r="J52" s="119"/>
      <c r="K52" s="119"/>
      <c r="L52" s="132">
        <f t="shared" si="5"/>
        <v>0</v>
      </c>
      <c r="M52" s="216"/>
    </row>
    <row r="53" spans="1:20">
      <c r="A53" s="210">
        <v>44</v>
      </c>
      <c r="B53" s="211" t="s">
        <v>274</v>
      </c>
      <c r="C53" s="212" t="s">
        <v>45</v>
      </c>
      <c r="D53" s="213"/>
      <c r="E53" s="213">
        <v>4</v>
      </c>
      <c r="F53" s="119"/>
      <c r="G53" s="119"/>
      <c r="H53" s="119"/>
      <c r="I53" s="119"/>
      <c r="J53" s="119"/>
      <c r="K53" s="119"/>
      <c r="L53" s="132">
        <f t="shared" si="5"/>
        <v>0</v>
      </c>
      <c r="M53" s="216"/>
    </row>
    <row r="54" spans="1:20" ht="18">
      <c r="A54" s="207">
        <v>45</v>
      </c>
      <c r="B54" s="211" t="s">
        <v>275</v>
      </c>
      <c r="C54" s="212" t="s">
        <v>45</v>
      </c>
      <c r="D54" s="213"/>
      <c r="E54" s="213">
        <v>11</v>
      </c>
      <c r="F54" s="119"/>
      <c r="G54" s="119"/>
      <c r="H54" s="119"/>
      <c r="I54" s="119"/>
      <c r="J54" s="119"/>
      <c r="K54" s="119"/>
      <c r="L54" s="132">
        <f t="shared" si="5"/>
        <v>0</v>
      </c>
      <c r="M54" s="216"/>
    </row>
    <row r="55" spans="1:20" ht="25.5">
      <c r="A55" s="210">
        <v>46</v>
      </c>
      <c r="B55" s="211" t="s">
        <v>276</v>
      </c>
      <c r="C55" s="212" t="s">
        <v>45</v>
      </c>
      <c r="D55" s="213"/>
      <c r="E55" s="213">
        <v>1</v>
      </c>
      <c r="F55" s="110"/>
      <c r="G55" s="139"/>
      <c r="H55" s="110"/>
      <c r="I55" s="139"/>
      <c r="J55" s="110"/>
      <c r="K55" s="139"/>
      <c r="L55" s="132">
        <f t="shared" si="5"/>
        <v>0</v>
      </c>
      <c r="M55" s="216"/>
    </row>
    <row r="56" spans="1:20" ht="18">
      <c r="A56" s="207">
        <v>47</v>
      </c>
      <c r="B56" s="211" t="s">
        <v>277</v>
      </c>
      <c r="C56" s="212" t="s">
        <v>45</v>
      </c>
      <c r="D56" s="213"/>
      <c r="E56" s="213">
        <v>4</v>
      </c>
      <c r="F56" s="100"/>
      <c r="G56" s="139"/>
      <c r="H56" s="119"/>
      <c r="I56" s="139"/>
      <c r="J56" s="100"/>
      <c r="K56" s="139"/>
      <c r="L56" s="132">
        <f t="shared" si="5"/>
        <v>0</v>
      </c>
      <c r="M56" s="216"/>
    </row>
    <row r="57" spans="1:20">
      <c r="A57" s="210">
        <v>48</v>
      </c>
      <c r="B57" s="211" t="s">
        <v>278</v>
      </c>
      <c r="C57" s="212" t="s">
        <v>45</v>
      </c>
      <c r="D57" s="213"/>
      <c r="E57" s="213">
        <v>2</v>
      </c>
      <c r="F57" s="142"/>
      <c r="G57" s="139"/>
      <c r="H57" s="143"/>
      <c r="I57" s="139"/>
      <c r="J57" s="144"/>
      <c r="K57" s="139"/>
      <c r="L57" s="132">
        <f t="shared" si="5"/>
        <v>0</v>
      </c>
      <c r="M57" s="216"/>
    </row>
    <row r="58" spans="1:20" ht="18">
      <c r="A58" s="207">
        <v>49</v>
      </c>
      <c r="B58" s="211" t="s">
        <v>279</v>
      </c>
      <c r="C58" s="212" t="s">
        <v>45</v>
      </c>
      <c r="D58" s="213"/>
      <c r="E58" s="213">
        <v>3</v>
      </c>
      <c r="F58" s="119"/>
      <c r="G58" s="139"/>
      <c r="H58" s="148"/>
      <c r="I58" s="139"/>
      <c r="J58" s="148"/>
      <c r="K58" s="139"/>
      <c r="L58" s="132">
        <f t="shared" si="5"/>
        <v>0</v>
      </c>
      <c r="M58" s="216"/>
    </row>
    <row r="59" spans="1:20">
      <c r="A59" s="210">
        <v>50</v>
      </c>
      <c r="B59" s="211" t="s">
        <v>280</v>
      </c>
      <c r="C59" s="212" t="s">
        <v>45</v>
      </c>
      <c r="D59" s="213"/>
      <c r="E59" s="213">
        <v>1</v>
      </c>
      <c r="F59" s="119"/>
      <c r="G59" s="139"/>
      <c r="H59" s="148"/>
      <c r="I59" s="139"/>
      <c r="J59" s="148"/>
      <c r="K59" s="139"/>
      <c r="L59" s="132">
        <f t="shared" si="5"/>
        <v>0</v>
      </c>
      <c r="M59" s="216"/>
    </row>
    <row r="60" spans="1:20" ht="18">
      <c r="A60" s="207">
        <v>51</v>
      </c>
      <c r="B60" s="211" t="s">
        <v>281</v>
      </c>
      <c r="C60" s="212" t="s">
        <v>45</v>
      </c>
      <c r="D60" s="213"/>
      <c r="E60" s="213">
        <v>4</v>
      </c>
      <c r="F60" s="119"/>
      <c r="G60" s="139"/>
      <c r="H60" s="150"/>
      <c r="I60" s="139"/>
      <c r="J60" s="150"/>
      <c r="K60" s="139"/>
      <c r="L60" s="132">
        <f t="shared" si="5"/>
        <v>0</v>
      </c>
      <c r="M60" s="216"/>
    </row>
    <row r="61" spans="1:20">
      <c r="A61" s="210">
        <v>52</v>
      </c>
      <c r="B61" s="211" t="s">
        <v>282</v>
      </c>
      <c r="C61" s="212" t="s">
        <v>45</v>
      </c>
      <c r="D61" s="213"/>
      <c r="E61" s="213">
        <v>2</v>
      </c>
      <c r="F61" s="119"/>
      <c r="G61" s="119"/>
      <c r="H61" s="119"/>
      <c r="I61" s="119"/>
      <c r="J61" s="119"/>
      <c r="K61" s="119"/>
      <c r="L61" s="132"/>
      <c r="M61" s="216"/>
    </row>
    <row r="62" spans="1:20" ht="18">
      <c r="A62" s="207">
        <v>53</v>
      </c>
      <c r="B62" s="211" t="s">
        <v>283</v>
      </c>
      <c r="C62" s="212" t="s">
        <v>45</v>
      </c>
      <c r="D62" s="213"/>
      <c r="E62" s="213">
        <v>4</v>
      </c>
      <c r="F62" s="110"/>
      <c r="G62" s="95"/>
      <c r="H62" s="110"/>
      <c r="I62" s="95"/>
      <c r="J62" s="110"/>
      <c r="K62" s="95"/>
      <c r="L62" s="132">
        <f t="shared" si="5"/>
        <v>0</v>
      </c>
      <c r="M62" s="216"/>
      <c r="T62" s="228"/>
    </row>
    <row r="63" spans="1:20">
      <c r="A63" s="210">
        <v>54</v>
      </c>
      <c r="B63" s="211" t="s">
        <v>284</v>
      </c>
      <c r="C63" s="212" t="s">
        <v>45</v>
      </c>
      <c r="D63" s="213"/>
      <c r="E63" s="213">
        <v>4</v>
      </c>
      <c r="F63" s="100"/>
      <c r="G63" s="95"/>
      <c r="H63" s="119"/>
      <c r="I63" s="95"/>
      <c r="J63" s="100"/>
      <c r="K63" s="95"/>
      <c r="L63" s="132">
        <f t="shared" si="5"/>
        <v>0</v>
      </c>
      <c r="M63" s="216"/>
    </row>
    <row r="64" spans="1:20" ht="18">
      <c r="A64" s="207">
        <v>55</v>
      </c>
      <c r="B64" s="211" t="s">
        <v>285</v>
      </c>
      <c r="C64" s="212" t="s">
        <v>45</v>
      </c>
      <c r="D64" s="213"/>
      <c r="E64" s="213">
        <v>2</v>
      </c>
      <c r="F64" s="119"/>
      <c r="G64" s="215"/>
      <c r="H64" s="119"/>
      <c r="I64" s="95"/>
      <c r="J64" s="100"/>
      <c r="K64" s="95"/>
      <c r="L64" s="132">
        <f t="shared" si="5"/>
        <v>0</v>
      </c>
      <c r="M64" s="216"/>
    </row>
    <row r="65" spans="1:13">
      <c r="A65" s="210">
        <v>56</v>
      </c>
      <c r="B65" s="211" t="s">
        <v>286</v>
      </c>
      <c r="C65" s="212" t="s">
        <v>45</v>
      </c>
      <c r="D65" s="213"/>
      <c r="E65" s="213">
        <v>1</v>
      </c>
      <c r="F65" s="119"/>
      <c r="G65" s="215"/>
      <c r="H65" s="119"/>
      <c r="I65" s="95"/>
      <c r="J65" s="99"/>
      <c r="K65" s="95"/>
      <c r="L65" s="132">
        <f t="shared" si="5"/>
        <v>0</v>
      </c>
      <c r="M65" s="216"/>
    </row>
    <row r="66" spans="1:13" ht="18">
      <c r="A66" s="207">
        <v>57</v>
      </c>
      <c r="B66" s="211" t="s">
        <v>287</v>
      </c>
      <c r="C66" s="212" t="s">
        <v>45</v>
      </c>
      <c r="D66" s="213"/>
      <c r="E66" s="213">
        <v>2</v>
      </c>
      <c r="F66" s="119"/>
      <c r="G66" s="215"/>
      <c r="H66" s="119"/>
      <c r="I66" s="95"/>
      <c r="J66" s="100"/>
      <c r="K66" s="95"/>
      <c r="L66" s="132">
        <f t="shared" si="5"/>
        <v>0</v>
      </c>
      <c r="M66" s="216"/>
    </row>
    <row r="67" spans="1:13">
      <c r="A67" s="210">
        <v>58</v>
      </c>
      <c r="B67" s="211" t="s">
        <v>288</v>
      </c>
      <c r="C67" s="212" t="s">
        <v>45</v>
      </c>
      <c r="D67" s="213"/>
      <c r="E67" s="213">
        <v>3</v>
      </c>
      <c r="F67" s="119"/>
      <c r="G67" s="215"/>
      <c r="H67" s="119"/>
      <c r="I67" s="95"/>
      <c r="J67" s="99"/>
      <c r="K67" s="95"/>
      <c r="L67" s="132">
        <f t="shared" si="5"/>
        <v>0</v>
      </c>
      <c r="M67" s="216"/>
    </row>
    <row r="68" spans="1:13" ht="18">
      <c r="A68" s="207">
        <v>59</v>
      </c>
      <c r="B68" s="211" t="s">
        <v>289</v>
      </c>
      <c r="C68" s="212" t="s">
        <v>45</v>
      </c>
      <c r="D68" s="213"/>
      <c r="E68" s="213">
        <v>15</v>
      </c>
      <c r="F68" s="119"/>
      <c r="G68" s="215"/>
      <c r="H68" s="119"/>
      <c r="I68" s="95"/>
      <c r="J68" s="100"/>
      <c r="K68" s="95"/>
      <c r="L68" s="132">
        <f t="shared" si="5"/>
        <v>0</v>
      </c>
      <c r="M68" s="216"/>
    </row>
    <row r="69" spans="1:13">
      <c r="A69" s="210">
        <v>60</v>
      </c>
      <c r="B69" s="211" t="s">
        <v>290</v>
      </c>
      <c r="C69" s="212" t="s">
        <v>45</v>
      </c>
      <c r="D69" s="213"/>
      <c r="E69" s="213">
        <v>29</v>
      </c>
      <c r="F69" s="119"/>
      <c r="G69" s="215"/>
      <c r="H69" s="119"/>
      <c r="I69" s="95"/>
      <c r="J69" s="100"/>
      <c r="K69" s="95"/>
      <c r="L69" s="132">
        <f t="shared" si="5"/>
        <v>0</v>
      </c>
      <c r="M69" s="216"/>
    </row>
    <row r="70" spans="1:13" ht="18">
      <c r="A70" s="207">
        <v>61</v>
      </c>
      <c r="B70" s="211" t="s">
        <v>291</v>
      </c>
      <c r="C70" s="212" t="s">
        <v>45</v>
      </c>
      <c r="D70" s="213"/>
      <c r="E70" s="213">
        <v>1</v>
      </c>
      <c r="F70" s="119"/>
      <c r="G70" s="215"/>
      <c r="H70" s="119"/>
      <c r="I70" s="95"/>
      <c r="J70" s="100"/>
      <c r="K70" s="95"/>
      <c r="L70" s="132">
        <f t="shared" si="5"/>
        <v>0</v>
      </c>
      <c r="M70" s="216"/>
    </row>
    <row r="71" spans="1:13">
      <c r="A71" s="210">
        <v>62</v>
      </c>
      <c r="B71" s="211" t="s">
        <v>292</v>
      </c>
      <c r="C71" s="212" t="s">
        <v>45</v>
      </c>
      <c r="D71" s="213"/>
      <c r="E71" s="213">
        <v>1</v>
      </c>
      <c r="F71" s="119"/>
      <c r="G71" s="95"/>
      <c r="H71" s="119"/>
      <c r="I71" s="95"/>
      <c r="J71" s="110"/>
      <c r="K71" s="95"/>
      <c r="L71" s="132">
        <f t="shared" si="5"/>
        <v>0</v>
      </c>
      <c r="M71" s="216"/>
    </row>
    <row r="72" spans="1:13" ht="18">
      <c r="A72" s="207">
        <v>63</v>
      </c>
      <c r="B72" s="211" t="s">
        <v>293</v>
      </c>
      <c r="C72" s="212" t="s">
        <v>45</v>
      </c>
      <c r="D72" s="213"/>
      <c r="E72" s="213">
        <v>2</v>
      </c>
      <c r="F72" s="119"/>
      <c r="G72" s="95"/>
      <c r="H72" s="119"/>
      <c r="I72" s="95"/>
      <c r="J72" s="100"/>
      <c r="K72" s="95"/>
      <c r="L72" s="132">
        <f t="shared" si="5"/>
        <v>0</v>
      </c>
      <c r="M72" s="216"/>
    </row>
    <row r="73" spans="1:13" ht="25.5">
      <c r="A73" s="210">
        <v>64</v>
      </c>
      <c r="B73" s="211" t="s">
        <v>294</v>
      </c>
      <c r="C73" s="212" t="s">
        <v>45</v>
      </c>
      <c r="D73" s="213"/>
      <c r="E73" s="213">
        <v>2</v>
      </c>
      <c r="F73" s="119"/>
      <c r="G73" s="215"/>
      <c r="H73" s="119"/>
      <c r="I73" s="95"/>
      <c r="J73" s="100"/>
      <c r="K73" s="95"/>
      <c r="L73" s="132">
        <f t="shared" si="5"/>
        <v>0</v>
      </c>
      <c r="M73" s="216"/>
    </row>
    <row r="74" spans="1:13" ht="18">
      <c r="A74" s="207">
        <v>65</v>
      </c>
      <c r="B74" s="211" t="s">
        <v>295</v>
      </c>
      <c r="C74" s="212" t="s">
        <v>45</v>
      </c>
      <c r="D74" s="213"/>
      <c r="E74" s="213">
        <v>2</v>
      </c>
      <c r="F74" s="119"/>
      <c r="G74" s="215"/>
      <c r="H74" s="119"/>
      <c r="I74" s="95"/>
      <c r="J74" s="94"/>
      <c r="K74" s="95"/>
      <c r="L74" s="132">
        <f t="shared" si="5"/>
        <v>0</v>
      </c>
      <c r="M74" s="216"/>
    </row>
    <row r="75" spans="1:13">
      <c r="A75" s="210">
        <v>66</v>
      </c>
      <c r="B75" s="211" t="s">
        <v>296</v>
      </c>
      <c r="C75" s="212" t="s">
        <v>45</v>
      </c>
      <c r="D75" s="213"/>
      <c r="E75" s="213">
        <v>2</v>
      </c>
      <c r="F75" s="110"/>
      <c r="G75" s="139"/>
      <c r="H75" s="110"/>
      <c r="I75" s="139"/>
      <c r="J75" s="110"/>
      <c r="K75" s="139"/>
      <c r="L75" s="132">
        <f t="shared" si="5"/>
        <v>0</v>
      </c>
      <c r="M75" s="216"/>
    </row>
    <row r="76" spans="1:13" ht="18">
      <c r="A76" s="207">
        <v>67</v>
      </c>
      <c r="B76" s="211" t="s">
        <v>297</v>
      </c>
      <c r="C76" s="212" t="s">
        <v>339</v>
      </c>
      <c r="D76" s="213"/>
      <c r="E76" s="213">
        <v>3</v>
      </c>
      <c r="F76" s="100"/>
      <c r="G76" s="139"/>
      <c r="H76" s="119"/>
      <c r="I76" s="139"/>
      <c r="J76" s="100"/>
      <c r="K76" s="139"/>
      <c r="L76" s="132">
        <f t="shared" si="5"/>
        <v>0</v>
      </c>
      <c r="M76" s="216"/>
    </row>
    <row r="77" spans="1:13">
      <c r="A77" s="210">
        <v>68</v>
      </c>
      <c r="B77" s="211" t="s">
        <v>298</v>
      </c>
      <c r="C77" s="212" t="s">
        <v>45</v>
      </c>
      <c r="D77" s="213"/>
      <c r="E77" s="213">
        <v>1</v>
      </c>
      <c r="F77" s="142"/>
      <c r="G77" s="139"/>
      <c r="H77" s="143"/>
      <c r="I77" s="139"/>
      <c r="J77" s="144"/>
      <c r="K77" s="139"/>
      <c r="L77" s="132">
        <f t="shared" si="5"/>
        <v>0</v>
      </c>
      <c r="M77" s="216"/>
    </row>
    <row r="78" spans="1:13" ht="18">
      <c r="A78" s="207">
        <v>69</v>
      </c>
      <c r="B78" s="211" t="s">
        <v>299</v>
      </c>
      <c r="C78" s="212" t="s">
        <v>45</v>
      </c>
      <c r="D78" s="213"/>
      <c r="E78" s="213">
        <v>3</v>
      </c>
      <c r="F78" s="119"/>
      <c r="G78" s="139"/>
      <c r="H78" s="148"/>
      <c r="I78" s="139"/>
      <c r="J78" s="148"/>
      <c r="K78" s="139"/>
      <c r="L78" s="132">
        <f t="shared" si="5"/>
        <v>0</v>
      </c>
      <c r="M78" s="216"/>
    </row>
    <row r="79" spans="1:13">
      <c r="A79" s="210">
        <v>70</v>
      </c>
      <c r="B79" s="211" t="s">
        <v>300</v>
      </c>
      <c r="C79" s="212" t="s">
        <v>45</v>
      </c>
      <c r="D79" s="213"/>
      <c r="E79" s="213">
        <v>4</v>
      </c>
      <c r="F79" s="119"/>
      <c r="G79" s="139"/>
      <c r="H79" s="148"/>
      <c r="I79" s="139"/>
      <c r="J79" s="148"/>
      <c r="K79" s="139"/>
      <c r="L79" s="132">
        <f t="shared" si="5"/>
        <v>0</v>
      </c>
      <c r="M79" s="216"/>
    </row>
    <row r="80" spans="1:13" ht="18">
      <c r="A80" s="207">
        <v>71</v>
      </c>
      <c r="B80" s="211" t="s">
        <v>301</v>
      </c>
      <c r="C80" s="212" t="s">
        <v>45</v>
      </c>
      <c r="D80" s="213"/>
      <c r="E80" s="213">
        <v>18</v>
      </c>
      <c r="F80" s="119"/>
      <c r="G80" s="139"/>
      <c r="H80" s="150"/>
      <c r="I80" s="139"/>
      <c r="J80" s="150"/>
      <c r="K80" s="139"/>
      <c r="L80" s="132">
        <f t="shared" si="5"/>
        <v>0</v>
      </c>
      <c r="M80" s="216"/>
    </row>
    <row r="81" spans="1:13">
      <c r="A81" s="210">
        <v>72</v>
      </c>
      <c r="B81" s="211" t="s">
        <v>302</v>
      </c>
      <c r="C81" s="212" t="s">
        <v>45</v>
      </c>
      <c r="D81" s="213"/>
      <c r="E81" s="213">
        <v>6</v>
      </c>
      <c r="F81" s="110"/>
      <c r="G81" s="215"/>
      <c r="H81" s="119"/>
      <c r="I81" s="95"/>
      <c r="J81" s="110"/>
      <c r="K81" s="95"/>
      <c r="L81" s="132">
        <f t="shared" si="5"/>
        <v>0</v>
      </c>
      <c r="M81" s="216"/>
    </row>
    <row r="82" spans="1:13" ht="18">
      <c r="A82" s="207">
        <v>73</v>
      </c>
      <c r="B82" s="211" t="s">
        <v>303</v>
      </c>
      <c r="C82" s="212" t="s">
        <v>45</v>
      </c>
      <c r="D82" s="213"/>
      <c r="E82" s="213">
        <v>8</v>
      </c>
      <c r="F82" s="119"/>
      <c r="G82" s="215"/>
      <c r="H82" s="119"/>
      <c r="I82" s="95"/>
      <c r="J82" s="100"/>
      <c r="K82" s="95"/>
      <c r="L82" s="132">
        <f t="shared" si="5"/>
        <v>0</v>
      </c>
      <c r="M82" s="216"/>
    </row>
    <row r="83" spans="1:13">
      <c r="A83" s="210">
        <v>74</v>
      </c>
      <c r="B83" s="211" t="s">
        <v>304</v>
      </c>
      <c r="C83" s="212" t="s">
        <v>45</v>
      </c>
      <c r="D83" s="213"/>
      <c r="E83" s="213">
        <v>4</v>
      </c>
      <c r="F83" s="119"/>
      <c r="G83" s="215"/>
      <c r="H83" s="119"/>
      <c r="I83" s="95"/>
      <c r="J83" s="100"/>
      <c r="K83" s="95"/>
      <c r="L83" s="132">
        <f t="shared" si="5"/>
        <v>0</v>
      </c>
      <c r="M83" s="216"/>
    </row>
    <row r="84" spans="1:13" ht="18">
      <c r="A84" s="207">
        <v>75</v>
      </c>
      <c r="B84" s="211" t="s">
        <v>305</v>
      </c>
      <c r="C84" s="212" t="s">
        <v>45</v>
      </c>
      <c r="D84" s="213"/>
      <c r="E84" s="213">
        <v>4</v>
      </c>
      <c r="F84" s="110"/>
      <c r="G84" s="215"/>
      <c r="H84" s="119"/>
      <c r="I84" s="95"/>
      <c r="J84" s="110"/>
      <c r="K84" s="95"/>
      <c r="L84" s="132">
        <f t="shared" si="5"/>
        <v>0</v>
      </c>
      <c r="M84" s="216"/>
    </row>
    <row r="85" spans="1:13">
      <c r="A85" s="210">
        <v>76</v>
      </c>
      <c r="B85" s="211" t="s">
        <v>306</v>
      </c>
      <c r="C85" s="212" t="s">
        <v>45</v>
      </c>
      <c r="D85" s="213"/>
      <c r="E85" s="213">
        <v>10</v>
      </c>
      <c r="F85" s="119"/>
      <c r="G85" s="215"/>
      <c r="H85" s="119"/>
      <c r="I85" s="95"/>
      <c r="J85" s="100"/>
      <c r="K85" s="95"/>
      <c r="L85" s="132">
        <f t="shared" si="5"/>
        <v>0</v>
      </c>
      <c r="M85" s="216"/>
    </row>
    <row r="86" spans="1:13" ht="18">
      <c r="A86" s="207">
        <v>77</v>
      </c>
      <c r="B86" s="211" t="s">
        <v>307</v>
      </c>
      <c r="C86" s="212" t="s">
        <v>45</v>
      </c>
      <c r="D86" s="213"/>
      <c r="E86" s="213">
        <v>4</v>
      </c>
      <c r="F86" s="119"/>
      <c r="G86" s="215"/>
      <c r="H86" s="119"/>
      <c r="I86" s="95"/>
      <c r="J86" s="100"/>
      <c r="K86" s="95"/>
      <c r="L86" s="132">
        <f t="shared" si="5"/>
        <v>0</v>
      </c>
      <c r="M86" s="216"/>
    </row>
    <row r="87" spans="1:13">
      <c r="A87" s="210">
        <v>78</v>
      </c>
      <c r="B87" s="211" t="s">
        <v>308</v>
      </c>
      <c r="C87" s="212" t="s">
        <v>45</v>
      </c>
      <c r="D87" s="213"/>
      <c r="E87" s="213">
        <v>4</v>
      </c>
      <c r="F87" s="119"/>
      <c r="G87" s="215"/>
      <c r="H87" s="119"/>
      <c r="I87" s="95"/>
      <c r="J87" s="100"/>
      <c r="K87" s="95"/>
      <c r="L87" s="132"/>
      <c r="M87" s="216"/>
    </row>
    <row r="88" spans="1:13" ht="18">
      <c r="A88" s="207">
        <v>79</v>
      </c>
      <c r="B88" s="211" t="s">
        <v>309</v>
      </c>
      <c r="C88" s="212" t="s">
        <v>45</v>
      </c>
      <c r="D88" s="213"/>
      <c r="E88" s="213">
        <v>2</v>
      </c>
      <c r="F88" s="119"/>
      <c r="G88" s="215"/>
      <c r="H88" s="119"/>
      <c r="I88" s="95"/>
      <c r="J88" s="100"/>
      <c r="K88" s="95"/>
      <c r="L88" s="132">
        <f t="shared" ref="L88:L103" si="6">K88+I88+G88</f>
        <v>0</v>
      </c>
      <c r="M88" s="216"/>
    </row>
    <row r="89" spans="1:13">
      <c r="A89" s="210">
        <v>80</v>
      </c>
      <c r="B89" s="211" t="s">
        <v>310</v>
      </c>
      <c r="C89" s="212" t="s">
        <v>45</v>
      </c>
      <c r="D89" s="213"/>
      <c r="E89" s="213">
        <v>2</v>
      </c>
      <c r="F89" s="119"/>
      <c r="G89" s="215"/>
      <c r="H89" s="119"/>
      <c r="I89" s="95"/>
      <c r="J89" s="100"/>
      <c r="K89" s="95"/>
      <c r="L89" s="132">
        <f t="shared" si="6"/>
        <v>0</v>
      </c>
      <c r="M89" s="216"/>
    </row>
    <row r="90" spans="1:13" ht="18">
      <c r="A90" s="207">
        <v>81</v>
      </c>
      <c r="B90" s="211" t="s">
        <v>311</v>
      </c>
      <c r="C90" s="212" t="s">
        <v>45</v>
      </c>
      <c r="D90" s="213"/>
      <c r="E90" s="213">
        <v>2</v>
      </c>
      <c r="F90" s="119"/>
      <c r="G90" s="215"/>
      <c r="H90" s="119"/>
      <c r="I90" s="95"/>
      <c r="J90" s="100"/>
      <c r="K90" s="95"/>
      <c r="L90" s="132">
        <f t="shared" si="6"/>
        <v>0</v>
      </c>
      <c r="M90" s="216"/>
    </row>
    <row r="91" spans="1:13">
      <c r="A91" s="210">
        <v>82</v>
      </c>
      <c r="B91" s="211" t="s">
        <v>312</v>
      </c>
      <c r="C91" s="212" t="s">
        <v>45</v>
      </c>
      <c r="D91" s="213"/>
      <c r="E91" s="213">
        <v>1</v>
      </c>
      <c r="F91" s="119"/>
      <c r="G91" s="215"/>
      <c r="H91" s="119"/>
      <c r="I91" s="95"/>
      <c r="J91" s="100"/>
      <c r="K91" s="95"/>
      <c r="L91" s="132">
        <f t="shared" si="6"/>
        <v>0</v>
      </c>
      <c r="M91" s="216"/>
    </row>
    <row r="92" spans="1:13" ht="18">
      <c r="A92" s="207">
        <v>83</v>
      </c>
      <c r="B92" s="211" t="s">
        <v>313</v>
      </c>
      <c r="C92" s="212" t="s">
        <v>45</v>
      </c>
      <c r="D92" s="213"/>
      <c r="E92" s="213">
        <v>1</v>
      </c>
      <c r="F92" s="119"/>
      <c r="G92" s="215"/>
      <c r="H92" s="119"/>
      <c r="I92" s="95"/>
      <c r="J92" s="100"/>
      <c r="K92" s="95"/>
      <c r="L92" s="132">
        <f t="shared" si="6"/>
        <v>0</v>
      </c>
      <c r="M92" s="216"/>
    </row>
    <row r="93" spans="1:13">
      <c r="A93" s="210">
        <v>84</v>
      </c>
      <c r="B93" s="211" t="s">
        <v>314</v>
      </c>
      <c r="C93" s="212" t="s">
        <v>45</v>
      </c>
      <c r="D93" s="213"/>
      <c r="E93" s="213">
        <v>1</v>
      </c>
      <c r="F93" s="119"/>
      <c r="G93" s="215"/>
      <c r="H93" s="119"/>
      <c r="I93" s="95"/>
      <c r="J93" s="100"/>
      <c r="K93" s="95"/>
      <c r="L93" s="132">
        <f t="shared" si="6"/>
        <v>0</v>
      </c>
      <c r="M93" s="216"/>
    </row>
    <row r="94" spans="1:13" ht="18">
      <c r="A94" s="207">
        <v>85</v>
      </c>
      <c r="B94" s="211" t="s">
        <v>315</v>
      </c>
      <c r="C94" s="212" t="s">
        <v>181</v>
      </c>
      <c r="D94" s="213"/>
      <c r="E94" s="213">
        <v>1</v>
      </c>
      <c r="F94" s="119"/>
      <c r="G94" s="215"/>
      <c r="H94" s="119"/>
      <c r="I94" s="95"/>
      <c r="J94" s="100"/>
      <c r="K94" s="95"/>
      <c r="L94" s="132">
        <f t="shared" si="6"/>
        <v>0</v>
      </c>
      <c r="M94" s="216"/>
    </row>
    <row r="95" spans="1:13">
      <c r="A95" s="210">
        <v>86</v>
      </c>
      <c r="B95" s="261" t="s">
        <v>316</v>
      </c>
      <c r="C95" s="229"/>
      <c r="D95" s="229"/>
      <c r="E95" s="229"/>
      <c r="F95" s="119"/>
      <c r="G95" s="215"/>
      <c r="H95" s="119"/>
      <c r="I95" s="95"/>
      <c r="J95" s="100"/>
      <c r="K95" s="95"/>
      <c r="L95" s="132">
        <f t="shared" si="6"/>
        <v>0</v>
      </c>
      <c r="M95" s="216"/>
    </row>
    <row r="96" spans="1:13" ht="18">
      <c r="A96" s="207">
        <v>87</v>
      </c>
      <c r="B96" s="211" t="s">
        <v>317</v>
      </c>
      <c r="C96" s="212" t="s">
        <v>45</v>
      </c>
      <c r="D96" s="213"/>
      <c r="E96" s="213">
        <v>37</v>
      </c>
      <c r="F96" s="119"/>
      <c r="G96" s="215"/>
      <c r="H96" s="119"/>
      <c r="I96" s="95"/>
      <c r="J96" s="100"/>
      <c r="K96" s="95"/>
      <c r="L96" s="132">
        <f t="shared" si="6"/>
        <v>0</v>
      </c>
      <c r="M96" s="216"/>
    </row>
    <row r="97" spans="1:13">
      <c r="A97" s="210">
        <v>88</v>
      </c>
      <c r="B97" s="211" t="s">
        <v>318</v>
      </c>
      <c r="C97" s="212" t="s">
        <v>45</v>
      </c>
      <c r="D97" s="213"/>
      <c r="E97" s="213">
        <v>28</v>
      </c>
      <c r="F97" s="119"/>
      <c r="G97" s="215"/>
      <c r="H97" s="119"/>
      <c r="I97" s="95"/>
      <c r="J97" s="100"/>
      <c r="K97" s="95"/>
      <c r="L97" s="132">
        <f t="shared" si="6"/>
        <v>0</v>
      </c>
      <c r="M97" s="216"/>
    </row>
    <row r="98" spans="1:13" ht="18">
      <c r="A98" s="207">
        <v>89</v>
      </c>
      <c r="B98" s="211" t="s">
        <v>319</v>
      </c>
      <c r="C98" s="212" t="s">
        <v>45</v>
      </c>
      <c r="D98" s="213"/>
      <c r="E98" s="213">
        <v>3</v>
      </c>
      <c r="F98" s="119"/>
      <c r="G98" s="215"/>
      <c r="H98" s="119"/>
      <c r="I98" s="95"/>
      <c r="J98" s="100"/>
      <c r="K98" s="95"/>
      <c r="L98" s="132">
        <f t="shared" si="6"/>
        <v>0</v>
      </c>
      <c r="M98" s="216"/>
    </row>
    <row r="99" spans="1:13">
      <c r="A99" s="210">
        <v>90</v>
      </c>
      <c r="B99" s="211" t="s">
        <v>320</v>
      </c>
      <c r="C99" s="212" t="s">
        <v>45</v>
      </c>
      <c r="D99" s="213"/>
      <c r="E99" s="213">
        <v>1</v>
      </c>
      <c r="F99" s="119"/>
      <c r="G99" s="215"/>
      <c r="H99" s="119"/>
      <c r="I99" s="95"/>
      <c r="J99" s="100"/>
      <c r="K99" s="95"/>
      <c r="L99" s="132">
        <f t="shared" si="6"/>
        <v>0</v>
      </c>
      <c r="M99" s="216"/>
    </row>
    <row r="100" spans="1:13" ht="18">
      <c r="A100" s="207">
        <v>91</v>
      </c>
      <c r="B100" s="211" t="s">
        <v>321</v>
      </c>
      <c r="C100" s="212" t="s">
        <v>45</v>
      </c>
      <c r="D100" s="213"/>
      <c r="E100" s="213">
        <v>1</v>
      </c>
      <c r="F100" s="119"/>
      <c r="G100" s="215"/>
      <c r="H100" s="119"/>
      <c r="I100" s="95"/>
      <c r="J100" s="100"/>
      <c r="K100" s="95"/>
      <c r="L100" s="132">
        <f t="shared" si="6"/>
        <v>0</v>
      </c>
      <c r="M100" s="216"/>
    </row>
    <row r="101" spans="1:13">
      <c r="A101" s="210">
        <v>92</v>
      </c>
      <c r="B101" s="211" t="s">
        <v>322</v>
      </c>
      <c r="C101" s="212" t="s">
        <v>45</v>
      </c>
      <c r="D101" s="213"/>
      <c r="E101" s="213">
        <v>1</v>
      </c>
      <c r="F101" s="119"/>
      <c r="G101" s="215"/>
      <c r="H101" s="119"/>
      <c r="I101" s="95"/>
      <c r="J101" s="100"/>
      <c r="K101" s="95"/>
      <c r="L101" s="132">
        <f t="shared" si="6"/>
        <v>0</v>
      </c>
      <c r="M101" s="216"/>
    </row>
    <row r="102" spans="1:13" ht="18">
      <c r="A102" s="207">
        <v>93</v>
      </c>
      <c r="B102" s="211" t="s">
        <v>323</v>
      </c>
      <c r="C102" s="212" t="s">
        <v>45</v>
      </c>
      <c r="D102" s="213"/>
      <c r="E102" s="213">
        <v>8</v>
      </c>
      <c r="F102" s="119"/>
      <c r="G102" s="215"/>
      <c r="H102" s="119"/>
      <c r="I102" s="95"/>
      <c r="J102" s="100"/>
      <c r="K102" s="95"/>
      <c r="L102" s="132">
        <f t="shared" si="6"/>
        <v>0</v>
      </c>
      <c r="M102" s="216"/>
    </row>
    <row r="103" spans="1:13">
      <c r="A103" s="210">
        <v>94</v>
      </c>
      <c r="B103" s="211" t="s">
        <v>324</v>
      </c>
      <c r="C103" s="212" t="s">
        <v>45</v>
      </c>
      <c r="D103" s="213"/>
      <c r="E103" s="213">
        <v>8</v>
      </c>
      <c r="F103" s="119"/>
      <c r="G103" s="215"/>
      <c r="H103" s="119"/>
      <c r="I103" s="95"/>
      <c r="J103" s="100"/>
      <c r="K103" s="95"/>
      <c r="L103" s="132">
        <f t="shared" si="6"/>
        <v>0</v>
      </c>
      <c r="M103" s="216"/>
    </row>
    <row r="104" spans="1:13" ht="18">
      <c r="A104" s="207">
        <v>95</v>
      </c>
      <c r="B104" s="211" t="s">
        <v>325</v>
      </c>
      <c r="C104" s="212" t="s">
        <v>45</v>
      </c>
      <c r="D104" s="213"/>
      <c r="E104" s="213">
        <v>4</v>
      </c>
      <c r="F104" s="119"/>
      <c r="G104" s="119"/>
      <c r="H104" s="119"/>
      <c r="I104" s="119"/>
      <c r="J104" s="119"/>
      <c r="K104" s="119"/>
      <c r="L104" s="132"/>
      <c r="M104" s="216"/>
    </row>
    <row r="105" spans="1:13">
      <c r="A105" s="210">
        <v>96</v>
      </c>
      <c r="B105" s="211" t="s">
        <v>326</v>
      </c>
      <c r="C105" s="212" t="s">
        <v>45</v>
      </c>
      <c r="D105" s="213"/>
      <c r="E105" s="213">
        <v>4</v>
      </c>
      <c r="F105" s="230"/>
      <c r="G105" s="215"/>
      <c r="H105" s="230"/>
      <c r="I105" s="123"/>
      <c r="J105" s="122"/>
      <c r="K105" s="122"/>
      <c r="L105" s="132">
        <f t="shared" ref="L105:L116" si="7">K105+I105+G105</f>
        <v>0</v>
      </c>
      <c r="M105" s="216"/>
    </row>
    <row r="106" spans="1:13" ht="18">
      <c r="A106" s="207">
        <v>97</v>
      </c>
      <c r="B106" s="211" t="s">
        <v>327</v>
      </c>
      <c r="C106" s="212" t="s">
        <v>45</v>
      </c>
      <c r="D106" s="213"/>
      <c r="E106" s="213">
        <v>3</v>
      </c>
      <c r="F106" s="230"/>
      <c r="G106" s="215"/>
      <c r="H106" s="230"/>
      <c r="I106" s="123"/>
      <c r="J106" s="122"/>
      <c r="K106" s="122"/>
      <c r="L106" s="132">
        <f t="shared" si="7"/>
        <v>0</v>
      </c>
      <c r="M106" s="216"/>
    </row>
    <row r="107" spans="1:13">
      <c r="A107" s="210">
        <v>98</v>
      </c>
      <c r="B107" s="211" t="s">
        <v>328</v>
      </c>
      <c r="C107" s="212" t="s">
        <v>45</v>
      </c>
      <c r="D107" s="213"/>
      <c r="E107" s="213">
        <v>11</v>
      </c>
      <c r="F107" s="230"/>
      <c r="G107" s="215"/>
      <c r="H107" s="230"/>
      <c r="I107" s="123"/>
      <c r="J107" s="122"/>
      <c r="K107" s="122"/>
      <c r="L107" s="132">
        <f t="shared" si="7"/>
        <v>0</v>
      </c>
      <c r="M107" s="216"/>
    </row>
    <row r="108" spans="1:13" ht="18">
      <c r="A108" s="207">
        <v>99</v>
      </c>
      <c r="B108" s="211" t="s">
        <v>329</v>
      </c>
      <c r="C108" s="212" t="s">
        <v>45</v>
      </c>
      <c r="D108" s="213"/>
      <c r="E108" s="213">
        <v>55</v>
      </c>
      <c r="F108" s="230"/>
      <c r="G108" s="215"/>
      <c r="H108" s="230"/>
      <c r="I108" s="123"/>
      <c r="J108" s="122"/>
      <c r="K108" s="122"/>
      <c r="L108" s="132">
        <f t="shared" si="7"/>
        <v>0</v>
      </c>
      <c r="M108" s="216"/>
    </row>
    <row r="109" spans="1:13">
      <c r="A109" s="210">
        <v>100</v>
      </c>
      <c r="B109" s="211" t="s">
        <v>330</v>
      </c>
      <c r="C109" s="212" t="s">
        <v>45</v>
      </c>
      <c r="D109" s="213"/>
      <c r="E109" s="213">
        <v>55</v>
      </c>
      <c r="F109" s="230"/>
      <c r="G109" s="215"/>
      <c r="H109" s="230"/>
      <c r="I109" s="123"/>
      <c r="J109" s="122"/>
      <c r="K109" s="122"/>
      <c r="L109" s="132">
        <f t="shared" si="7"/>
        <v>0</v>
      </c>
      <c r="M109" s="216"/>
    </row>
    <row r="110" spans="1:13" ht="18">
      <c r="A110" s="207">
        <v>101</v>
      </c>
      <c r="B110" s="211" t="s">
        <v>331</v>
      </c>
      <c r="C110" s="212" t="s">
        <v>45</v>
      </c>
      <c r="D110" s="213"/>
      <c r="E110" s="213">
        <v>55</v>
      </c>
      <c r="F110" s="230"/>
      <c r="G110" s="215"/>
      <c r="H110" s="230"/>
      <c r="I110" s="123"/>
      <c r="J110" s="122"/>
      <c r="K110" s="122"/>
      <c r="L110" s="132">
        <f t="shared" si="7"/>
        <v>0</v>
      </c>
      <c r="M110" s="216"/>
    </row>
    <row r="111" spans="1:13">
      <c r="A111" s="210">
        <v>102</v>
      </c>
      <c r="B111" s="260" t="s">
        <v>332</v>
      </c>
      <c r="C111" s="231"/>
      <c r="D111" s="231"/>
      <c r="E111" s="231"/>
      <c r="F111" s="230"/>
      <c r="G111" s="215"/>
      <c r="H111" s="230"/>
      <c r="I111" s="123"/>
      <c r="J111" s="122"/>
      <c r="K111" s="122"/>
      <c r="L111" s="132">
        <f t="shared" si="7"/>
        <v>0</v>
      </c>
      <c r="M111" s="216"/>
    </row>
    <row r="112" spans="1:13" ht="18">
      <c r="A112" s="207">
        <v>103</v>
      </c>
      <c r="B112" s="224" t="s">
        <v>333</v>
      </c>
      <c r="C112" s="212" t="s">
        <v>45</v>
      </c>
      <c r="D112" s="213"/>
      <c r="E112" s="213">
        <v>35</v>
      </c>
      <c r="F112" s="230"/>
      <c r="G112" s="215"/>
      <c r="H112" s="230"/>
      <c r="I112" s="123"/>
      <c r="J112" s="122"/>
      <c r="K112" s="122"/>
      <c r="L112" s="132">
        <f t="shared" si="7"/>
        <v>0</v>
      </c>
      <c r="M112" s="216"/>
    </row>
    <row r="113" spans="1:13">
      <c r="A113" s="210">
        <v>104</v>
      </c>
      <c r="B113" s="224" t="s">
        <v>334</v>
      </c>
      <c r="C113" s="212" t="s">
        <v>45</v>
      </c>
      <c r="D113" s="213"/>
      <c r="E113" s="213">
        <v>11</v>
      </c>
      <c r="F113" s="230"/>
      <c r="G113" s="215"/>
      <c r="H113" s="230"/>
      <c r="I113" s="123"/>
      <c r="J113" s="122"/>
      <c r="K113" s="122"/>
      <c r="L113" s="132">
        <f t="shared" si="7"/>
        <v>0</v>
      </c>
      <c r="M113" s="216"/>
    </row>
    <row r="114" spans="1:13" ht="18">
      <c r="A114" s="207">
        <v>105</v>
      </c>
      <c r="B114" s="224" t="s">
        <v>335</v>
      </c>
      <c r="C114" s="212" t="s">
        <v>45</v>
      </c>
      <c r="D114" s="213"/>
      <c r="E114" s="213">
        <v>3</v>
      </c>
      <c r="F114" s="230"/>
      <c r="G114" s="215"/>
      <c r="H114" s="230"/>
      <c r="I114" s="123"/>
      <c r="J114" s="122"/>
      <c r="K114" s="122"/>
      <c r="L114" s="132">
        <f t="shared" si="7"/>
        <v>0</v>
      </c>
      <c r="M114" s="216"/>
    </row>
    <row r="115" spans="1:13" ht="25.5">
      <c r="A115" s="210">
        <v>106</v>
      </c>
      <c r="B115" s="224" t="s">
        <v>349</v>
      </c>
      <c r="C115" s="212" t="s">
        <v>45</v>
      </c>
      <c r="D115" s="213"/>
      <c r="E115" s="213">
        <v>25</v>
      </c>
      <c r="F115" s="230"/>
      <c r="G115" s="215"/>
      <c r="H115" s="230"/>
      <c r="I115" s="123"/>
      <c r="J115" s="122"/>
      <c r="K115" s="122"/>
      <c r="L115" s="132">
        <f t="shared" si="7"/>
        <v>0</v>
      </c>
      <c r="M115" s="216"/>
    </row>
    <row r="116" spans="1:13" ht="25.5">
      <c r="A116" s="207">
        <v>107</v>
      </c>
      <c r="B116" s="224" t="s">
        <v>336</v>
      </c>
      <c r="C116" s="212" t="s">
        <v>45</v>
      </c>
      <c r="D116" s="213"/>
      <c r="E116" s="213">
        <v>4</v>
      </c>
      <c r="F116" s="230"/>
      <c r="G116" s="215"/>
      <c r="H116" s="230"/>
      <c r="I116" s="123"/>
      <c r="J116" s="122"/>
      <c r="K116" s="122"/>
      <c r="L116" s="132">
        <f t="shared" si="7"/>
        <v>0</v>
      </c>
      <c r="M116" s="216"/>
    </row>
    <row r="117" spans="1:13">
      <c r="A117" s="210">
        <v>108</v>
      </c>
      <c r="B117" s="211" t="s">
        <v>286</v>
      </c>
      <c r="C117" s="212" t="s">
        <v>45</v>
      </c>
      <c r="D117" s="213"/>
      <c r="E117" s="213">
        <v>2</v>
      </c>
      <c r="F117" s="230"/>
      <c r="G117" s="215"/>
      <c r="H117" s="230"/>
      <c r="I117" s="123"/>
      <c r="J117" s="122"/>
      <c r="K117" s="122"/>
      <c r="L117" s="132"/>
      <c r="M117" s="216"/>
    </row>
    <row r="118" spans="1:13" ht="25.5">
      <c r="A118" s="207">
        <v>109</v>
      </c>
      <c r="B118" s="211" t="s">
        <v>337</v>
      </c>
      <c r="C118" s="212" t="s">
        <v>45</v>
      </c>
      <c r="D118" s="213"/>
      <c r="E118" s="213">
        <v>2</v>
      </c>
      <c r="F118" s="119"/>
      <c r="G118" s="232"/>
      <c r="H118" s="119"/>
      <c r="I118" s="123"/>
      <c r="J118" s="122"/>
      <c r="K118" s="122"/>
      <c r="L118" s="132">
        <f t="shared" ref="L118:L119" si="8">K118+I118+G118</f>
        <v>0</v>
      </c>
      <c r="M118" s="216"/>
    </row>
    <row r="119" spans="1:13">
      <c r="A119" s="210">
        <v>110</v>
      </c>
      <c r="B119" s="211" t="s">
        <v>338</v>
      </c>
      <c r="C119" s="212" t="s">
        <v>45</v>
      </c>
      <c r="D119" s="213"/>
      <c r="E119" s="213">
        <v>3</v>
      </c>
      <c r="F119" s="233"/>
      <c r="G119" s="215"/>
      <c r="H119" s="234"/>
      <c r="I119" s="123"/>
      <c r="J119" s="122"/>
      <c r="K119" s="122"/>
      <c r="L119" s="132">
        <f t="shared" si="8"/>
        <v>0</v>
      </c>
      <c r="M119" s="216"/>
    </row>
    <row r="120" spans="1:13" ht="15.75">
      <c r="A120" s="241"/>
      <c r="B120" s="236" t="s">
        <v>65</v>
      </c>
      <c r="C120" s="242"/>
      <c r="D120" s="118"/>
      <c r="E120" s="118"/>
      <c r="F120" s="118"/>
      <c r="G120" s="117">
        <f>SUM(G10:G119)</f>
        <v>0</v>
      </c>
      <c r="H120" s="117"/>
      <c r="I120" s="117">
        <f>SUM(I10:I119)</f>
        <v>0</v>
      </c>
      <c r="J120" s="117"/>
      <c r="K120" s="117">
        <f>SUM(K10:K119)</f>
        <v>0</v>
      </c>
      <c r="L120" s="117">
        <f>SUM(L10:L119)</f>
        <v>0</v>
      </c>
      <c r="M120" s="243"/>
    </row>
    <row r="121" spans="1:13" ht="18">
      <c r="A121" s="244"/>
      <c r="B121" s="245" t="s">
        <v>66</v>
      </c>
      <c r="C121" s="246"/>
      <c r="D121" s="247"/>
      <c r="E121" s="244"/>
      <c r="F121" s="247"/>
      <c r="G121" s="247"/>
      <c r="H121" s="247"/>
      <c r="I121" s="247"/>
      <c r="J121" s="247"/>
      <c r="K121" s="247"/>
      <c r="L121" s="90">
        <f>G120*C121</f>
        <v>0</v>
      </c>
      <c r="M121" s="216"/>
    </row>
    <row r="122" spans="1:13" ht="18">
      <c r="A122" s="244"/>
      <c r="B122" s="248" t="s">
        <v>8</v>
      </c>
      <c r="C122" s="249"/>
      <c r="D122" s="247"/>
      <c r="E122" s="244"/>
      <c r="F122" s="247"/>
      <c r="G122" s="247"/>
      <c r="H122" s="247"/>
      <c r="I122" s="247"/>
      <c r="J122" s="247"/>
      <c r="K122" s="247"/>
      <c r="L122" s="250">
        <f>SUM(L120:L121)</f>
        <v>0</v>
      </c>
      <c r="M122" s="243"/>
    </row>
    <row r="123" spans="1:13" ht="17.25">
      <c r="A123" s="241"/>
      <c r="B123" s="251" t="s">
        <v>77</v>
      </c>
      <c r="C123" s="252"/>
      <c r="D123" s="253"/>
      <c r="E123" s="253"/>
      <c r="F123" s="253"/>
      <c r="G123" s="253"/>
      <c r="H123" s="253"/>
      <c r="I123" s="253"/>
      <c r="J123" s="253"/>
      <c r="K123" s="253"/>
      <c r="L123" s="90">
        <f>L122*C123</f>
        <v>0</v>
      </c>
      <c r="M123" s="216"/>
    </row>
    <row r="124" spans="1:13" ht="18">
      <c r="A124" s="241"/>
      <c r="B124" s="248" t="s">
        <v>8</v>
      </c>
      <c r="C124" s="254"/>
      <c r="D124" s="253"/>
      <c r="E124" s="253"/>
      <c r="F124" s="253"/>
      <c r="G124" s="253"/>
      <c r="H124" s="253"/>
      <c r="I124" s="253"/>
      <c r="J124" s="253"/>
      <c r="K124" s="253"/>
      <c r="L124" s="250">
        <f>SUM(L122:L123)</f>
        <v>0</v>
      </c>
      <c r="M124" s="243"/>
    </row>
    <row r="125" spans="1:13" ht="17.25">
      <c r="A125" s="244"/>
      <c r="B125" s="251" t="s">
        <v>41</v>
      </c>
      <c r="C125" s="252"/>
      <c r="D125" s="247"/>
      <c r="E125" s="244"/>
      <c r="F125" s="247"/>
      <c r="G125" s="247"/>
      <c r="H125" s="247"/>
      <c r="I125" s="247"/>
      <c r="J125" s="247"/>
      <c r="K125" s="247"/>
      <c r="L125" s="90">
        <f>L124*C125</f>
        <v>0</v>
      </c>
      <c r="M125" s="216"/>
    </row>
    <row r="126" spans="1:13" ht="19.5">
      <c r="A126" s="244"/>
      <c r="B126" s="255" t="s">
        <v>8</v>
      </c>
      <c r="C126" s="256"/>
      <c r="D126" s="247"/>
      <c r="E126" s="244"/>
      <c r="F126" s="247"/>
      <c r="G126" s="247"/>
      <c r="H126" s="247"/>
      <c r="I126" s="247"/>
      <c r="J126" s="247"/>
      <c r="K126" s="247"/>
      <c r="L126" s="250">
        <f>SUM(L124:L125)</f>
        <v>0</v>
      </c>
      <c r="M126" s="243"/>
    </row>
    <row r="127" spans="1:13" ht="18">
      <c r="A127" s="244"/>
      <c r="B127" s="248" t="s">
        <v>68</v>
      </c>
      <c r="C127" s="257"/>
      <c r="D127" s="247"/>
      <c r="E127" s="244"/>
      <c r="F127" s="247"/>
      <c r="G127" s="247"/>
      <c r="H127" s="247"/>
      <c r="I127" s="247"/>
      <c r="J127" s="247"/>
      <c r="K127" s="247"/>
      <c r="L127" s="90">
        <f>L126*C127</f>
        <v>0</v>
      </c>
      <c r="M127" s="216"/>
    </row>
    <row r="128" spans="1:13" ht="19.5">
      <c r="A128" s="244"/>
      <c r="B128" s="255" t="s">
        <v>8</v>
      </c>
      <c r="C128" s="256"/>
      <c r="D128" s="247"/>
      <c r="E128" s="244"/>
      <c r="F128" s="247"/>
      <c r="G128" s="247"/>
      <c r="H128" s="247"/>
      <c r="I128" s="247"/>
      <c r="J128" s="247"/>
      <c r="K128" s="247"/>
      <c r="L128" s="250">
        <f>SUM(L126:L127)</f>
        <v>0</v>
      </c>
      <c r="M128" s="243"/>
    </row>
    <row r="129" spans="1:13" ht="18">
      <c r="A129" s="244"/>
      <c r="B129" s="248" t="s">
        <v>88</v>
      </c>
      <c r="C129" s="257"/>
      <c r="D129" s="247"/>
      <c r="E129" s="244"/>
      <c r="F129" s="247"/>
      <c r="G129" s="247"/>
      <c r="H129" s="247"/>
      <c r="I129" s="247"/>
      <c r="J129" s="247"/>
      <c r="K129" s="247"/>
      <c r="L129" s="90">
        <f>I120*C129</f>
        <v>0</v>
      </c>
      <c r="M129" s="216"/>
    </row>
    <row r="130" spans="1:13" ht="19.5">
      <c r="A130" s="244"/>
      <c r="B130" s="255" t="s">
        <v>8</v>
      </c>
      <c r="C130" s="256"/>
      <c r="D130" s="247"/>
      <c r="E130" s="244"/>
      <c r="F130" s="247"/>
      <c r="G130" s="247"/>
      <c r="H130" s="247"/>
      <c r="I130" s="247"/>
      <c r="J130" s="247"/>
      <c r="K130" s="247"/>
      <c r="L130" s="28">
        <f>SUM(L128:L129)</f>
        <v>0</v>
      </c>
      <c r="M130" s="243"/>
    </row>
    <row r="131" spans="1:13" ht="18">
      <c r="A131" s="244"/>
      <c r="B131" s="248" t="s">
        <v>9</v>
      </c>
      <c r="C131" s="257">
        <v>0.18</v>
      </c>
      <c r="D131" s="247"/>
      <c r="E131" s="244"/>
      <c r="F131" s="247"/>
      <c r="G131" s="247"/>
      <c r="H131" s="247"/>
      <c r="I131" s="247"/>
      <c r="J131" s="247"/>
      <c r="K131" s="247"/>
      <c r="L131" s="90">
        <f>L130*C131</f>
        <v>0</v>
      </c>
      <c r="M131" s="258"/>
    </row>
    <row r="132" spans="1:13" ht="19.5">
      <c r="A132" s="244"/>
      <c r="B132" s="255" t="s">
        <v>69</v>
      </c>
      <c r="C132" s="259"/>
      <c r="D132" s="247"/>
      <c r="E132" s="244"/>
      <c r="F132" s="247"/>
      <c r="G132" s="247"/>
      <c r="H132" s="247"/>
      <c r="I132" s="247"/>
      <c r="J132" s="247"/>
      <c r="K132" s="247"/>
      <c r="L132" s="28">
        <f>SUM(L130:L131)</f>
        <v>0</v>
      </c>
      <c r="M132" s="243"/>
    </row>
  </sheetData>
  <mergeCells count="13">
    <mergeCell ref="H7:I7"/>
    <mergeCell ref="J7:K7"/>
    <mergeCell ref="L7:L8"/>
    <mergeCell ref="A1:L1"/>
    <mergeCell ref="A2:L2"/>
    <mergeCell ref="B3:K3"/>
    <mergeCell ref="B5:E5"/>
    <mergeCell ref="F5:I5"/>
    <mergeCell ref="A7:A8"/>
    <mergeCell ref="B7:B8"/>
    <mergeCell ref="C7:C8"/>
    <mergeCell ref="D7:E7"/>
    <mergeCell ref="F7:G7"/>
  </mergeCells>
  <conditionalFormatting sqref="B17:C17 B18 B19:C24 B25 B26:C30 B31 B32:C36">
    <cfRule type="cellIs" dxfId="3" priority="4" stopIfTrue="1" operator="equal">
      <formula>0</formula>
    </cfRule>
  </conditionalFormatting>
  <conditionalFormatting sqref="C119 E119">
    <cfRule type="cellIs" dxfId="2" priority="8" stopIfTrue="1" operator="equal">
      <formula>0</formula>
    </cfRule>
  </conditionalFormatting>
  <conditionalFormatting sqref="D17:E36">
    <cfRule type="cellIs" dxfId="1" priority="1" stopIfTrue="1" operator="equal">
      <formula>0</formula>
    </cfRule>
  </conditionalFormatting>
  <conditionalFormatting sqref="D118:F119">
    <cfRule type="cellIs" dxfId="0" priority="2" stopIfTrue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თავფურცელი</vt:lpstr>
      <vt:lpstr>ნაკრები ხარჯთაღრიცხვა</vt:lpstr>
      <vt:lpstr>კონსტრუქცია</vt:lpstr>
      <vt:lpstr>სამშენებლო მოსაპირკეთებელი სამუ</vt:lpstr>
      <vt:lpstr>გზა</vt:lpstr>
      <vt:lpstr>ელ. სამუშაოები</vt:lpstr>
      <vt:lpstr>გზა!Print_Area</vt:lpstr>
      <vt:lpstr>თავფურცელი!Print_Area</vt:lpstr>
      <vt:lpstr>კონსტრუქცია!Print_Area</vt:lpstr>
      <vt:lpstr>'ნაკრები ხარჯთაღრიცხვა'!Print_Area</vt:lpstr>
      <vt:lpstr>'სამშენებლო მოსაპირკეთებელი სამუ'!Print_Area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Davit62</dc:creator>
  <cp:lastModifiedBy>Lasha Khulordava</cp:lastModifiedBy>
  <cp:lastPrinted>2020-01-25T09:17:11Z</cp:lastPrinted>
  <dcterms:created xsi:type="dcterms:W3CDTF">2019-12-12T07:57:53Z</dcterms:created>
  <dcterms:modified xsi:type="dcterms:W3CDTF">2026-01-15T14:43:21Z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BOG0\l.khulordava</vt:lpwstr>
  </property>
  <property fmtid="{D5CDD505-2E9C-101B-9397-08002B2CF9AE}" pid="4" name="DLPManualFileClassificationLastModificationDate">
    <vt:lpwstr>1759473198</vt:lpwstr>
  </property>
  <property fmtid="{D5CDD505-2E9C-101B-9397-08002B2CF9AE}" pid="5" name="DLPManualFileClassificationVersion">
    <vt:lpwstr>11.11.2.117</vt:lpwstr>
  </property>
</Properties>
</file>