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ikheil.khundadze\Desktop\ახალი საწყობი\"/>
    </mc:Choice>
  </mc:AlternateContent>
  <xr:revisionPtr revIDLastSave="0" documentId="13_ncr:1_{853F8E28-E280-4EDA-9876-2CBBCCBA88F6}" xr6:coauthVersionLast="47" xr6:coauthVersionMax="47" xr10:uidLastSave="{00000000-0000-0000-0000-000000000000}"/>
  <bookViews>
    <workbookView xWindow="-110" yWindow="-110" windowWidth="20700" windowHeight="11020" activeTab="2" xr2:uid="{00000000-000D-0000-FFFF-FFFF00000000}"/>
  </bookViews>
  <sheets>
    <sheet name="კრებსითი" sheetId="1" r:id="rId1"/>
    <sheet name="1. მიწის სამუშაოები" sheetId="2" r:id="rId2"/>
    <sheet name="2. საძიკვლ. მონოლითი" sheetId="3" r:id="rId3"/>
    <sheet name="3. ლითონის კარკასი 1" sheetId="4" r:id="rId4"/>
    <sheet name="4. სენდვიჩპ. მონტაჟი" sheetId="5" r:id="rId5"/>
    <sheet name="5. სარემონტ. სამ. კარ-ფანჯ." sheetId="6" r:id="rId6"/>
    <sheet name="6. ტერიტორ. კეთილმოწყ." sheetId="7" r:id="rId7"/>
    <sheet name="7.წყალკანალი" sheetId="8" r:id="rId8"/>
    <sheet name="8. ელმომარაგება" sheetId="9" r:id="rId9"/>
    <sheet name="9. სახანძრო" sheetId="11" r:id="rId10"/>
    <sheet name="10. ვიდეოკონტროლი" sheetId="12" r:id="rId11"/>
    <sheet name="11. მზის პანელები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9" l="1"/>
  <c r="H13" i="7"/>
  <c r="H57" i="8" l="1"/>
  <c r="H51" i="8"/>
  <c r="H50" i="8"/>
  <c r="H48" i="8"/>
  <c r="H47" i="8"/>
  <c r="J43" i="8" l="1"/>
  <c r="J18" i="2"/>
  <c r="H9" i="15" l="1"/>
  <c r="M9" i="15" s="1"/>
  <c r="J23" i="15"/>
  <c r="M23" i="15" s="1"/>
  <c r="J22" i="15"/>
  <c r="M22" i="15" s="1"/>
  <c r="J21" i="15"/>
  <c r="M21" i="15" s="1"/>
  <c r="J20" i="15"/>
  <c r="M20" i="15" s="1"/>
  <c r="J19" i="15"/>
  <c r="M19" i="15" s="1"/>
  <c r="J18" i="15"/>
  <c r="M18" i="15" s="1"/>
  <c r="J17" i="15"/>
  <c r="M17" i="15" s="1"/>
  <c r="J16" i="15"/>
  <c r="M16" i="15" s="1"/>
  <c r="J15" i="15"/>
  <c r="M15" i="15" s="1"/>
  <c r="J14" i="15"/>
  <c r="M14" i="15" s="1"/>
  <c r="J12" i="15"/>
  <c r="M12" i="15" s="1"/>
  <c r="J11" i="15"/>
  <c r="M11" i="15" s="1"/>
  <c r="J13" i="15"/>
  <c r="M13" i="15" s="1"/>
  <c r="J10" i="15"/>
  <c r="J25" i="15"/>
  <c r="M25" i="15" s="1"/>
  <c r="J24" i="15"/>
  <c r="M24" i="15" s="1"/>
  <c r="J26" i="15" l="1"/>
  <c r="M10" i="15"/>
  <c r="H26" i="15"/>
  <c r="F22" i="5"/>
  <c r="H22" i="5" s="1"/>
  <c r="F54" i="5"/>
  <c r="J54" i="5" s="1"/>
  <c r="M54" i="5" s="1"/>
  <c r="F53" i="5"/>
  <c r="J53" i="5" s="1"/>
  <c r="F52" i="5"/>
  <c r="J52" i="5" s="1"/>
  <c r="M52" i="5" s="1"/>
  <c r="M51" i="5"/>
  <c r="F50" i="5"/>
  <c r="J50" i="5" s="1"/>
  <c r="J49" i="5"/>
  <c r="M49" i="5" s="1"/>
  <c r="J48" i="5"/>
  <c r="M48" i="5" s="1"/>
  <c r="H47" i="5"/>
  <c r="M47" i="5" s="1"/>
  <c r="F23" i="5"/>
  <c r="F17" i="5"/>
  <c r="J17" i="5" s="1"/>
  <c r="M17" i="5" s="1"/>
  <c r="J16" i="5"/>
  <c r="L18" i="5"/>
  <c r="F19" i="5"/>
  <c r="L19" i="5"/>
  <c r="M19" i="5" s="1"/>
  <c r="H20" i="5"/>
  <c r="M20" i="5" s="1"/>
  <c r="F21" i="5"/>
  <c r="J21" i="5" s="1"/>
  <c r="M21" i="5" s="1"/>
  <c r="L24" i="5"/>
  <c r="M24" i="5" s="1"/>
  <c r="F23" i="6"/>
  <c r="L23" i="6" s="1"/>
  <c r="M23" i="6" s="1"/>
  <c r="F22" i="6"/>
  <c r="J22" i="6" s="1"/>
  <c r="H21" i="6"/>
  <c r="J21" i="6"/>
  <c r="H25" i="6"/>
  <c r="M25" i="6" s="1"/>
  <c r="F26" i="6"/>
  <c r="J26" i="6" s="1"/>
  <c r="F27" i="6"/>
  <c r="J27" i="6"/>
  <c r="M27" i="6" s="1"/>
  <c r="F28" i="6"/>
  <c r="J28" i="6"/>
  <c r="M28" i="6" s="1"/>
  <c r="F29" i="6"/>
  <c r="J29" i="6" s="1"/>
  <c r="M29" i="6" s="1"/>
  <c r="F30" i="6"/>
  <c r="L30" i="6" s="1"/>
  <c r="H32" i="6"/>
  <c r="H36" i="6" s="1"/>
  <c r="F33" i="6"/>
  <c r="J33" i="6" s="1"/>
  <c r="M33" i="6" s="1"/>
  <c r="J34" i="6"/>
  <c r="M34" i="6" s="1"/>
  <c r="F35" i="6"/>
  <c r="J35" i="6"/>
  <c r="M35" i="6" s="1"/>
  <c r="H20" i="6"/>
  <c r="J20" i="6"/>
  <c r="H18" i="6"/>
  <c r="J18" i="6"/>
  <c r="H19" i="6"/>
  <c r="J19" i="6"/>
  <c r="J14" i="6"/>
  <c r="H14" i="6"/>
  <c r="H15" i="6"/>
  <c r="J15" i="6"/>
  <c r="H16" i="6"/>
  <c r="J16" i="6"/>
  <c r="H17" i="6"/>
  <c r="J17" i="6"/>
  <c r="M14" i="6" l="1"/>
  <c r="M18" i="6"/>
  <c r="M26" i="15"/>
  <c r="M27" i="15" s="1"/>
  <c r="M28" i="15" s="1"/>
  <c r="M29" i="15" s="1"/>
  <c r="M32" i="6"/>
  <c r="J31" i="6"/>
  <c r="H31" i="6"/>
  <c r="L24" i="6"/>
  <c r="M20" i="6"/>
  <c r="M21" i="6"/>
  <c r="M19" i="6"/>
  <c r="M17" i="6"/>
  <c r="M16" i="6"/>
  <c r="J55" i="5"/>
  <c r="M56" i="5" s="1"/>
  <c r="L53" i="5"/>
  <c r="L55" i="5" s="1"/>
  <c r="M18" i="5"/>
  <c r="M50" i="5"/>
  <c r="H53" i="5"/>
  <c r="H55" i="5" s="1"/>
  <c r="M16" i="5"/>
  <c r="J23" i="5"/>
  <c r="M23" i="5" s="1"/>
  <c r="L22" i="5"/>
  <c r="L25" i="5" s="1"/>
  <c r="J22" i="5"/>
  <c r="M22" i="6"/>
  <c r="M26" i="6"/>
  <c r="L31" i="6"/>
  <c r="M30" i="6"/>
  <c r="J36" i="6"/>
  <c r="M36" i="6" s="1"/>
  <c r="M15" i="6"/>
  <c r="F59" i="9"/>
  <c r="J59" i="9" s="1"/>
  <c r="F60" i="9"/>
  <c r="J60" i="9" s="1"/>
  <c r="M60" i="9" s="1"/>
  <c r="F58" i="9"/>
  <c r="J58" i="9" s="1"/>
  <c r="M58" i="9" s="1"/>
  <c r="F57" i="9"/>
  <c r="J57" i="9" s="1"/>
  <c r="M57" i="9" s="1"/>
  <c r="F56" i="9"/>
  <c r="J56" i="9" s="1"/>
  <c r="M56" i="9" s="1"/>
  <c r="F55" i="9"/>
  <c r="J55" i="9" s="1"/>
  <c r="M55" i="9" s="1"/>
  <c r="F54" i="9"/>
  <c r="J54" i="9" s="1"/>
  <c r="M54" i="9" s="1"/>
  <c r="J53" i="9"/>
  <c r="M53" i="9" s="1"/>
  <c r="L52" i="9"/>
  <c r="H52" i="9"/>
  <c r="L51" i="9"/>
  <c r="H51" i="9"/>
  <c r="F111" i="3"/>
  <c r="J111" i="3" s="1"/>
  <c r="M111" i="3" s="1"/>
  <c r="F174" i="3"/>
  <c r="J174" i="3" s="1"/>
  <c r="M174" i="3" s="1"/>
  <c r="F173" i="3"/>
  <c r="J173" i="3" s="1"/>
  <c r="M173" i="3" s="1"/>
  <c r="F172" i="3"/>
  <c r="J172" i="3" s="1"/>
  <c r="M172" i="3" s="1"/>
  <c r="H171" i="3"/>
  <c r="M171" i="3" s="1"/>
  <c r="H170" i="3"/>
  <c r="M170" i="3" s="1"/>
  <c r="F169" i="3"/>
  <c r="L169" i="3" s="1"/>
  <c r="M169" i="3" s="1"/>
  <c r="F168" i="3"/>
  <c r="J168" i="3" s="1"/>
  <c r="M168" i="3" s="1"/>
  <c r="F167" i="3"/>
  <c r="J167" i="3" s="1"/>
  <c r="M167" i="3" s="1"/>
  <c r="F166" i="3"/>
  <c r="J166" i="3" s="1"/>
  <c r="M166" i="3" s="1"/>
  <c r="M165" i="3"/>
  <c r="F175" i="3"/>
  <c r="J175" i="3" s="1"/>
  <c r="M175" i="3" s="1"/>
  <c r="F176" i="3"/>
  <c r="J176" i="3" s="1"/>
  <c r="M176" i="3" s="1"/>
  <c r="H178" i="3"/>
  <c r="M178" i="3" s="1"/>
  <c r="F179" i="3"/>
  <c r="J179" i="3" s="1"/>
  <c r="M179" i="3" s="1"/>
  <c r="F180" i="3"/>
  <c r="J180" i="3" s="1"/>
  <c r="M180" i="3" s="1"/>
  <c r="F181" i="3"/>
  <c r="J181" i="3" s="1"/>
  <c r="M181" i="3" s="1"/>
  <c r="F182" i="3"/>
  <c r="L182" i="3" s="1"/>
  <c r="M182" i="3" s="1"/>
  <c r="F99" i="3"/>
  <c r="J99" i="3" s="1"/>
  <c r="F100" i="3"/>
  <c r="L100" i="3" s="1"/>
  <c r="M102" i="3"/>
  <c r="F103" i="3"/>
  <c r="J103" i="3" s="1"/>
  <c r="F104" i="3"/>
  <c r="J104" i="3" s="1"/>
  <c r="M104" i="3" s="1"/>
  <c r="F105" i="3"/>
  <c r="J105" i="3" s="1"/>
  <c r="M105" i="3" s="1"/>
  <c r="F106" i="3"/>
  <c r="L106" i="3" s="1"/>
  <c r="H107" i="3"/>
  <c r="H108" i="3"/>
  <c r="H113" i="3" s="1"/>
  <c r="F109" i="3"/>
  <c r="J109" i="3" s="1"/>
  <c r="F110" i="3"/>
  <c r="J110" i="3"/>
  <c r="M110" i="3" s="1"/>
  <c r="F112" i="3"/>
  <c r="L112" i="3" s="1"/>
  <c r="M112" i="3" s="1"/>
  <c r="H136" i="3"/>
  <c r="M136" i="3" s="1"/>
  <c r="H137" i="3"/>
  <c r="F138" i="3"/>
  <c r="J138" i="3"/>
  <c r="M138" i="3" s="1"/>
  <c r="F139" i="3"/>
  <c r="J139" i="3" s="1"/>
  <c r="M139" i="3" s="1"/>
  <c r="F140" i="3"/>
  <c r="J140" i="3" s="1"/>
  <c r="F141" i="3"/>
  <c r="J141" i="3"/>
  <c r="M141" i="3" s="1"/>
  <c r="F142" i="3"/>
  <c r="J142" i="3" s="1"/>
  <c r="M142" i="3" s="1"/>
  <c r="J143" i="3"/>
  <c r="M144" i="3" s="1"/>
  <c r="J144" i="3"/>
  <c r="F145" i="3"/>
  <c r="J145" i="3"/>
  <c r="M145" i="3" s="1"/>
  <c r="F146" i="3"/>
  <c r="J146" i="3" s="1"/>
  <c r="M146" i="3" s="1"/>
  <c r="F147" i="3"/>
  <c r="L147" i="3" s="1"/>
  <c r="M147" i="3" s="1"/>
  <c r="H148" i="3"/>
  <c r="M148" i="3" s="1"/>
  <c r="H149" i="3"/>
  <c r="M149" i="3" s="1"/>
  <c r="F150" i="3"/>
  <c r="J150" i="3"/>
  <c r="M150" i="3"/>
  <c r="F151" i="3"/>
  <c r="J151" i="3" s="1"/>
  <c r="M151" i="3" s="1"/>
  <c r="F152" i="3"/>
  <c r="J152" i="3" s="1"/>
  <c r="M152" i="3" s="1"/>
  <c r="F153" i="3"/>
  <c r="J153" i="3" s="1"/>
  <c r="J154" i="3"/>
  <c r="F155" i="3"/>
  <c r="J155" i="3" s="1"/>
  <c r="M155" i="3" s="1"/>
  <c r="F156" i="3"/>
  <c r="L156" i="3" s="1"/>
  <c r="M156" i="3" s="1"/>
  <c r="H157" i="3"/>
  <c r="M157" i="3" s="1"/>
  <c r="F158" i="3"/>
  <c r="J158" i="3" s="1"/>
  <c r="M158" i="3" s="1"/>
  <c r="F159" i="3"/>
  <c r="J159" i="3"/>
  <c r="M159" i="3" s="1"/>
  <c r="F160" i="3"/>
  <c r="J160" i="3" s="1"/>
  <c r="J161" i="3"/>
  <c r="F162" i="3"/>
  <c r="J162" i="3" s="1"/>
  <c r="M162" i="3" s="1"/>
  <c r="F163" i="3"/>
  <c r="J163" i="3" s="1"/>
  <c r="M163" i="3" s="1"/>
  <c r="F164" i="3"/>
  <c r="L164" i="3" s="1"/>
  <c r="M164" i="3" s="1"/>
  <c r="H44" i="4"/>
  <c r="M44" i="4" s="1"/>
  <c r="J45" i="4"/>
  <c r="M45" i="4" s="1"/>
  <c r="J46" i="4"/>
  <c r="M46" i="4" s="1"/>
  <c r="J47" i="4"/>
  <c r="M47" i="4" s="1"/>
  <c r="J48" i="4"/>
  <c r="M48" i="4" s="1"/>
  <c r="J49" i="4"/>
  <c r="F50" i="4"/>
  <c r="J50" i="4" s="1"/>
  <c r="M50" i="4" s="1"/>
  <c r="F51" i="4"/>
  <c r="L51" i="4"/>
  <c r="H53" i="4"/>
  <c r="M53" i="4" s="1"/>
  <c r="J54" i="4"/>
  <c r="J55" i="4"/>
  <c r="M55" i="4" s="1"/>
  <c r="J56" i="4"/>
  <c r="M56" i="4" s="1"/>
  <c r="J57" i="4"/>
  <c r="M57" i="4" s="1"/>
  <c r="F58" i="4"/>
  <c r="J58" i="4" s="1"/>
  <c r="M58" i="4" s="1"/>
  <c r="F59" i="4"/>
  <c r="L59" i="4"/>
  <c r="L60" i="4" s="1"/>
  <c r="H43" i="2"/>
  <c r="L43" i="2"/>
  <c r="H44" i="2"/>
  <c r="L44" i="2"/>
  <c r="H45" i="2"/>
  <c r="L45" i="2"/>
  <c r="H46" i="2"/>
  <c r="J46" i="2"/>
  <c r="L46" i="2"/>
  <c r="H47" i="2"/>
  <c r="J47" i="2"/>
  <c r="L47" i="2"/>
  <c r="F177" i="3" l="1"/>
  <c r="L177" i="3" s="1"/>
  <c r="L61" i="9"/>
  <c r="L62" i="9" s="1"/>
  <c r="J61" i="9"/>
  <c r="H61" i="9"/>
  <c r="M51" i="9"/>
  <c r="M31" i="6"/>
  <c r="H60" i="4"/>
  <c r="H183" i="3"/>
  <c r="L183" i="3"/>
  <c r="M46" i="2"/>
  <c r="J48" i="2"/>
  <c r="M49" i="2" s="1"/>
  <c r="M47" i="2"/>
  <c r="M45" i="2"/>
  <c r="M44" i="2"/>
  <c r="M43" i="2"/>
  <c r="M53" i="5"/>
  <c r="M55" i="5"/>
  <c r="M57" i="5" s="1"/>
  <c r="M22" i="5"/>
  <c r="L36" i="6"/>
  <c r="L37" i="6" s="1"/>
  <c r="H48" i="2"/>
  <c r="J183" i="3"/>
  <c r="M184" i="3" s="1"/>
  <c r="M59" i="9"/>
  <c r="M52" i="9"/>
  <c r="J60" i="4"/>
  <c r="M61" i="4" s="1"/>
  <c r="M153" i="3"/>
  <c r="M154" i="3"/>
  <c r="J113" i="3"/>
  <c r="M109" i="3"/>
  <c r="M143" i="3"/>
  <c r="M108" i="3"/>
  <c r="J107" i="3"/>
  <c r="M177" i="3"/>
  <c r="M100" i="3"/>
  <c r="L101" i="3"/>
  <c r="L107" i="3"/>
  <c r="M106" i="3"/>
  <c r="M99" i="3"/>
  <c r="M103" i="3"/>
  <c r="L113" i="3"/>
  <c r="M160" i="3"/>
  <c r="M161" i="3"/>
  <c r="M140" i="3"/>
  <c r="M54" i="4"/>
  <c r="L48" i="2"/>
  <c r="J21" i="12"/>
  <c r="M21" i="12" s="1"/>
  <c r="J20" i="12"/>
  <c r="H20" i="12"/>
  <c r="J19" i="12"/>
  <c r="H19" i="12"/>
  <c r="J18" i="12"/>
  <c r="H18" i="12"/>
  <c r="J17" i="12"/>
  <c r="H17" i="12"/>
  <c r="J16" i="12"/>
  <c r="H16" i="12"/>
  <c r="J15" i="12"/>
  <c r="H15" i="12"/>
  <c r="J14" i="12"/>
  <c r="H14" i="12"/>
  <c r="J13" i="12"/>
  <c r="H13" i="12"/>
  <c r="H12" i="12"/>
  <c r="J11" i="12"/>
  <c r="H11" i="12"/>
  <c r="J10" i="12"/>
  <c r="H10" i="12"/>
  <c r="J16" i="11"/>
  <c r="J17" i="11"/>
  <c r="H19" i="11"/>
  <c r="H17" i="11"/>
  <c r="H16" i="11"/>
  <c r="F12" i="11"/>
  <c r="J22" i="11"/>
  <c r="M22" i="11" s="1"/>
  <c r="J21" i="11"/>
  <c r="H21" i="11"/>
  <c r="J20" i="11"/>
  <c r="H20" i="11"/>
  <c r="J19" i="11"/>
  <c r="J18" i="11"/>
  <c r="H18" i="11"/>
  <c r="J15" i="11"/>
  <c r="H15" i="11"/>
  <c r="J14" i="11"/>
  <c r="H14" i="11"/>
  <c r="J13" i="11"/>
  <c r="H13" i="11"/>
  <c r="J12" i="11"/>
  <c r="H12" i="11"/>
  <c r="J11" i="11"/>
  <c r="H11" i="11"/>
  <c r="J10" i="11"/>
  <c r="H10" i="11"/>
  <c r="M18" i="11" l="1"/>
  <c r="H23" i="12"/>
  <c r="M21" i="11"/>
  <c r="M20" i="11"/>
  <c r="M19" i="11"/>
  <c r="M17" i="11"/>
  <c r="M16" i="11"/>
  <c r="M15" i="11"/>
  <c r="M14" i="11"/>
  <c r="M13" i="11"/>
  <c r="M12" i="11"/>
  <c r="J24" i="11"/>
  <c r="M25" i="11" s="1"/>
  <c r="M11" i="11"/>
  <c r="M10" i="11"/>
  <c r="H24" i="11"/>
  <c r="M61" i="9"/>
  <c r="M30" i="15"/>
  <c r="M58" i="5"/>
  <c r="M59" i="5" s="1"/>
  <c r="M48" i="2"/>
  <c r="M50" i="2" s="1"/>
  <c r="M51" i="2" s="1"/>
  <c r="M52" i="2" s="1"/>
  <c r="M60" i="4"/>
  <c r="M113" i="3"/>
  <c r="M183" i="3"/>
  <c r="M185" i="3" s="1"/>
  <c r="M186" i="3" s="1"/>
  <c r="M187" i="3" s="1"/>
  <c r="M107" i="3"/>
  <c r="M14" i="12"/>
  <c r="M10" i="12"/>
  <c r="M19" i="12"/>
  <c r="M17" i="12"/>
  <c r="J12" i="12"/>
  <c r="J23" i="12" s="1"/>
  <c r="M20" i="12"/>
  <c r="M11" i="12"/>
  <c r="M13" i="12"/>
  <c r="M18" i="12"/>
  <c r="M15" i="12"/>
  <c r="M16" i="12"/>
  <c r="M24" i="11" l="1"/>
  <c r="M26" i="11" s="1"/>
  <c r="M31" i="15"/>
  <c r="M32" i="15" s="1"/>
  <c r="M60" i="5"/>
  <c r="M61" i="5" s="1"/>
  <c r="M62" i="4"/>
  <c r="M63" i="4" s="1"/>
  <c r="M64" i="4" s="1"/>
  <c r="M65" i="4" s="1"/>
  <c r="M66" i="4" s="1"/>
  <c r="M67" i="4" s="1"/>
  <c r="M68" i="4" s="1"/>
  <c r="M188" i="3"/>
  <c r="M189" i="3" s="1"/>
  <c r="M12" i="12"/>
  <c r="M23" i="12"/>
  <c r="M24" i="12"/>
  <c r="M53" i="2"/>
  <c r="M54" i="2" s="1"/>
  <c r="M25" i="12" l="1"/>
  <c r="M26" i="12" s="1"/>
  <c r="M27" i="12" s="1"/>
  <c r="M28" i="12" s="1"/>
  <c r="M29" i="12" s="1"/>
  <c r="M33" i="15"/>
  <c r="M34" i="15" s="1"/>
  <c r="M62" i="5"/>
  <c r="M63" i="5" s="1"/>
  <c r="M69" i="4"/>
  <c r="M70" i="4" s="1"/>
  <c r="M55" i="2"/>
  <c r="M56" i="2" s="1"/>
  <c r="M190" i="3"/>
  <c r="M191" i="3" s="1"/>
  <c r="K4" i="15" l="1"/>
  <c r="G24" i="1"/>
  <c r="H24" i="1" s="1"/>
  <c r="L37" i="4"/>
  <c r="F13" i="1"/>
  <c r="H13" i="1" s="1"/>
  <c r="M64" i="5"/>
  <c r="M65" i="5" s="1"/>
  <c r="M57" i="2"/>
  <c r="M58" i="2" s="1"/>
  <c r="F9" i="1" s="1"/>
  <c r="M192" i="3"/>
  <c r="M193" i="3" s="1"/>
  <c r="M30" i="12"/>
  <c r="M31" i="12" s="1"/>
  <c r="M32" i="12" s="1"/>
  <c r="M33" i="12" s="1"/>
  <c r="M27" i="11"/>
  <c r="M28" i="11" s="1"/>
  <c r="D21" i="1" l="1"/>
  <c r="H21" i="1" s="1"/>
  <c r="K4" i="12"/>
  <c r="M29" i="11"/>
  <c r="M30" i="11" s="1"/>
  <c r="M31" i="11" s="1"/>
  <c r="M32" i="11" s="1"/>
  <c r="M33" i="11" s="1"/>
  <c r="M34" i="11" s="1"/>
  <c r="L40" i="5"/>
  <c r="F15" i="1"/>
  <c r="H15" i="1" s="1"/>
  <c r="L129" i="3"/>
  <c r="F11" i="1"/>
  <c r="H11" i="1" s="1"/>
  <c r="H9" i="1"/>
  <c r="L36" i="2"/>
  <c r="J34" i="9"/>
  <c r="J35" i="9"/>
  <c r="J46" i="9"/>
  <c r="M46" i="9" s="1"/>
  <c r="H46" i="9"/>
  <c r="J44" i="9"/>
  <c r="M44" i="9" s="1"/>
  <c r="H44" i="9"/>
  <c r="J43" i="9"/>
  <c r="M43" i="9" s="1"/>
  <c r="H43" i="9"/>
  <c r="J42" i="9"/>
  <c r="M42" i="9" s="1"/>
  <c r="H42" i="9"/>
  <c r="J41" i="9"/>
  <c r="M41" i="9" s="1"/>
  <c r="H41" i="9"/>
  <c r="J40" i="9"/>
  <c r="M40" i="9" s="1"/>
  <c r="H40" i="9"/>
  <c r="J39" i="9"/>
  <c r="M39" i="9" s="1"/>
  <c r="H39" i="9"/>
  <c r="J36" i="9"/>
  <c r="H36" i="9"/>
  <c r="H35" i="9"/>
  <c r="H34" i="9"/>
  <c r="J33" i="9"/>
  <c r="H33" i="9"/>
  <c r="J29" i="9"/>
  <c r="H29" i="9"/>
  <c r="J28" i="9"/>
  <c r="H28" i="9"/>
  <c r="J27" i="9"/>
  <c r="H27" i="9"/>
  <c r="J26" i="9"/>
  <c r="H26" i="9"/>
  <c r="J25" i="9"/>
  <c r="H25" i="9"/>
  <c r="H20" i="9"/>
  <c r="J20" i="9"/>
  <c r="J19" i="9"/>
  <c r="M19" i="9" s="1"/>
  <c r="H19" i="9"/>
  <c r="J22" i="9"/>
  <c r="H22" i="9"/>
  <c r="J21" i="9"/>
  <c r="H21" i="9"/>
  <c r="J18" i="9"/>
  <c r="H18" i="9"/>
  <c r="J15" i="9"/>
  <c r="H15" i="9"/>
  <c r="J14" i="9"/>
  <c r="H14" i="9"/>
  <c r="J13" i="9"/>
  <c r="H13" i="9"/>
  <c r="J12" i="9"/>
  <c r="H12" i="9"/>
  <c r="J11" i="9"/>
  <c r="H11" i="9"/>
  <c r="J10" i="9"/>
  <c r="H64" i="8"/>
  <c r="F62" i="8"/>
  <c r="F26" i="8"/>
  <c r="J26" i="8" s="1"/>
  <c r="M26" i="8" s="1"/>
  <c r="F27" i="8"/>
  <c r="L27" i="8" s="1"/>
  <c r="M27" i="8" s="1"/>
  <c r="F63" i="8"/>
  <c r="L63" i="8" s="1"/>
  <c r="L64" i="8" s="1"/>
  <c r="J62" i="8"/>
  <c r="M62" i="8" s="1"/>
  <c r="J61" i="8"/>
  <c r="M61" i="8" s="1"/>
  <c r="J60" i="8"/>
  <c r="M60" i="8" s="1"/>
  <c r="J59" i="8"/>
  <c r="M59" i="8" s="1"/>
  <c r="J58" i="8"/>
  <c r="M58" i="8" s="1"/>
  <c r="J57" i="8"/>
  <c r="J52" i="8"/>
  <c r="M52" i="8" s="1"/>
  <c r="J51" i="8"/>
  <c r="J50" i="8"/>
  <c r="J49" i="8"/>
  <c r="M49" i="8" s="1"/>
  <c r="J48" i="8"/>
  <c r="J47" i="8"/>
  <c r="F46" i="8"/>
  <c r="F53" i="8" s="1"/>
  <c r="J53" i="8" s="1"/>
  <c r="M53" i="8" s="1"/>
  <c r="L44" i="8"/>
  <c r="L45" i="8" s="1"/>
  <c r="M43" i="8"/>
  <c r="J42" i="8"/>
  <c r="M42" i="8" s="1"/>
  <c r="J41" i="8"/>
  <c r="M41" i="8" s="1"/>
  <c r="J40" i="8"/>
  <c r="M40" i="8" s="1"/>
  <c r="J39" i="8"/>
  <c r="H39" i="8"/>
  <c r="J38" i="8"/>
  <c r="H38" i="8"/>
  <c r="J37" i="8"/>
  <c r="H37" i="8"/>
  <c r="H35" i="8"/>
  <c r="M35" i="8" s="1"/>
  <c r="J34" i="8"/>
  <c r="H34" i="8"/>
  <c r="H33" i="8"/>
  <c r="M33" i="8" s="1"/>
  <c r="J32" i="8"/>
  <c r="M32" i="8" s="1"/>
  <c r="J31" i="8"/>
  <c r="J30" i="8"/>
  <c r="H29" i="8"/>
  <c r="M29" i="8" s="1"/>
  <c r="J25" i="8"/>
  <c r="M25" i="8" s="1"/>
  <c r="H25" i="8"/>
  <c r="J24" i="8"/>
  <c r="M24" i="8" s="1"/>
  <c r="J23" i="8"/>
  <c r="M23" i="8" s="1"/>
  <c r="J22" i="8"/>
  <c r="H22" i="8"/>
  <c r="J21" i="8"/>
  <c r="H21" i="8"/>
  <c r="J20" i="8"/>
  <c r="M20" i="8" s="1"/>
  <c r="H20" i="8"/>
  <c r="J19" i="8"/>
  <c r="H19" i="8"/>
  <c r="J18" i="8"/>
  <c r="H18" i="8"/>
  <c r="J17" i="8"/>
  <c r="H17" i="8"/>
  <c r="J16" i="8"/>
  <c r="H16" i="8"/>
  <c r="J15" i="8"/>
  <c r="M15" i="8" s="1"/>
  <c r="H14" i="8"/>
  <c r="M14" i="8" s="1"/>
  <c r="J12" i="8"/>
  <c r="M12" i="8" s="1"/>
  <c r="F11" i="8"/>
  <c r="J11" i="8" s="1"/>
  <c r="H10" i="8"/>
  <c r="M10" i="8" s="1"/>
  <c r="F33" i="7"/>
  <c r="F32" i="7"/>
  <c r="F35" i="7"/>
  <c r="L35" i="7" s="1"/>
  <c r="M35" i="7" s="1"/>
  <c r="F34" i="7"/>
  <c r="J34" i="7" s="1"/>
  <c r="M34" i="7" s="1"/>
  <c r="J33" i="7"/>
  <c r="M33" i="7" s="1"/>
  <c r="J32" i="7"/>
  <c r="M32" i="7" s="1"/>
  <c r="H31" i="7"/>
  <c r="M31" i="7" s="1"/>
  <c r="F27" i="7"/>
  <c r="F26" i="7"/>
  <c r="F30" i="7"/>
  <c r="F29" i="7"/>
  <c r="J26" i="7"/>
  <c r="M26" i="7" s="1"/>
  <c r="F25" i="7"/>
  <c r="J25" i="7" s="1"/>
  <c r="M25" i="7" s="1"/>
  <c r="F24" i="7"/>
  <c r="J24" i="7" s="1"/>
  <c r="M24" i="7" s="1"/>
  <c r="H23" i="7"/>
  <c r="M23" i="7" s="1"/>
  <c r="J28" i="7"/>
  <c r="H22" i="7"/>
  <c r="M22" i="7" s="1"/>
  <c r="H21" i="7"/>
  <c r="M21" i="7" s="1"/>
  <c r="F19" i="7"/>
  <c r="L19" i="7" s="1"/>
  <c r="M19" i="7" s="1"/>
  <c r="F18" i="7"/>
  <c r="J18" i="7" s="1"/>
  <c r="M18" i="7" s="1"/>
  <c r="F16" i="7"/>
  <c r="J16" i="7" s="1"/>
  <c r="M16" i="7" s="1"/>
  <c r="F17" i="7"/>
  <c r="J17" i="7" s="1"/>
  <c r="M17" i="7" s="1"/>
  <c r="F15" i="7"/>
  <c r="J15" i="7" s="1"/>
  <c r="M15" i="7" s="1"/>
  <c r="H14" i="7"/>
  <c r="M14" i="7" s="1"/>
  <c r="M13" i="7"/>
  <c r="J13" i="6"/>
  <c r="J24" i="6" s="1"/>
  <c r="J37" i="6" s="1"/>
  <c r="M38" i="6" s="1"/>
  <c r="H13" i="6"/>
  <c r="H24" i="6" s="1"/>
  <c r="J15" i="5"/>
  <c r="J25" i="5" s="1"/>
  <c r="H14" i="5"/>
  <c r="F18" i="4"/>
  <c r="J18" i="4" s="1"/>
  <c r="M18" i="4" s="1"/>
  <c r="L17" i="4"/>
  <c r="M17" i="4" s="1"/>
  <c r="F16" i="4"/>
  <c r="L16" i="4" s="1"/>
  <c r="M16" i="4" s="1"/>
  <c r="F15" i="4"/>
  <c r="L15" i="4" s="1"/>
  <c r="J13" i="4"/>
  <c r="H13" i="4"/>
  <c r="H20" i="4" s="1"/>
  <c r="J98" i="3"/>
  <c r="F97" i="3"/>
  <c r="J97" i="3" s="1"/>
  <c r="M97" i="3" s="1"/>
  <c r="F96" i="3"/>
  <c r="J96" i="3" s="1"/>
  <c r="M96" i="3" s="1"/>
  <c r="F95" i="3"/>
  <c r="J95" i="3" s="1"/>
  <c r="H94" i="3"/>
  <c r="M94" i="3" s="1"/>
  <c r="H93" i="3"/>
  <c r="F91" i="3"/>
  <c r="L91" i="3" s="1"/>
  <c r="F90" i="3"/>
  <c r="F89" i="3"/>
  <c r="J89" i="3" s="1"/>
  <c r="M89" i="3" s="1"/>
  <c r="J88" i="3"/>
  <c r="F87" i="3"/>
  <c r="J87" i="3" s="1"/>
  <c r="F86" i="3"/>
  <c r="J86" i="3" s="1"/>
  <c r="M86" i="3" s="1"/>
  <c r="F85" i="3"/>
  <c r="J85" i="3" s="1"/>
  <c r="H84" i="3"/>
  <c r="H92" i="3" s="1"/>
  <c r="F82" i="3"/>
  <c r="L82" i="3" s="1"/>
  <c r="L83" i="3" s="1"/>
  <c r="F81" i="3"/>
  <c r="J81" i="3" s="1"/>
  <c r="M81" i="3" s="1"/>
  <c r="J80" i="3"/>
  <c r="F79" i="3"/>
  <c r="J79" i="3" s="1"/>
  <c r="F78" i="3"/>
  <c r="J78" i="3" s="1"/>
  <c r="M78" i="3" s="1"/>
  <c r="F77" i="3"/>
  <c r="J77" i="3" s="1"/>
  <c r="F76" i="3"/>
  <c r="J76" i="3" s="1"/>
  <c r="M76" i="3" s="1"/>
  <c r="H75" i="3"/>
  <c r="M75" i="3" s="1"/>
  <c r="H74" i="3"/>
  <c r="M74" i="3" s="1"/>
  <c r="F72" i="3"/>
  <c r="L72" i="3" s="1"/>
  <c r="M72" i="3" s="1"/>
  <c r="F71" i="3"/>
  <c r="J71" i="3" s="1"/>
  <c r="M71" i="3" s="1"/>
  <c r="F70" i="3"/>
  <c r="J70" i="3" s="1"/>
  <c r="M70" i="3" s="1"/>
  <c r="J69" i="3"/>
  <c r="J68" i="3"/>
  <c r="M68" i="3" s="1"/>
  <c r="F67" i="3"/>
  <c r="J67" i="3" s="1"/>
  <c r="M67" i="3" s="1"/>
  <c r="F66" i="3"/>
  <c r="J66" i="3" s="1"/>
  <c r="M66" i="3" s="1"/>
  <c r="F65" i="3"/>
  <c r="J65" i="3" s="1"/>
  <c r="M65" i="3" s="1"/>
  <c r="F64" i="3"/>
  <c r="J64" i="3" s="1"/>
  <c r="M64" i="3" s="1"/>
  <c r="F63" i="3"/>
  <c r="J63" i="3" s="1"/>
  <c r="M63" i="3" s="1"/>
  <c r="H62" i="3"/>
  <c r="H61" i="3"/>
  <c r="M61" i="3" s="1"/>
  <c r="F60" i="3"/>
  <c r="L60" i="3" s="1"/>
  <c r="M60" i="3" s="1"/>
  <c r="F59" i="3"/>
  <c r="J59" i="3" s="1"/>
  <c r="M59" i="3" s="1"/>
  <c r="F58" i="3"/>
  <c r="J58" i="3" s="1"/>
  <c r="M58" i="3" s="1"/>
  <c r="J57" i="3"/>
  <c r="J56" i="3"/>
  <c r="M57" i="3" s="1"/>
  <c r="F55" i="3"/>
  <c r="J55" i="3" s="1"/>
  <c r="M55" i="3" s="1"/>
  <c r="F54" i="3"/>
  <c r="J54" i="3" s="1"/>
  <c r="M54" i="3" s="1"/>
  <c r="F53" i="3"/>
  <c r="J53" i="3" s="1"/>
  <c r="M53" i="3" s="1"/>
  <c r="F52" i="3"/>
  <c r="J52" i="3" s="1"/>
  <c r="M52" i="3" s="1"/>
  <c r="F51" i="3"/>
  <c r="J51" i="3" s="1"/>
  <c r="M51" i="3" s="1"/>
  <c r="H50" i="3"/>
  <c r="H49" i="3"/>
  <c r="M49" i="3" s="1"/>
  <c r="F48" i="3"/>
  <c r="L48" i="3" s="1"/>
  <c r="M48" i="3" s="1"/>
  <c r="F47" i="3"/>
  <c r="J47" i="3" s="1"/>
  <c r="M47" i="3" s="1"/>
  <c r="F46" i="3"/>
  <c r="J46" i="3" s="1"/>
  <c r="M46" i="3" s="1"/>
  <c r="J45" i="3"/>
  <c r="J44" i="3"/>
  <c r="M45" i="3" s="1"/>
  <c r="F43" i="3"/>
  <c r="J43" i="3" s="1"/>
  <c r="M43" i="3" s="1"/>
  <c r="F42" i="3"/>
  <c r="J42" i="3" s="1"/>
  <c r="M42" i="3" s="1"/>
  <c r="F41" i="3"/>
  <c r="J41" i="3" s="1"/>
  <c r="M41" i="3" s="1"/>
  <c r="F40" i="3"/>
  <c r="J40" i="3" s="1"/>
  <c r="M40" i="3" s="1"/>
  <c r="F39" i="3"/>
  <c r="J39" i="3" s="1"/>
  <c r="M39" i="3" s="1"/>
  <c r="H38" i="3"/>
  <c r="H37" i="3"/>
  <c r="M37" i="3" s="1"/>
  <c r="F36" i="3"/>
  <c r="L36" i="3" s="1"/>
  <c r="M36" i="3" s="1"/>
  <c r="F35" i="3"/>
  <c r="J35" i="3" s="1"/>
  <c r="M35" i="3" s="1"/>
  <c r="F34" i="3"/>
  <c r="J34" i="3" s="1"/>
  <c r="M34" i="3" s="1"/>
  <c r="J33" i="3"/>
  <c r="J32" i="3"/>
  <c r="M33" i="3" s="1"/>
  <c r="F31" i="3"/>
  <c r="J31" i="3" s="1"/>
  <c r="M31" i="3" s="1"/>
  <c r="F30" i="3"/>
  <c r="J30" i="3" s="1"/>
  <c r="M30" i="3" s="1"/>
  <c r="F29" i="3"/>
  <c r="J29" i="3" s="1"/>
  <c r="M29" i="3" s="1"/>
  <c r="F28" i="3"/>
  <c r="J28" i="3" s="1"/>
  <c r="M28" i="3" s="1"/>
  <c r="F27" i="3"/>
  <c r="J27" i="3" s="1"/>
  <c r="M27" i="3" s="1"/>
  <c r="H26" i="3"/>
  <c r="H25" i="3"/>
  <c r="M25" i="3" s="1"/>
  <c r="F24" i="3"/>
  <c r="L24" i="3" s="1"/>
  <c r="M24" i="3" s="1"/>
  <c r="F23" i="3"/>
  <c r="J23" i="3" s="1"/>
  <c r="M23" i="3" s="1"/>
  <c r="F22" i="3"/>
  <c r="J22" i="3" s="1"/>
  <c r="M22" i="3" s="1"/>
  <c r="J21" i="3"/>
  <c r="J20" i="3"/>
  <c r="M20" i="3" s="1"/>
  <c r="F19" i="3"/>
  <c r="J19" i="3" s="1"/>
  <c r="M19" i="3" s="1"/>
  <c r="F18" i="3"/>
  <c r="J18" i="3" s="1"/>
  <c r="M18" i="3" s="1"/>
  <c r="F17" i="3"/>
  <c r="J17" i="3" s="1"/>
  <c r="M17" i="3" s="1"/>
  <c r="F16" i="3"/>
  <c r="J16" i="3" s="1"/>
  <c r="M16" i="3" s="1"/>
  <c r="F15" i="3"/>
  <c r="J15" i="3" s="1"/>
  <c r="H14" i="3"/>
  <c r="H13" i="3"/>
  <c r="L19" i="2"/>
  <c r="M19" i="2" s="1"/>
  <c r="L18" i="2"/>
  <c r="H18" i="2"/>
  <c r="L17" i="2"/>
  <c r="J17" i="2"/>
  <c r="H17" i="2"/>
  <c r="L16" i="2"/>
  <c r="H16" i="2"/>
  <c r="L15" i="2"/>
  <c r="H15" i="2"/>
  <c r="L14" i="2"/>
  <c r="H14" i="2"/>
  <c r="L13" i="2"/>
  <c r="H13" i="2"/>
  <c r="M15" i="2" l="1"/>
  <c r="M13" i="9"/>
  <c r="J90" i="3"/>
  <c r="M90" i="3" s="1"/>
  <c r="M18" i="2"/>
  <c r="K4" i="11"/>
  <c r="D20" i="1"/>
  <c r="H20" i="1" s="1"/>
  <c r="M35" i="9"/>
  <c r="M29" i="9"/>
  <c r="M25" i="9"/>
  <c r="M21" i="9"/>
  <c r="J64" i="8"/>
  <c r="M64" i="8" s="1"/>
  <c r="M48" i="8"/>
  <c r="M47" i="8"/>
  <c r="M38" i="8"/>
  <c r="M37" i="8"/>
  <c r="J45" i="8"/>
  <c r="M31" i="8"/>
  <c r="H45" i="8"/>
  <c r="M22" i="8"/>
  <c r="M19" i="8"/>
  <c r="M18" i="8"/>
  <c r="M17" i="8"/>
  <c r="H28" i="8"/>
  <c r="M24" i="6"/>
  <c r="H37" i="6"/>
  <c r="M37" i="6" s="1"/>
  <c r="M39" i="6" s="1"/>
  <c r="M40" i="6" s="1"/>
  <c r="M41" i="6" s="1"/>
  <c r="M42" i="6" s="1"/>
  <c r="M43" i="6" s="1"/>
  <c r="M44" i="6" s="1"/>
  <c r="M45" i="6" s="1"/>
  <c r="F23" i="1"/>
  <c r="M16" i="2"/>
  <c r="J20" i="2"/>
  <c r="M21" i="2" s="1"/>
  <c r="M17" i="2"/>
  <c r="M14" i="2"/>
  <c r="M14" i="5"/>
  <c r="H25" i="5"/>
  <c r="M25" i="5" s="1"/>
  <c r="M26" i="5"/>
  <c r="M13" i="2"/>
  <c r="M27" i="9"/>
  <c r="M12" i="9"/>
  <c r="M28" i="9"/>
  <c r="M36" i="9"/>
  <c r="M15" i="9"/>
  <c r="M22" i="9"/>
  <c r="M11" i="9"/>
  <c r="M34" i="9"/>
  <c r="M26" i="9"/>
  <c r="M14" i="9"/>
  <c r="J37" i="9"/>
  <c r="M37" i="9" s="1"/>
  <c r="M20" i="9"/>
  <c r="M33" i="9"/>
  <c r="M23" i="9"/>
  <c r="J30" i="9"/>
  <c r="M30" i="9" s="1"/>
  <c r="J31" i="9"/>
  <c r="M31" i="9" s="1"/>
  <c r="J47" i="9"/>
  <c r="M47" i="9" s="1"/>
  <c r="J16" i="9"/>
  <c r="M16" i="9" s="1"/>
  <c r="M18" i="9"/>
  <c r="J28" i="8"/>
  <c r="M50" i="8"/>
  <c r="H55" i="8"/>
  <c r="J55" i="8"/>
  <c r="F54" i="8"/>
  <c r="H20" i="2"/>
  <c r="M84" i="3"/>
  <c r="H101" i="3"/>
  <c r="J101" i="3"/>
  <c r="M98" i="3"/>
  <c r="H36" i="7"/>
  <c r="M32" i="3"/>
  <c r="J92" i="3"/>
  <c r="M80" i="3"/>
  <c r="M79" i="3"/>
  <c r="M88" i="3"/>
  <c r="M87" i="3"/>
  <c r="M21" i="3"/>
  <c r="M82" i="3"/>
  <c r="H83" i="3"/>
  <c r="M93" i="3"/>
  <c r="H73" i="3"/>
  <c r="H10" i="9"/>
  <c r="H49" i="9" s="1"/>
  <c r="H62" i="9" s="1"/>
  <c r="M34" i="8"/>
  <c r="M39" i="8"/>
  <c r="M44" i="8"/>
  <c r="M16" i="8"/>
  <c r="M51" i="8"/>
  <c r="M21" i="8"/>
  <c r="M11" i="8"/>
  <c r="M63" i="8"/>
  <c r="L28" i="8"/>
  <c r="M57" i="8"/>
  <c r="M30" i="8"/>
  <c r="L30" i="7"/>
  <c r="M30" i="7" s="1"/>
  <c r="J27" i="7"/>
  <c r="J29" i="7"/>
  <c r="M29" i="7" s="1"/>
  <c r="M13" i="6"/>
  <c r="L20" i="4"/>
  <c r="J20" i="4"/>
  <c r="M13" i="4"/>
  <c r="H15" i="4"/>
  <c r="M15" i="4" s="1"/>
  <c r="M15" i="5"/>
  <c r="L92" i="3"/>
  <c r="M91" i="3"/>
  <c r="M95" i="3"/>
  <c r="M15" i="3"/>
  <c r="J73" i="3"/>
  <c r="L73" i="3"/>
  <c r="J83" i="3"/>
  <c r="M77" i="3"/>
  <c r="M56" i="3"/>
  <c r="M13" i="3"/>
  <c r="M44" i="3"/>
  <c r="M69" i="3"/>
  <c r="M85" i="3"/>
  <c r="L20" i="2"/>
  <c r="J36" i="7" l="1"/>
  <c r="M37" i="7" s="1"/>
  <c r="M101" i="3"/>
  <c r="L54" i="8"/>
  <c r="L55" i="8" s="1"/>
  <c r="M45" i="8"/>
  <c r="M28" i="8"/>
  <c r="H65" i="8"/>
  <c r="M46" i="6"/>
  <c r="M47" i="6" s="1"/>
  <c r="L114" i="3"/>
  <c r="H114" i="3"/>
  <c r="M27" i="5"/>
  <c r="M28" i="5" s="1"/>
  <c r="M29" i="5" s="1"/>
  <c r="M10" i="9"/>
  <c r="J49" i="9"/>
  <c r="J62" i="9" s="1"/>
  <c r="M63" i="9" s="1"/>
  <c r="J65" i="8"/>
  <c r="M66" i="8" s="1"/>
  <c r="M20" i="4"/>
  <c r="M22" i="4" s="1"/>
  <c r="M23" i="4" s="1"/>
  <c r="M24" i="4" s="1"/>
  <c r="M20" i="2"/>
  <c r="M22" i="2" s="1"/>
  <c r="M23" i="2" s="1"/>
  <c r="M24" i="2" s="1"/>
  <c r="J114" i="3"/>
  <c r="M115" i="3" s="1"/>
  <c r="M92" i="3"/>
  <c r="L36" i="7"/>
  <c r="M36" i="7" s="1"/>
  <c r="M83" i="3"/>
  <c r="M27" i="7"/>
  <c r="M28" i="7"/>
  <c r="M73" i="3"/>
  <c r="M54" i="8" l="1"/>
  <c r="M62" i="9"/>
  <c r="M64" i="9" s="1"/>
  <c r="M65" i="9" s="1"/>
  <c r="M66" i="9" s="1"/>
  <c r="M67" i="9" s="1"/>
  <c r="M68" i="9" s="1"/>
  <c r="M69" i="9" s="1"/>
  <c r="M70" i="9" s="1"/>
  <c r="M71" i="9" s="1"/>
  <c r="M72" i="9" s="1"/>
  <c r="D16" i="1"/>
  <c r="H16" i="1" s="1"/>
  <c r="K6" i="6"/>
  <c r="M114" i="3"/>
  <c r="M116" i="3" s="1"/>
  <c r="M117" i="3" s="1"/>
  <c r="M118" i="3" s="1"/>
  <c r="M119" i="3" s="1"/>
  <c r="M120" i="3" s="1"/>
  <c r="M121" i="3" s="1"/>
  <c r="M122" i="3" s="1"/>
  <c r="M123" i="3" s="1"/>
  <c r="M124" i="3" s="1"/>
  <c r="L6" i="3" s="1"/>
  <c r="M30" i="5"/>
  <c r="M31" i="5" s="1"/>
  <c r="M32" i="5" s="1"/>
  <c r="M33" i="5" s="1"/>
  <c r="M34" i="5" s="1"/>
  <c r="M35" i="5" s="1"/>
  <c r="M49" i="9"/>
  <c r="M55" i="8"/>
  <c r="L65" i="8"/>
  <c r="M65" i="8" s="1"/>
  <c r="M67" i="8" s="1"/>
  <c r="M38" i="7"/>
  <c r="M39" i="7" s="1"/>
  <c r="M40" i="7" s="1"/>
  <c r="M25" i="4"/>
  <c r="M26" i="4" s="1"/>
  <c r="M25" i="2"/>
  <c r="M26" i="2" s="1"/>
  <c r="E14" i="1" l="1"/>
  <c r="L7" i="5"/>
  <c r="K4" i="9"/>
  <c r="D19" i="1"/>
  <c r="H19" i="1" s="1"/>
  <c r="D10" i="1"/>
  <c r="H10" i="1" s="1"/>
  <c r="L7" i="4"/>
  <c r="M27" i="4"/>
  <c r="M28" i="4" s="1"/>
  <c r="M29" i="4" s="1"/>
  <c r="M30" i="4" s="1"/>
  <c r="E12" i="1" s="1"/>
  <c r="M27" i="2"/>
  <c r="M28" i="2" s="1"/>
  <c r="M41" i="7"/>
  <c r="M42" i="7" s="1"/>
  <c r="M68" i="8"/>
  <c r="M69" i="8" s="1"/>
  <c r="H12" i="1" l="1"/>
  <c r="E23" i="1"/>
  <c r="H14" i="1"/>
  <c r="M29" i="2"/>
  <c r="M30" i="2" s="1"/>
  <c r="D8" i="1" s="1"/>
  <c r="M43" i="7"/>
  <c r="M44" i="7" s="1"/>
  <c r="M70" i="8"/>
  <c r="M71" i="8" s="1"/>
  <c r="H8" i="1" l="1"/>
  <c r="M72" i="8"/>
  <c r="M73" i="8" s="1"/>
  <c r="M74" i="8" s="1"/>
  <c r="M75" i="8" s="1"/>
  <c r="L6" i="2"/>
  <c r="M45" i="7"/>
  <c r="M46" i="7" s="1"/>
  <c r="K4" i="8" l="1"/>
  <c r="D18" i="1"/>
  <c r="H18" i="1" s="1"/>
  <c r="L7" i="7"/>
  <c r="D17" i="1"/>
  <c r="H17" i="1" l="1"/>
  <c r="D23" i="1"/>
  <c r="H23" i="1" s="1"/>
  <c r="H25" i="1" l="1"/>
  <c r="F3" i="1"/>
</calcChain>
</file>

<file path=xl/sharedStrings.xml><?xml version="1.0" encoding="utf-8"?>
<sst xmlns="http://schemas.openxmlformats.org/spreadsheetml/2006/main" count="1346" uniqueCount="338">
  <si>
    <t>ობიექტის დასახელება: მცხეთის მუნიციპალიტეტი, სოფელ მისაქციელი, შპს „ალფა პეტი“, ს/კ 72.03.31.454; სასაწყობე შენობა. სამშენებლო ფართობი 2 500კვ.მ</t>
  </si>
  <si>
    <t>კრებსითი ხარჯთაღრიცხვა</t>
  </si>
  <si>
    <t>სახარჯთაღრიხცვო ღირებულება (ლარი):</t>
  </si>
  <si>
    <t>№</t>
  </si>
  <si>
    <t>ხარჯების და გაანგარიშების №</t>
  </si>
  <si>
    <t>სამუშაოებისა და ხარჯების დასახელება</t>
  </si>
  <si>
    <t xml:space="preserve"> ღირებულება (ლარი)</t>
  </si>
  <si>
    <t>სულ სახარჯთაღრიცხვო ღირებულება (ლარი)</t>
  </si>
  <si>
    <t>სამშენებლო-სარემონტო სამუშაოები</t>
  </si>
  <si>
    <t>სამონტაჟო სამუშაოები</t>
  </si>
  <si>
    <t>სხვა ხარჯები</t>
  </si>
  <si>
    <t>ლოკალური ხარჯთაღრიცხვა № 1</t>
  </si>
  <si>
    <t>მიწის სამუშაოები</t>
  </si>
  <si>
    <t>ლოკალური ხარჯთაღრიცხვა № 2</t>
  </si>
  <si>
    <t>ლოკალური ხარჯთაღრიცხვა № 3</t>
  </si>
  <si>
    <t xml:space="preserve">ლითონის კარკასის მონტაჟი, კონსტრუქციული ელემენტები </t>
  </si>
  <si>
    <t>ლოკალური ხარჯთაღრიცხვა № 4</t>
  </si>
  <si>
    <t>ლოკალური ხარჯთაღრიცხვა № 5</t>
  </si>
  <si>
    <t>ლოკალური ხარჯთაღრიცხვა № 6</t>
  </si>
  <si>
    <t>ლოკალური ხარჯთაღრიცხვა № 7</t>
  </si>
  <si>
    <t>ლოკალური ხარჯთაღრიცხვა № 8</t>
  </si>
  <si>
    <t>ლოკალური ხარჯთაღრიცხვა № 9</t>
  </si>
  <si>
    <t>ლოკალური ხარჯთაღრიცხვა № 10</t>
  </si>
  <si>
    <t>ჯამი:</t>
  </si>
  <si>
    <t>გაუთვალისწინებელი ხარჯი 3%</t>
  </si>
  <si>
    <t>დამატებითი ღირებულების გადასახადი 18%</t>
  </si>
  <si>
    <t>სულ ჯამი:</t>
  </si>
  <si>
    <t xml:space="preserve">ლოკალური ხარჯთაღრიცხვა № 1 </t>
  </si>
  <si>
    <t>მიწის სამუშაოები, საწყობი</t>
  </si>
  <si>
    <t>ლარი</t>
  </si>
  <si>
    <t>შედგენილია 2025 წლის III  კვარტლის საბაზრო ფასებში</t>
  </si>
  <si>
    <t>საფუძველი</t>
  </si>
  <si>
    <t xml:space="preserve">კონსტრუქციის ელემენტის დასახელება </t>
  </si>
  <si>
    <t>განზ. ერთ.</t>
  </si>
  <si>
    <t>ნორმატ. ხარჯი ერთ-ზე</t>
  </si>
  <si>
    <t>რაოდ.</t>
  </si>
  <si>
    <t>ხელფასი</t>
  </si>
  <si>
    <t>მასალა</t>
  </si>
  <si>
    <t>სამშ. მექანიზ.</t>
  </si>
  <si>
    <t>სულ ჯამი</t>
  </si>
  <si>
    <t>ერთ ღირ.</t>
  </si>
  <si>
    <t>ჯამი</t>
  </si>
  <si>
    <t>მიწის სამუშაოები საწყობი</t>
  </si>
  <si>
    <t>პრ.</t>
  </si>
  <si>
    <t>ტერიტორიის მოსწორება, ბალახოვანი ფენა (3500კვ.მ*0.5სმ)</t>
  </si>
  <si>
    <t>კუბ.მ</t>
  </si>
  <si>
    <t>მიწის ქვაბულების ამოღება წერტილოვანი საძირკვლებისათვის (41 ც*14) კუბ.მ)</t>
  </si>
  <si>
    <t>მიწის თხრილის გაჭრა შემკვრელი კოჭებისათვის (250*0.5*0,6 კუბ.მ)</t>
  </si>
  <si>
    <t xml:space="preserve">მიწის უკუჩაყრა </t>
  </si>
  <si>
    <t>მდინარის ბალასტი, ჩატკეპნა</t>
  </si>
  <si>
    <t>ღორღის ფენა (10 სმ)</t>
  </si>
  <si>
    <t>ნაგვის დატვირთვა თვითმცლელებზე</t>
  </si>
  <si>
    <t>სატრანსპორტო ხარჯი მასალიდან 5%</t>
  </si>
  <si>
    <t>ზედნადები ხარჯი 10%</t>
  </si>
  <si>
    <t>გეგმიური მოგება 8%</t>
  </si>
  <si>
    <t>ლოკალური ხარჯთაღრიცხვა № 1 /1</t>
  </si>
  <si>
    <t>მიწის სამუშაოები დამხმარე</t>
  </si>
  <si>
    <t>მიწის ქვაბულების ამოღება წერტილოვანი საძირკვლებისათვის (4 ც*14) კუბ.მ)</t>
  </si>
  <si>
    <t>ობიექტის დასახელება: მცხეთის მუნიციპალიტეტი, სოფელ მისაქციელი, შპს „ალფა პეტი“, ს/კ 72.03.31.454; სასაწყობე შენობა. სამშენებლო ფართობი 2 753კვ.მ</t>
  </si>
  <si>
    <t xml:space="preserve">ობიექტის დასახელება: მცხეთის მუნიციპალიტეტი, სოფელ მისაქციელი, შპს „ალფა პეტი“, ს/კ 72.03.31.454; სასაწყობე შენობა. სამშენებლო ფართობი 2 753კვ.მ </t>
  </si>
  <si>
    <t>რკ/ბ მონოლითური სამუშაოები, წერტილოვანი საძირკვვლები, მონოლითური კარკასი, გადახურვის ფილები</t>
  </si>
  <si>
    <t>რ/ბ მონოლითური ელემენტები</t>
  </si>
  <si>
    <t>წერტილოვანი საძრკველი 1 (წ.ს.-1), n=17</t>
  </si>
  <si>
    <t>ბეტონიის მომზადება (10სმ)</t>
  </si>
  <si>
    <t>ბეტონი В-7.5</t>
  </si>
  <si>
    <t>არმატურა A500C d=18</t>
  </si>
  <si>
    <t>ტ</t>
  </si>
  <si>
    <t>არმატურა A500C d=12</t>
  </si>
  <si>
    <t>არმატურა A240C d=8</t>
  </si>
  <si>
    <t>ბეტონი В-25</t>
  </si>
  <si>
    <t>ანკერები (ჩასაყოლებელი დეტალი (დ=20 ლ=650)</t>
  </si>
  <si>
    <t>ცალი</t>
  </si>
  <si>
    <t>საყალიბე ფარი</t>
  </si>
  <si>
    <t>კვ.მ</t>
  </si>
  <si>
    <t>ხის მასალა</t>
  </si>
  <si>
    <t>სხვა მასალა</t>
  </si>
  <si>
    <t>მანქანები</t>
  </si>
  <si>
    <t>წერტილოვანი საძრკველი 2 (წ.ს.-1), n=9</t>
  </si>
  <si>
    <t>წერტილოვანი საძრკველი 3 (წ.ს.-3), n=4</t>
  </si>
  <si>
    <t>წერტილოვანი საძრკველი 4 (წ.ს.-4), n=2</t>
  </si>
  <si>
    <t>წერტილოვანი საძრკველი 5(წ.ს.-5), n=9</t>
  </si>
  <si>
    <t>წერტილივანი საძირკვლები ჯამი:</t>
  </si>
  <si>
    <t>მონოლითური შემკვრელი კოჭები</t>
  </si>
  <si>
    <t>რ/ბ ცოკოლის კედლები (რ/ბკ.1)</t>
  </si>
  <si>
    <t xml:space="preserve"> ჯამი:</t>
  </si>
  <si>
    <t>იატაკის მოხვეწა, დაჭრა</t>
  </si>
  <si>
    <t>გამამკვრივებელი ფხვნილი</t>
  </si>
  <si>
    <t>კგ</t>
  </si>
  <si>
    <t>სილიკონი</t>
  </si>
  <si>
    <t>ქილა</t>
  </si>
  <si>
    <t>წერტილოვანი საძრკველი 1 (წ.ს.-1), n=10</t>
  </si>
  <si>
    <t>რ/ბ იატაკის  ფილა ±0.00  ნიშნულზე 62 კვ.მ</t>
  </si>
  <si>
    <t>ობიექტის დასახელება: მცხეთის მუნიციპალიტეტი, სოფელ მისაქციელი, შპს „ალფა პეტი“, ს/კ 72.03.31.454; სასაწყობე შენობა. სამშენებლო ფართობი 2 753 კვ.მ</t>
  </si>
  <si>
    <t>ლითონის კონსტრუქციული ელემენტები დუბაი</t>
  </si>
  <si>
    <t>ფოლადის სვეტი 1 (ფ.ს.-1), n=17; დამზადება/მონტაჟი</t>
  </si>
  <si>
    <t>გრძ.მ</t>
  </si>
  <si>
    <t>კონსტრუქციების დაცლა</t>
  </si>
  <si>
    <t>მონტაჟი მანქანები ამწე</t>
  </si>
  <si>
    <t>კალათა</t>
  </si>
  <si>
    <t>1. ჯამი:</t>
  </si>
  <si>
    <t xml:space="preserve">სატრანსპორტო ხარჯი დუბაიდან ადგილზე </t>
  </si>
  <si>
    <t>ზედნადები ხარჯი 5%</t>
  </si>
  <si>
    <t>გეგმიური მოგება 5%</t>
  </si>
  <si>
    <t>ლოკალური ხარჯთაღრიცხვა № 3/1</t>
  </si>
  <si>
    <t>ლითონის კარკასი</t>
  </si>
  <si>
    <t>მილკვადრატის კონსტრუქციის  დამზადება/მონტაჟი</t>
  </si>
  <si>
    <t>მილკვადრატი 100*100*4</t>
  </si>
  <si>
    <t>მილკვადრატი 100*50*4</t>
  </si>
  <si>
    <t>მილკვადრატი 60*60*3</t>
  </si>
  <si>
    <t>მილკვადრატი 60*40*3</t>
  </si>
  <si>
    <t>ფურცლოვანი ლითონი 150*150*10</t>
  </si>
  <si>
    <t xml:space="preserve">სატრანსპორტო ხარჯი მასალიდან 5% </t>
  </si>
  <si>
    <t xml:space="preserve">სენდვიჩპანელის კედლების, ტიხრების და სახურავის მონტაჟი </t>
  </si>
  <si>
    <t>სენდვიჩპანელების მონტაჟი</t>
  </si>
  <si>
    <t>სენდვიჩპანელი 5 სმ</t>
  </si>
  <si>
    <t>დღე</t>
  </si>
  <si>
    <t>ამწე</t>
  </si>
  <si>
    <t>სენდვიჩპანელის სახურავის (გადახურ.) მონტაჟი</t>
  </si>
  <si>
    <t>დამხმარე აქსესუარები (კეხი,წყალშემკრ. ჟოლობი, კუთხის პროფილი, საგები...)</t>
  </si>
  <si>
    <t>1.+2. ჯამი:</t>
  </si>
  <si>
    <t>ლოკალური ხარჯთაღრიცხვა № 4/1</t>
  </si>
  <si>
    <t>კიბის და ბაქანის მოწყობა</t>
  </si>
  <si>
    <t>მილკვადრატი 40*20*3</t>
  </si>
  <si>
    <t>გოფრირებული ფურცლოვანი ლითონი სისქე 6 მმ</t>
  </si>
  <si>
    <t>კარ-ფანჯრების მონტაჟი</t>
  </si>
  <si>
    <t xml:space="preserve">ფითხი </t>
  </si>
  <si>
    <t>გრუნტი</t>
  </si>
  <si>
    <t>ცეცხლმედეგი საღბავი</t>
  </si>
  <si>
    <t>2. ჯამი:</t>
  </si>
  <si>
    <t xml:space="preserve"> სარემონტო სამუშაოები, კარ-ფანჯრები</t>
  </si>
  <si>
    <t>მონილითური სამუშაოები</t>
  </si>
  <si>
    <t>ბეტონიის მომზადება 240 კვ.მ (10სმ)</t>
  </si>
  <si>
    <t>რ/ბ მონოლითური პანდუსი 14*2.4</t>
  </si>
  <si>
    <t>რ/ბ მონოლითური  ფილა 33.6 კვ.მ*0.15მ</t>
  </si>
  <si>
    <t>ცოკოლის კედლები 8 კვ.მ*0.25 მ</t>
  </si>
  <si>
    <t>ბეტონიის მომზადება 22 კვ.მ (10სმ)</t>
  </si>
  <si>
    <t>რ/ბ მონოლითური  ფილა -0,80 ნიშნულზე 220 კვ.მ; სარინელი 82 კვ.მ</t>
  </si>
  <si>
    <t>1.+2.+3. ჯამი:</t>
  </si>
  <si>
    <t>გარე წყალსადენ კანალიზაციის ქსელი</t>
  </si>
  <si>
    <t>პრ</t>
  </si>
  <si>
    <t>წყალსადენის ჭის მოწყობა</t>
  </si>
  <si>
    <t>კომპ.</t>
  </si>
  <si>
    <t>ჭის კონსტრუქცია (პლასტმასი)</t>
  </si>
  <si>
    <t>ვენტილი დ.40</t>
  </si>
  <si>
    <t>შიდა წყალსადენი, ცხელი წყალი</t>
  </si>
  <si>
    <t>წყალგაყვანილობა, მონტაჟი</t>
  </si>
  <si>
    <t>წერტ.</t>
  </si>
  <si>
    <t>მექანიკური ფილტრი დ.40</t>
  </si>
  <si>
    <t>პასტ. მილი დ 40 (PPR/SDR7,4/PN16)</t>
  </si>
  <si>
    <t>პასტ. მილი დ 32 (PPR/SDR7,4/PN16)</t>
  </si>
  <si>
    <t>პასტ. მილი დ 25 (PPR/SDR7,4/PN16)</t>
  </si>
  <si>
    <t>პასტ. მილი დ 20 (PPR/SDR7,4/PN16)</t>
  </si>
  <si>
    <t>მინაბოჭკოვანი დ. 32 (PPR/SDR7,4/PN16)</t>
  </si>
  <si>
    <t>მინაბოჭკოვანი დ. 25 (PPR/SDR7,4/PN16)</t>
  </si>
  <si>
    <t>მინაბოჭკოვანი დ. 20 (PPR/SDR7,4/PN16)</t>
  </si>
  <si>
    <t>ფიტინგები, ფასონური დეტალები</t>
  </si>
  <si>
    <t>ელგამაცხელებელი</t>
  </si>
  <si>
    <t>გამწოვი</t>
  </si>
  <si>
    <t>საკანალიზაციო ჭის მოწყობა</t>
  </si>
  <si>
    <t>ჭის რგოლი</t>
  </si>
  <si>
    <t>ჭის ხუფი</t>
  </si>
  <si>
    <t>ჭის ძირი</t>
  </si>
  <si>
    <t>მიწის თხრილის გაჭრა</t>
  </si>
  <si>
    <t>ქვიშა/ლამი</t>
  </si>
  <si>
    <t>უკუჩაყრა</t>
  </si>
  <si>
    <t>კანალიზ. შიდა</t>
  </si>
  <si>
    <t>sn8 გოფრირებული მილი დ 160</t>
  </si>
  <si>
    <t>PVC მილი დ 110</t>
  </si>
  <si>
    <t>PVC მილი დ 50</t>
  </si>
  <si>
    <t>სამაგრი</t>
  </si>
  <si>
    <t>ტრაპი</t>
  </si>
  <si>
    <t>ფიტინგები</t>
  </si>
  <si>
    <t>აღჭურვილობის მონტაჟი</t>
  </si>
  <si>
    <t>შემრევი შხაპი</t>
  </si>
  <si>
    <t>ხელსაბანი ნიჟარა</t>
  </si>
  <si>
    <t>ხელსაბა. შემრევი</t>
  </si>
  <si>
    <t>უნიტაზი</t>
  </si>
  <si>
    <t>სამზარეულო ნიჟარა</t>
  </si>
  <si>
    <t>სამზ. შემრევი</t>
  </si>
  <si>
    <t>გოფრირებული მილი 200</t>
  </si>
  <si>
    <t>ტრაპი 200 (თუჯი)</t>
  </si>
  <si>
    <t xml:space="preserve">მუხლი </t>
  </si>
  <si>
    <t>სამკაპი</t>
  </si>
  <si>
    <t>გადამყ. ფიტინგ.</t>
  </si>
  <si>
    <t>სანიაღვრე წყალარინება შიდა წყალარინების დაერთებით</t>
  </si>
  <si>
    <t>5.ჯამი:</t>
  </si>
  <si>
    <t>ელმომარაგება</t>
  </si>
  <si>
    <t>ელმომარაგების ქსელი</t>
  </si>
  <si>
    <t>ავტომატური ელ.ამომრთველი/Circuit Breaker MCB 3p 63a C 10кА</t>
  </si>
  <si>
    <t>ავტომატური ელ.ამომრთველი/Circuit Breaker MCB 3p 20a C 6кА</t>
  </si>
  <si>
    <t>ავტომატური ელ.ამომრთველი/Circuit Breaker rcbo 2p 16a c 6кА</t>
  </si>
  <si>
    <t>ავტომატური ელ.ამომრთველი/Circuit Breaker MCB 3p 16a C 6кА</t>
  </si>
  <si>
    <t>სამფაზა ელექტრომაგნიტური გამშვები/three phase magnetic contactor 20a, 220V კოჭით-coil</t>
  </si>
  <si>
    <t>სამონტაჟოი მასალა+დამხამრე მასალა</t>
  </si>
  <si>
    <t>MDB-მთავარი გამანაწილებელი (გამანაწილებელი ფარი, დაცვის კლასი Ip43) S/M 60 ავტომატის ყუთი რკინის</t>
  </si>
  <si>
    <t>სამონტაჟოი მასალა+დამხამრე მასალა 30% მასალიდან</t>
  </si>
  <si>
    <t>დაბალი ძაბვის მრავალძარღვა სპილენძის უჰალოგენო, ცეცხლმედეგი კაბელი/Low voltage stranded copper cable with halogen-free insulation and sheath N2XH CU 5X10mm² მ/M 100 სიგრძე დაზუსტდეს ადგილზე</t>
  </si>
  <si>
    <t xml:space="preserve">დაბალი ძაბვის მრავალძარღვა სპილენძის უჰალოგენო, ცეცხლმედეგი კაბელი/Low voltage stranded copper cable with halogen-free insulation and sheath N2XH CU 5X4mm² </t>
  </si>
  <si>
    <t xml:space="preserve">დაბალი ძაბვის მრავალძარღვა სპილენძის უჰალოგენო, ცეცხლმედეგი კაბელი/Low voltage stranded copper cable with halogen-free insulation and sheath N2XH CU 5X2,5mm² </t>
  </si>
  <si>
    <t xml:space="preserve">დაბალი ძაბვის მრავალძარღვა სპილენძის უჰალოგენო, ცეცხლმედეგი კაბელი/Low voltage stranded copper cable with halogen-free insulation and sheath N2XH CU 3X2.5mm² </t>
  </si>
  <si>
    <t xml:space="preserve">დაბალი ძაბვის მრავალძარღვა სპილენძის უჰალოგენო, ცეცხლმედეგი კაბელი/Low voltage stranded copper cable with halogen-free insulation and sheath N2XH CU 3X1.5mm² </t>
  </si>
  <si>
    <t xml:space="preserve"> გოფრირებული მილები </t>
  </si>
  <si>
    <t>ყველა კაბელის დამხმარე + სამონტაჟო მასალა % 5</t>
  </si>
  <si>
    <t>DB.1- გამანაწილებელი ფარი (დაცვის კლასი Ip43)</t>
  </si>
  <si>
    <t>ავტომატური ელ.ამომრთველი/Circuit Breaker MCB 3p 20a c 6кА ც/pcs 1</t>
  </si>
  <si>
    <t>ავტომატური ელ.ამომრთველი/Circuit Breaker rcbo 2p 16a c 6кА ც/pcs 6</t>
  </si>
  <si>
    <t>ავტომატური ელ.ამომრთველი/Circuit Breaker rcbo 2p 10a B 6кА ც/pcs 1</t>
  </si>
  <si>
    <t xml:space="preserve"> ავტომატური ელ.ამომრთველი/Circuit Breaker MCB 1p 10a C 6кА ც/pcs 4</t>
  </si>
  <si>
    <t xml:space="preserve">ერთბუდიანი როზეტი დახურული მონტაჟის/Double socket for concealed installation under plaster 220V,16A,50Hz,IP56 </t>
  </si>
  <si>
    <t xml:space="preserve">ორბუდიანი როზეტი დახურული მონტაჟის/Double socket for concealed installation under plaster 220V,16A,50Hz,IP56 </t>
  </si>
  <si>
    <t xml:space="preserve">ორბუდიანი როზეტი დახურული მონტაჟის ხუფით/Double socket for concealed installation under plaster with headboard 220V,16A,50Hz,IP56 </t>
  </si>
  <si>
    <t xml:space="preserve">ოთხბუდიანი როზეტების ყუთი დახურული მონტაჟის/Quadruple socket floor box under plaster 220V,16A,50Hz,IP56 </t>
  </si>
  <si>
    <t>დამხმარე მასალა და გაუთვალისწინებელი ხარჯი/Consumables and additional costs % 15</t>
  </si>
  <si>
    <t>წერტილოვანი LED პროჟექტორი 150w,4000k,130lm/w,220v,50hz,5%-ზე ნაკლები პულსაცია,IP56</t>
  </si>
  <si>
    <t xml:space="preserve">არმსტრონგის LED სანათი 54w,4000k,130lm/w,220v,50hz,5%-ზე ნაკლები პულსაცია,IP56 </t>
  </si>
  <si>
    <t xml:space="preserve">არმსტრონგის LED სანათი (აკუმ) 54w,4000k,130lm/w,220v,50hz,5%-ზე ნაკლები პულსაცია,IP56 </t>
  </si>
  <si>
    <t xml:space="preserve">კედლის ბრა LED სანათი (აკუმ) 24w,4000k,100lm/w,220v,50hz,5%-ზე ნაკლები პულსაცია,IP56 </t>
  </si>
  <si>
    <t xml:space="preserve">წერტილოვანი LED სანათი 12w,4000k,100lm/w,220v,50hz,5%-ზე ნაკლები პულსაცია,IP56 </t>
  </si>
  <si>
    <t>წერტილოვანი LED სანათი (აკუმ) 12w,4000k,100lm/w,220v,50hz,5%-ზე ნაკლები პულსაცია,IP56</t>
  </si>
  <si>
    <t>ერთღილაკიანი ჩამრთველი დახურული მონტაჟის/Single-gang switch under plaster 220V,10A,50Hz,IP20 ც/pcs 8</t>
  </si>
  <si>
    <t>შედგენილია 2025  წლის IV  კვარტლის საბაზრო ფასებში</t>
  </si>
  <si>
    <t>სახანძრო ქსელი</t>
  </si>
  <si>
    <t>გასასვლელის მანიშნებელი</t>
  </si>
  <si>
    <t>საევაკუაციო განათება (LED 6W)</t>
  </si>
  <si>
    <t xml:space="preserve"> აკუმლატორი 17ა/12ვ 24 სთ-იანი მარაგით</t>
  </si>
  <si>
    <t>I/O Module</t>
  </si>
  <si>
    <t>დამხმარე სამონტაჟო მასალები</t>
  </si>
  <si>
    <t>მისამართული სახანძრო საკონტროლო პანელი 2 წრედიანი. 250 დივაისი 1 წრედზე; MA-2000-02</t>
  </si>
  <si>
    <t>მისამართული სხივური კვამლის დეტექტორი (ამრეკლით); MI-LPB2-S3I+6500-LRK</t>
  </si>
  <si>
    <t>მისამართული კვამლის დეტექტორი; HM/PSE/I</t>
  </si>
  <si>
    <t>დეტექტორის სამონტაჟო ბაზა; MI/B501AP/IV</t>
  </si>
  <si>
    <t>მისამართული სირენა სტრობ-ნათურით, ესაჭიროება ბაზა; WSS-PR-I05</t>
  </si>
  <si>
    <t>მისამართული საგანგაშო ღილაკი, ინტეგრირებული იზოლატორით; M5A-RP06FF-K013-41+PS031W</t>
  </si>
  <si>
    <t xml:space="preserve">სახანძრო სიგნალიზაციის ცეცხლგამძლე კაბელი 2x0.8; 2x2x0.8 mm² J-E(St)H FE-180 PH120 </t>
  </si>
  <si>
    <t>დენის კაბელი 3x1.5; N2XH 3*1.5</t>
  </si>
  <si>
    <t>.ჯამი:</t>
  </si>
  <si>
    <t>ვიდეოკონტროლი</t>
  </si>
  <si>
    <t>ვიდეოკონტროლის ქსელი</t>
  </si>
  <si>
    <t>რეკი 9U (600X450) გაგრილებით; WS3-6409</t>
  </si>
  <si>
    <t>POE Switch 8 port; POE DS-3E0310P-E/M</t>
  </si>
  <si>
    <t>ქსელური გარე კამერები 2მპ; DS-2CD1023G0E-I(C),4mm,2mp,Bullet</t>
  </si>
  <si>
    <t>ქსელური ჩამწერი (NVR) 8 პორტიანი მინ მყარი დისკების დაერთების საშუალებით; DS-7608NI-Q2(C), 2sata,8ch</t>
  </si>
  <si>
    <t xml:space="preserve">მყარი დისკი 10 ტბ; HDD, 8TB, DS80HKAI-VX1  </t>
  </si>
  <si>
    <t>PDU (ელ.კვების გამანაწილებელი ბლოკი); PDU-8</t>
  </si>
  <si>
    <t>ონლაინ უწყვეტი კვების წყარო რეკში დასაკიდი; MP-RT-1K-S-LI</t>
  </si>
  <si>
    <t>Cable Manager; MR.OKB1U19.01</t>
  </si>
  <si>
    <t>Cat 6 E კაბელი; FTP Cat6 კაბელი, შიდა გამოყენების, 100% სპილენძი</t>
  </si>
  <si>
    <t xml:space="preserve">კაბელ-არხი 100X50მმ; 50x100 ჭერის საკაბელო არხი - Ardic	</t>
  </si>
  <si>
    <t xml:space="preserve">ხისტი მილი 20მმ (გარე დიამეტრი); 105416--COU-30-21081-020 </t>
  </si>
  <si>
    <t>ლოკალური ხარჯთაღრიცხვა № 1/1</t>
  </si>
  <si>
    <t>ლოკალური ხარჯთაღრიცხვა № 2/2</t>
  </si>
  <si>
    <t xml:space="preserve">რკ/ბ მონოლითური სამუშაოები, წერტილოვანი საძირკვვლები, მონოლითური კარკასი, იატაკის ფილა </t>
  </si>
  <si>
    <t xml:space="preserve">სარემონტო სამუშაოები, კარ-ფანჯრები </t>
  </si>
  <si>
    <t>ტერიტორიის კეთილმოწყობა, პანდუსი</t>
  </si>
  <si>
    <t xml:space="preserve">ტერიტორიის კეთილმოწყობა, პანდუსი </t>
  </si>
  <si>
    <t>წყალმომარაგება, საყოფაცხოვრებო და სანიაღვრე  წყალარინება (კანალიზაცია)</t>
  </si>
  <si>
    <t>სახანძროუსაფრთხოება</t>
  </si>
  <si>
    <t>ლოკალური ხარჯთაღრიცხვა № 2/1</t>
  </si>
  <si>
    <t>ჰიდროსაიზოლაციო სამუშაოები</t>
  </si>
  <si>
    <t>რუბეროიდი</t>
  </si>
  <si>
    <t>გუდრონი</t>
  </si>
  <si>
    <t xml:space="preserve">რ/ბ ცოკოლის კედლები </t>
  </si>
  <si>
    <t>ბეტონიის მომზადება 10სმ (დამცავი ფენა ცელოფანი)</t>
  </si>
  <si>
    <t>ცელოფანი</t>
  </si>
  <si>
    <t>რ/ბ იატაკის  ფილა ±0.00  ნიშნულზე 2 600 კვ.მ</t>
  </si>
  <si>
    <t xml:space="preserve">ლითონის ელემენტების დამუშავება შეღებვა </t>
  </si>
  <si>
    <t>გარე განათების დემონტაჟი</t>
  </si>
  <si>
    <t>გარე განათების მონტაჟი</t>
  </si>
  <si>
    <t>გრძ</t>
  </si>
  <si>
    <t>ელკაბელი ორმაგი იზოლაციით  (2*2.5)</t>
  </si>
  <si>
    <t>ბეტონის სამუშაოები</t>
  </si>
  <si>
    <t>ანკერები (ჩასაყოლებელი დეტალი (დ=18 ლ=650)</t>
  </si>
  <si>
    <t>გარე განათება</t>
  </si>
  <si>
    <t>გარე განათება ჯამი:</t>
  </si>
  <si>
    <t>მეთლახის ფილების დაგება (დასასვენებელი ოთახი, სამზარეულო, დერეფანი, სანკვანძი, საშხაპე)</t>
  </si>
  <si>
    <t>მეთლახის ფილა</t>
  </si>
  <si>
    <t>წებო/ცემენტი</t>
  </si>
  <si>
    <t>ტომარ</t>
  </si>
  <si>
    <t>3. ჯამი:</t>
  </si>
  <si>
    <t>1.+2.+3.  ჯამი:</t>
  </si>
  <si>
    <t>შედგენილია 2025 წლის  IV  კვარტლის საბაზრო ფასებში</t>
  </si>
  <si>
    <t>შედგენილია 2025 წლის  IV კვარტლის საბაზრო ფასებში</t>
  </si>
  <si>
    <t>შედგენილია 2025 წლის IV კვარტლის საბაზრო ფასებში</t>
  </si>
  <si>
    <t>შედგენილია 2025 წლის IV  კვარტლის საბაზრო ფასებში</t>
  </si>
  <si>
    <t>შედგენილია 2025  წლის IV კვარტლის საბაზრო ფასებში</t>
  </si>
  <si>
    <t>შედგენილია 2025 წლის IV  კვარტლის მიმდინარე ფასებში</t>
  </si>
  <si>
    <t>1. + 10.  ჯამი:</t>
  </si>
  <si>
    <t>1.+6.  ჯამი:</t>
  </si>
  <si>
    <t>₾</t>
  </si>
  <si>
    <t>სახანძრო უსაფრთხოება</t>
  </si>
  <si>
    <t>3.+4. ჯამი:</t>
  </si>
  <si>
    <t>6.ჯამი:</t>
  </si>
  <si>
    <t>1.+6. ჯამი:</t>
  </si>
  <si>
    <t>მზის პანელების მონტაჟი</t>
  </si>
  <si>
    <t xml:space="preserve">ლოკალური ხარჯთაღრიცხვა № 11 </t>
  </si>
  <si>
    <t>მიწის სამუშაოები. თანამშროლების დამხმარე სათავსები</t>
  </si>
  <si>
    <t>თანამშროლების დამხმარე სათავსები</t>
  </si>
  <si>
    <t>რკ/ბ მონოლითური სამუშაოები, წერტილოვანი საძირკვვლები, მონოლითური კარკასი, ფილა, თანამშროლების დამხმარე სათავსები</t>
  </si>
  <si>
    <t xml:space="preserve">ლითონის კარკასის მონტაჟი, კონსტრუქციული ელემენტები, თანამშროლების დამხმარე სათავსები </t>
  </si>
  <si>
    <t xml:space="preserve">სენდვიჩპანელის კედლების, ტიხრების და სახურავის მონტაჟი. თანამშროლების დამხმარე სათავსები </t>
  </si>
  <si>
    <t xml:space="preserve">მიწის სამუშაოები, თანამშროლების დამხმარე სათავსები </t>
  </si>
  <si>
    <t>რკ/ბ მონოლითური სამუშაოები, წერტილოვანი საძირკვვლები, მონოლითური კარკასი, იატაკის ფილა. თანამშროლების დამხმარე სათავსები</t>
  </si>
  <si>
    <t xml:space="preserve">ლითონის კარკასის მონტაჟი, კონსტრუქციული ელემენტები. თანამშროლების დამხმარე სათავსები </t>
  </si>
  <si>
    <t>წყალმომარაგება, სანიაღვრე და შიდა წყალარინების დაერთებით</t>
  </si>
  <si>
    <t>ელმომარაგება, გარე განათება</t>
  </si>
  <si>
    <t xml:space="preserve">ლითონის კარი 4.0*4.0 (2ც) </t>
  </si>
  <si>
    <t>ლითონის კარი 4.0*4.0 (2ც) ცეცხლმედეგობა 1 სთ.</t>
  </si>
  <si>
    <t xml:space="preserve">ლითონის კარი 3.0*4.0 (1ც) </t>
  </si>
  <si>
    <t>ლითონის კარი 1.0*2.2 (4ც)</t>
  </si>
  <si>
    <t>მეტალოპლასტმასის კარი 0.9*2.2=(4 ც)</t>
  </si>
  <si>
    <t>მეტალოპლასტმასის კარი 0.75*2.2=(4 ც)</t>
  </si>
  <si>
    <t xml:space="preserve">მეტალოპლასტემასის ფანჯრები 5*1.2 (8ც) </t>
  </si>
  <si>
    <t xml:space="preserve">მეტალოპლასტემასის ფანჯრები 1.5*1.5 (2ც) </t>
  </si>
  <si>
    <t xml:space="preserve">მეტალოპლასტემასის ფრამუგები 1*0.5 (4ც) </t>
  </si>
  <si>
    <t>სენდვიჩპანელის კედლების და გამყოფი ტიხარის (ტამბური) მონტაჟი</t>
  </si>
  <si>
    <t>სენდვიჩპანელი 5 სმ (ცეცხლმედეგობა 1 სთ)</t>
  </si>
  <si>
    <t>სენდვიჩპანელის კედლების და  ტიხარების მონტაჟი</t>
  </si>
  <si>
    <t>ლოკალური ხარჯთაღრიცხვა № 11</t>
  </si>
  <si>
    <t>ელმომარაგების ქსელის მონტაჟი</t>
  </si>
  <si>
    <t xml:space="preserve">მზის პანელი YINGLI SOLAR (590W MONO)     </t>
  </si>
  <si>
    <t xml:space="preserve">ინვერტერი - Sungrow SG125CX-P2                    </t>
  </si>
  <si>
    <t xml:space="preserve">სმარტდონგლი - Com100E                                  </t>
  </si>
  <si>
    <t>შემაერთებელი MC4</t>
  </si>
  <si>
    <t xml:space="preserve">კაბელი PV 1*6 მუდმივი დენის                 </t>
  </si>
  <si>
    <t xml:space="preserve">კაბელი AC 3*150+1*70 mm AL ცვლადი დენის   </t>
  </si>
  <si>
    <t xml:space="preserve">კაბელი AC 3*50+1*25 mm AL ცვლადი დენის      </t>
  </si>
  <si>
    <t xml:space="preserve">კაბელი PE 1*70mm AL დამიწების                           </t>
  </si>
  <si>
    <r>
      <t xml:space="preserve">კაბელი FTP ქსელის </t>
    </r>
    <r>
      <rPr>
        <sz val="10"/>
        <color theme="1"/>
        <rFont val="Calibri"/>
        <family val="2"/>
        <scheme val="minor"/>
      </rPr>
      <t xml:space="preserve">                                                  </t>
    </r>
  </si>
  <si>
    <t xml:space="preserve">ავტომატური ამომრთველი 250A                       </t>
  </si>
  <si>
    <t xml:space="preserve">ავტომატური ამომრთველი 125A                      </t>
  </si>
  <si>
    <t xml:space="preserve">ელექტროსამონტაჟო მასალები, კაბელარხები   </t>
  </si>
  <si>
    <t xml:space="preserve">14 პანელების კონსტრუქცია - Rail + ტრანსპორტირება        </t>
  </si>
  <si>
    <t xml:space="preserve">შრომის უსაფრთხოება </t>
  </si>
  <si>
    <t xml:space="preserve">შიდა გადაზიდვა /ტექნიკის მომსახურება </t>
  </si>
  <si>
    <t>გაუთვალისწინებელი ხარჯი 2%</t>
  </si>
  <si>
    <t xml:space="preserve">ინვერტერი - Sungrow SG50 CX-P2                    </t>
  </si>
  <si>
    <t>სულ სამშენებლო-სამონტაჟო სამუშაოების ჯამი:</t>
  </si>
  <si>
    <t xml:space="preserve">ჯამი: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</si>
</sst>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name val="Times New Roman"/>
      <family val="1"/>
      <charset val="204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8"/>
      <name val="Calibri"/>
      <family val="2"/>
      <scheme val="minor"/>
    </font>
    <font>
      <sz val="8"/>
      <name val="AcadNusx"/>
    </font>
    <font>
      <sz val="10"/>
      <color theme="1"/>
      <name val="Tahoma"/>
      <family val="2"/>
      <charset val="162"/>
    </font>
    <font>
      <sz val="10"/>
      <name val="Tahoma"/>
      <family val="2"/>
      <charset val="162"/>
    </font>
    <font>
      <sz val="12"/>
      <color theme="1"/>
      <name val="Sylfaen"/>
      <family val="1"/>
    </font>
    <font>
      <b/>
      <sz val="11"/>
      <color theme="8" tint="-0.249977111117893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16" fillId="0" borderId="0"/>
    <xf numFmtId="0" fontId="1" fillId="0" borderId="0"/>
    <xf numFmtId="44" fontId="1" fillId="0" borderId="0" applyFont="0" applyFill="0" applyBorder="0" applyAlignment="0" applyProtection="0"/>
  </cellStyleXfs>
  <cellXfs count="489">
    <xf numFmtId="0" fontId="0" fillId="0" borderId="0" xfId="0"/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3" borderId="7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2" xfId="0" applyFont="1" applyBorder="1"/>
    <xf numFmtId="1" fontId="4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1" fontId="3" fillId="0" borderId="0" xfId="0" applyNumberFormat="1" applyFo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0" fillId="0" borderId="1" xfId="0" applyBorder="1"/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3" xfId="0" applyFont="1" applyFill="1" applyBorder="1"/>
    <xf numFmtId="9" fontId="4" fillId="2" borderId="13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0" borderId="13" xfId="2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0" borderId="13" xfId="0" applyFont="1" applyBorder="1"/>
    <xf numFmtId="9" fontId="4" fillId="0" borderId="13" xfId="0" applyNumberFormat="1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1" fillId="0" borderId="4" xfId="2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0" fillId="0" borderId="13" xfId="0" applyBorder="1"/>
    <xf numFmtId="0" fontId="3" fillId="2" borderId="2" xfId="0" applyFont="1" applyFill="1" applyBorder="1"/>
    <xf numFmtId="0" fontId="4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0" fontId="2" fillId="0" borderId="0" xfId="0" applyFont="1"/>
    <xf numFmtId="0" fontId="1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 wrapText="1"/>
    </xf>
    <xf numFmtId="164" fontId="4" fillId="3" borderId="6" xfId="0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vertical="center" wrapText="1"/>
    </xf>
    <xf numFmtId="9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49" fontId="6" fillId="2" borderId="2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center" vertical="center"/>
    </xf>
    <xf numFmtId="0" fontId="17" fillId="0" borderId="6" xfId="2" applyFont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>
      <alignment horizontal="left"/>
    </xf>
    <xf numFmtId="0" fontId="18" fillId="2" borderId="8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right" vertical="center" wrapText="1"/>
    </xf>
    <xf numFmtId="0" fontId="17" fillId="0" borderId="11" xfId="2" applyFont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9" fontId="3" fillId="3" borderId="6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2" borderId="0" xfId="0" applyNumberFormat="1" applyFont="1" applyFill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2" fontId="4" fillId="2" borderId="0" xfId="0" applyNumberFormat="1" applyFont="1" applyFill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10" fillId="0" borderId="2" xfId="1" applyFont="1" applyBorder="1" applyAlignment="1">
      <alignment horizontal="center" vertical="center" wrapText="1"/>
    </xf>
    <xf numFmtId="164" fontId="10" fillId="0" borderId="2" xfId="1" applyNumberFormat="1" applyFont="1" applyBorder="1" applyAlignment="1">
      <alignment horizontal="center" vertical="center" wrapText="1"/>
    </xf>
    <xf numFmtId="16" fontId="20" fillId="0" borderId="2" xfId="1" applyNumberFormat="1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 applyProtection="1">
      <alignment horizontal="center" vertical="center" wrapText="1"/>
      <protection locked="0"/>
    </xf>
    <xf numFmtId="9" fontId="2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/>
    </xf>
    <xf numFmtId="0" fontId="0" fillId="2" borderId="2" xfId="0" applyFill="1" applyBorder="1"/>
    <xf numFmtId="0" fontId="4" fillId="2" borderId="2" xfId="0" applyFont="1" applyFill="1" applyBorder="1"/>
    <xf numFmtId="16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0" xfId="0" applyNumberFormat="1" applyFont="1" applyFill="1" applyAlignment="1">
      <alignment horizontal="left" vertical="center" wrapText="1"/>
    </xf>
    <xf numFmtId="0" fontId="4" fillId="0" borderId="2" xfId="0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1" fillId="2" borderId="2" xfId="0" applyFont="1" applyFill="1" applyBorder="1" applyAlignment="1" applyProtection="1">
      <alignment wrapText="1"/>
      <protection locked="0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left" vertical="center" wrapText="1"/>
    </xf>
    <xf numFmtId="9" fontId="22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Fill="1" applyBorder="1"/>
    <xf numFmtId="0" fontId="6" fillId="3" borderId="6" xfId="0" applyFont="1" applyFill="1" applyBorder="1" applyAlignment="1">
      <alignment horizontal="left" vertical="center"/>
    </xf>
    <xf numFmtId="2" fontId="4" fillId="3" borderId="6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0" fillId="3" borderId="6" xfId="0" applyFill="1" applyBorder="1"/>
    <xf numFmtId="2" fontId="10" fillId="0" borderId="2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0" fillId="0" borderId="12" xfId="0" applyBorder="1"/>
    <xf numFmtId="0" fontId="0" fillId="0" borderId="25" xfId="0" applyBorder="1"/>
    <xf numFmtId="0" fontId="3" fillId="2" borderId="8" xfId="0" applyFont="1" applyFill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24" fillId="0" borderId="1" xfId="0" applyFont="1" applyBorder="1"/>
    <xf numFmtId="164" fontId="3" fillId="0" borderId="13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3" fillId="2" borderId="0" xfId="0" applyNumberFormat="1" applyFont="1" applyFill="1" applyAlignment="1">
      <alignment vertical="center"/>
    </xf>
    <xf numFmtId="1" fontId="3" fillId="2" borderId="0" xfId="0" applyNumberFormat="1" applyFont="1" applyFill="1" applyAlignment="1">
      <alignment vertical="center" wrapText="1"/>
    </xf>
    <xf numFmtId="0" fontId="2" fillId="0" borderId="31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16" fontId="8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16" fontId="8" fillId="0" borderId="2" xfId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0" borderId="0" xfId="0" applyFont="1"/>
    <xf numFmtId="16" fontId="8" fillId="0" borderId="13" xfId="1" applyNumberFormat="1" applyFont="1" applyBorder="1" applyAlignment="1">
      <alignment horizontal="left" vertical="center" wrapText="1"/>
    </xf>
    <xf numFmtId="0" fontId="3" fillId="2" borderId="13" xfId="0" applyFont="1" applyFill="1" applyBorder="1" applyAlignment="1">
      <alignment vertical="center" wrapText="1"/>
    </xf>
    <xf numFmtId="1" fontId="3" fillId="2" borderId="13" xfId="0" applyNumberFormat="1" applyFont="1" applyFill="1" applyBorder="1" applyAlignment="1">
      <alignment horizontal="center" vertical="center"/>
    </xf>
    <xf numFmtId="0" fontId="4" fillId="3" borderId="5" xfId="0" applyFont="1" applyFill="1" applyBorder="1"/>
    <xf numFmtId="0" fontId="3" fillId="3" borderId="32" xfId="0" applyFont="1" applyFill="1" applyBorder="1" applyAlignment="1">
      <alignment vertical="center" wrapText="1"/>
    </xf>
    <xf numFmtId="0" fontId="3" fillId="3" borderId="32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center" vertical="center"/>
    </xf>
    <xf numFmtId="16" fontId="8" fillId="4" borderId="11" xfId="1" applyNumberFormat="1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vertical="center" wrapText="1"/>
    </xf>
    <xf numFmtId="1" fontId="3" fillId="4" borderId="11" xfId="0" applyNumberFormat="1" applyFont="1" applyFill="1" applyBorder="1" applyAlignment="1">
      <alignment horizontal="center" vertical="center"/>
    </xf>
    <xf numFmtId="1" fontId="3" fillId="4" borderId="9" xfId="0" applyNumberFormat="1" applyFont="1" applyFill="1" applyBorder="1" applyAlignment="1">
      <alignment horizontal="center" vertical="center"/>
    </xf>
    <xf numFmtId="0" fontId="0" fillId="4" borderId="5" xfId="0" applyFill="1" applyBorder="1"/>
    <xf numFmtId="0" fontId="0" fillId="4" borderId="6" xfId="0" applyFill="1" applyBorder="1"/>
    <xf numFmtId="0" fontId="3" fillId="4" borderId="6" xfId="0" applyFont="1" applyFill="1" applyBorder="1" applyAlignment="1">
      <alignment horizontal="right"/>
    </xf>
    <xf numFmtId="1" fontId="3" fillId="4" borderId="7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2" xfId="0" applyNumberFormat="1" applyFont="1" applyFill="1" applyBorder="1" applyAlignment="1" applyProtection="1">
      <alignment horizontal="center" vertical="center"/>
      <protection locked="0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/>
    </xf>
    <xf numFmtId="2" fontId="4" fillId="0" borderId="13" xfId="0" applyNumberFormat="1" applyFont="1" applyBorder="1"/>
    <xf numFmtId="2" fontId="4" fillId="0" borderId="13" xfId="0" applyNumberFormat="1" applyFont="1" applyBorder="1" applyAlignment="1">
      <alignment horizontal="center"/>
    </xf>
    <xf numFmtId="2" fontId="4" fillId="0" borderId="19" xfId="0" applyNumberFormat="1" applyFont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4" fillId="3" borderId="19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164" fontId="4" fillId="3" borderId="13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vertical="center"/>
    </xf>
    <xf numFmtId="2" fontId="3" fillId="2" borderId="2" xfId="0" applyNumberFormat="1" applyFont="1" applyFill="1" applyBorder="1" applyAlignment="1">
      <alignment horizontal="center" vertical="center"/>
    </xf>
    <xf numFmtId="2" fontId="10" fillId="0" borderId="2" xfId="3" applyNumberFormat="1" applyFont="1" applyBorder="1" applyAlignment="1">
      <alignment horizontal="center" vertical="center" wrapText="1"/>
    </xf>
    <xf numFmtId="2" fontId="0" fillId="0" borderId="2" xfId="0" applyNumberFormat="1" applyBorder="1"/>
    <xf numFmtId="2" fontId="0" fillId="0" borderId="13" xfId="0" applyNumberFormat="1" applyBorder="1"/>
    <xf numFmtId="2" fontId="0" fillId="0" borderId="1" xfId="0" applyNumberFormat="1" applyBorder="1"/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wrapText="1"/>
    </xf>
    <xf numFmtId="0" fontId="21" fillId="2" borderId="2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left" vertical="center" wrapText="1"/>
    </xf>
    <xf numFmtId="9" fontId="22" fillId="2" borderId="13" xfId="0" applyNumberFormat="1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horizontal="center" vertical="center" wrapText="1"/>
    </xf>
    <xf numFmtId="164" fontId="22" fillId="2" borderId="2" xfId="0" applyNumberFormat="1" applyFont="1" applyFill="1" applyBorder="1" applyAlignment="1">
      <alignment horizontal="center" vertical="center" wrapText="1"/>
    </xf>
    <xf numFmtId="0" fontId="25" fillId="0" borderId="0" xfId="0" applyFont="1"/>
    <xf numFmtId="2" fontId="10" fillId="3" borderId="2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" fontId="3" fillId="0" borderId="0" xfId="0" applyNumberFormat="1" applyFont="1" applyAlignment="1">
      <alignment horizontal="right" vertical="center"/>
    </xf>
    <xf numFmtId="0" fontId="3" fillId="0" borderId="2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1" fontId="3" fillId="2" borderId="0" xfId="0" applyNumberFormat="1" applyFont="1" applyFill="1" applyAlignment="1">
      <alignment horizontal="right" vertical="center" wrapText="1"/>
    </xf>
    <xf numFmtId="0" fontId="4" fillId="0" borderId="33" xfId="0" applyFont="1" applyBorder="1" applyAlignment="1">
      <alignment horizontal="left" vertical="center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2" borderId="0" xfId="0" applyFill="1" applyAlignment="1" applyProtection="1">
      <alignment vertical="center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vertical="center"/>
    </xf>
    <xf numFmtId="1" fontId="3" fillId="0" borderId="0" xfId="0" applyNumberFormat="1" applyFont="1" applyProtection="1"/>
    <xf numFmtId="0" fontId="2" fillId="0" borderId="0" xfId="0" applyFont="1" applyProtection="1"/>
    <xf numFmtId="0" fontId="4" fillId="0" borderId="0" xfId="0" applyFont="1" applyAlignment="1" applyProtection="1">
      <alignment horizontal="left" vertical="center"/>
    </xf>
    <xf numFmtId="0" fontId="3" fillId="2" borderId="0" xfId="0" applyFont="1" applyFill="1" applyAlignment="1" applyProtection="1">
      <alignment vertical="center"/>
    </xf>
    <xf numFmtId="2" fontId="3" fillId="2" borderId="0" xfId="0" applyNumberFormat="1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0" fontId="6" fillId="2" borderId="21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vertical="center" wrapText="1"/>
    </xf>
    <xf numFmtId="0" fontId="14" fillId="0" borderId="1" xfId="0" applyFont="1" applyBorder="1" applyAlignment="1" applyProtection="1">
      <alignment vertical="center" wrapText="1"/>
    </xf>
    <xf numFmtId="0" fontId="4" fillId="0" borderId="1" xfId="0" applyFont="1" applyBorder="1" applyProtection="1"/>
    <xf numFmtId="0" fontId="3" fillId="0" borderId="1" xfId="0" applyFont="1" applyBorder="1" applyAlignment="1" applyProtection="1">
      <alignment horizontal="left" vertical="center" wrapText="1"/>
    </xf>
    <xf numFmtId="44" fontId="4" fillId="0" borderId="1" xfId="4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2" fontId="4" fillId="0" borderId="1" xfId="0" applyNumberFormat="1" applyFont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 wrapText="1"/>
    </xf>
    <xf numFmtId="2" fontId="4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0" borderId="2" xfId="2" applyFont="1" applyBorder="1" applyAlignment="1" applyProtection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0" borderId="1" xfId="2" applyFont="1" applyBorder="1" applyAlignment="1" applyProtection="1">
      <alignment horizontal="center" vertical="center" wrapText="1"/>
    </xf>
    <xf numFmtId="2" fontId="10" fillId="0" borderId="1" xfId="0" applyNumberFormat="1" applyFont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0" borderId="13" xfId="2" applyFont="1" applyBorder="1" applyAlignment="1" applyProtection="1">
      <alignment horizontal="center" vertical="center" wrapText="1"/>
    </xf>
    <xf numFmtId="164" fontId="4" fillId="0" borderId="13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165" fontId="4" fillId="0" borderId="2" xfId="0" applyNumberFormat="1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right" vertical="center" wrapText="1"/>
    </xf>
    <xf numFmtId="0" fontId="4" fillId="0" borderId="6" xfId="0" applyFont="1" applyBorder="1" applyAlignment="1" applyProtection="1">
      <alignment horizontal="center" vertical="center"/>
    </xf>
    <xf numFmtId="164" fontId="4" fillId="0" borderId="6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3" fillId="0" borderId="6" xfId="0" applyNumberFormat="1" applyFont="1" applyBorder="1" applyAlignment="1" applyProtection="1">
      <alignment horizontal="center" vertical="center"/>
    </xf>
    <xf numFmtId="2" fontId="3" fillId="0" borderId="7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64" fontId="10" fillId="0" borderId="1" xfId="0" applyNumberFormat="1" applyFont="1" applyBorder="1" applyAlignment="1" applyProtection="1">
      <alignment horizontal="center" vertical="center" wrapText="1"/>
    </xf>
    <xf numFmtId="2" fontId="4" fillId="0" borderId="1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2" fontId="3" fillId="0" borderId="6" xfId="0" applyNumberFormat="1" applyFont="1" applyBorder="1" applyAlignment="1" applyProtection="1">
      <alignment horizontal="center"/>
    </xf>
    <xf numFmtId="2" fontId="3" fillId="0" borderId="7" xfId="0" applyNumberFormat="1" applyFont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center" vertical="center"/>
    </xf>
    <xf numFmtId="164" fontId="4" fillId="2" borderId="2" xfId="0" applyNumberFormat="1" applyFont="1" applyFill="1" applyBorder="1" applyAlignment="1" applyProtection="1">
      <alignment horizontal="center" vertical="center"/>
    </xf>
    <xf numFmtId="165" fontId="4" fillId="0" borderId="13" xfId="0" applyNumberFormat="1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right" vertical="center" wrapText="1"/>
    </xf>
    <xf numFmtId="0" fontId="4" fillId="2" borderId="6" xfId="0" applyFont="1" applyFill="1" applyBorder="1" applyAlignment="1" applyProtection="1">
      <alignment horizontal="center" vertical="center"/>
    </xf>
    <xf numFmtId="164" fontId="4" fillId="2" borderId="6" xfId="0" applyNumberFormat="1" applyFont="1" applyFill="1" applyBorder="1" applyAlignment="1" applyProtection="1">
      <alignment horizontal="center" vertical="center"/>
    </xf>
    <xf numFmtId="2" fontId="4" fillId="2" borderId="6" xfId="0" applyNumberFormat="1" applyFont="1" applyFill="1" applyBorder="1" applyAlignment="1" applyProtection="1">
      <alignment horizontal="center" vertical="center"/>
    </xf>
    <xf numFmtId="2" fontId="3" fillId="2" borderId="6" xfId="0" applyNumberFormat="1" applyFont="1" applyFill="1" applyBorder="1" applyAlignment="1" applyProtection="1">
      <alignment horizontal="center" vertical="center"/>
    </xf>
    <xf numFmtId="2" fontId="3" fillId="2" borderId="7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right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2" fontId="3" fillId="3" borderId="6" xfId="0" applyNumberFormat="1" applyFont="1" applyFill="1" applyBorder="1" applyAlignment="1" applyProtection="1">
      <alignment horizontal="center" vertical="center"/>
    </xf>
    <xf numFmtId="164" fontId="3" fillId="3" borderId="6" xfId="0" applyNumberFormat="1" applyFont="1" applyFill="1" applyBorder="1" applyAlignment="1" applyProtection="1">
      <alignment horizontal="center" vertical="center"/>
    </xf>
    <xf numFmtId="2" fontId="3" fillId="3" borderId="6" xfId="0" applyNumberFormat="1" applyFont="1" applyFill="1" applyBorder="1" applyProtection="1"/>
    <xf numFmtId="2" fontId="3" fillId="3" borderId="7" xfId="0" applyNumberFormat="1" applyFont="1" applyFill="1" applyBorder="1" applyAlignment="1" applyProtection="1">
      <alignment horizontal="center" vertical="center"/>
    </xf>
    <xf numFmtId="9" fontId="4" fillId="0" borderId="2" xfId="0" applyNumberFormat="1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right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left" vertical="center"/>
    </xf>
    <xf numFmtId="9" fontId="4" fillId="2" borderId="2" xfId="0" applyNumberFormat="1" applyFont="1" applyFill="1" applyBorder="1" applyAlignment="1" applyProtection="1">
      <alignment horizontal="center" vertical="center"/>
    </xf>
    <xf numFmtId="2" fontId="4" fillId="2" borderId="2" xfId="0" applyNumberFormat="1" applyFont="1" applyFill="1" applyBorder="1" applyAlignment="1" applyProtection="1">
      <alignment horizontal="center" vertical="center"/>
    </xf>
    <xf numFmtId="0" fontId="4" fillId="0" borderId="13" xfId="0" applyFont="1" applyBorder="1" applyProtection="1"/>
    <xf numFmtId="9" fontId="4" fillId="0" borderId="13" xfId="0" applyNumberFormat="1" applyFont="1" applyBorder="1" applyAlignment="1" applyProtection="1">
      <alignment horizontal="center"/>
    </xf>
    <xf numFmtId="2" fontId="4" fillId="0" borderId="13" xfId="0" applyNumberFormat="1" applyFont="1" applyBorder="1" applyProtection="1"/>
    <xf numFmtId="2" fontId="4" fillId="0" borderId="13" xfId="0" applyNumberFormat="1" applyFont="1" applyBorder="1" applyAlignment="1" applyProtection="1">
      <alignment horizontal="center"/>
    </xf>
    <xf numFmtId="0" fontId="0" fillId="0" borderId="1" xfId="0" applyBorder="1" applyProtection="1"/>
    <xf numFmtId="0" fontId="4" fillId="0" borderId="1" xfId="0" applyFont="1" applyBorder="1" applyAlignment="1" applyProtection="1">
      <alignment horizontal="left" vertical="center" wrapText="1"/>
    </xf>
    <xf numFmtId="9" fontId="4" fillId="0" borderId="1" xfId="0" applyNumberFormat="1" applyFont="1" applyBorder="1" applyAlignment="1" applyProtection="1">
      <alignment horizontal="center" vertical="center"/>
    </xf>
    <xf numFmtId="0" fontId="0" fillId="0" borderId="2" xfId="0" applyBorder="1" applyProtection="1"/>
    <xf numFmtId="0" fontId="4" fillId="0" borderId="2" xfId="0" applyFont="1" applyBorder="1" applyAlignment="1" applyProtection="1">
      <alignment horizontal="right" vertical="center"/>
    </xf>
    <xf numFmtId="0" fontId="0" fillId="0" borderId="13" xfId="0" applyBorder="1" applyProtection="1"/>
    <xf numFmtId="0" fontId="4" fillId="0" borderId="13" xfId="0" applyFont="1" applyBorder="1" applyAlignment="1" applyProtection="1">
      <alignment horizontal="left" vertical="center" wrapText="1"/>
    </xf>
    <xf numFmtId="9" fontId="4" fillId="0" borderId="13" xfId="0" applyNumberFormat="1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0" fillId="3" borderId="5" xfId="0" applyFill="1" applyBorder="1" applyProtection="1"/>
    <xf numFmtId="0" fontId="0" fillId="3" borderId="6" xfId="0" applyFill="1" applyBorder="1" applyProtection="1"/>
    <xf numFmtId="0" fontId="3" fillId="3" borderId="6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center" vertical="center"/>
    </xf>
    <xf numFmtId="2" fontId="4" fillId="3" borderId="6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0" fillId="2" borderId="0" xfId="0" applyFill="1" applyProtection="1"/>
  </cellXfs>
  <cellStyles count="5">
    <cellStyle name="Currency" xfId="4" builtinId="4"/>
    <cellStyle name="Normal" xfId="0" builtinId="0"/>
    <cellStyle name="Normal 11 2 2" xfId="1" xr:uid="{BA6FBB75-8BED-469E-9E0A-7DC62F5A3A27}"/>
    <cellStyle name="Normal 13 5 3" xfId="3" xr:uid="{5A1BEF29-7778-44D5-8F78-3B4C452712EE}"/>
    <cellStyle name="Normal_stadion-1" xfId="2" xr:uid="{40E50B97-4043-4DD5-8A14-43B31124AF70}"/>
  </cellStyles>
  <dxfs count="10">
    <dxf>
      <fill>
        <gradientFill degree="45">
          <stop position="0">
            <color theme="0" tint="-0.1490218817712943"/>
          </stop>
          <stop position="0.5">
            <color theme="9" tint="0.80001220740379042"/>
          </stop>
          <stop position="1">
            <color theme="0" tint="-0.1490218817712943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zoomScale="70" zoomScaleNormal="70" workbookViewId="0">
      <selection activeCell="C10" sqref="C10"/>
    </sheetView>
  </sheetViews>
  <sheetFormatPr defaultRowHeight="14.5" x14ac:dyDescent="0.35"/>
  <cols>
    <col min="1" max="1" width="3.7265625" customWidth="1"/>
    <col min="2" max="2" width="15.26953125" customWidth="1"/>
    <col min="3" max="3" width="33.81640625" customWidth="1"/>
    <col min="4" max="4" width="14.1796875" customWidth="1"/>
    <col min="5" max="6" width="13.1796875" customWidth="1"/>
    <col min="7" max="7" width="12.453125" customWidth="1"/>
    <col min="8" max="8" width="13.1796875" customWidth="1"/>
    <col min="10" max="10" width="5.1796875" customWidth="1"/>
    <col min="12" max="12" width="3.81640625" customWidth="1"/>
    <col min="13" max="13" width="14.54296875" customWidth="1"/>
  </cols>
  <sheetData>
    <row r="1" spans="1:10" ht="30.75" customHeight="1" x14ac:dyDescent="0.35">
      <c r="A1" s="1"/>
      <c r="B1" s="327" t="s">
        <v>58</v>
      </c>
      <c r="C1" s="327"/>
      <c r="D1" s="327"/>
      <c r="E1" s="327"/>
      <c r="F1" s="327"/>
      <c r="G1" s="1"/>
      <c r="H1" s="1"/>
    </row>
    <row r="2" spans="1:10" ht="19.5" customHeight="1" x14ac:dyDescent="0.35">
      <c r="A2" s="71"/>
      <c r="B2" s="330" t="s">
        <v>1</v>
      </c>
      <c r="C2" s="330"/>
      <c r="D2" s="330"/>
      <c r="E2" s="330"/>
      <c r="F2" s="330"/>
      <c r="G2" s="330"/>
      <c r="H2" s="330"/>
    </row>
    <row r="3" spans="1:10" x14ac:dyDescent="0.35">
      <c r="A3" s="2"/>
      <c r="B3" s="328" t="s">
        <v>2</v>
      </c>
      <c r="C3" s="328"/>
      <c r="D3" s="14"/>
      <c r="E3" s="1"/>
      <c r="F3" s="248">
        <f>H23</f>
        <v>0</v>
      </c>
      <c r="G3" s="2" t="s">
        <v>288</v>
      </c>
      <c r="H3" s="249"/>
    </row>
    <row r="4" spans="1:10" ht="15" thickBot="1" x14ac:dyDescent="0.4">
      <c r="A4" s="250"/>
      <c r="B4" s="329" t="s">
        <v>281</v>
      </c>
      <c r="C4" s="329"/>
      <c r="D4" s="329"/>
      <c r="E4" s="1"/>
      <c r="F4" s="71"/>
      <c r="G4" s="71"/>
      <c r="H4" s="71"/>
    </row>
    <row r="5" spans="1:10" ht="24" customHeight="1" x14ac:dyDescent="0.35">
      <c r="A5" s="324" t="s">
        <v>3</v>
      </c>
      <c r="B5" s="321" t="s">
        <v>4</v>
      </c>
      <c r="C5" s="321" t="s">
        <v>5</v>
      </c>
      <c r="D5" s="321" t="s">
        <v>6</v>
      </c>
      <c r="E5" s="321"/>
      <c r="F5" s="321"/>
      <c r="G5" s="321"/>
      <c r="H5" s="322" t="s">
        <v>7</v>
      </c>
    </row>
    <row r="6" spans="1:10" ht="63.75" customHeight="1" x14ac:dyDescent="0.35">
      <c r="A6" s="325"/>
      <c r="B6" s="326"/>
      <c r="C6" s="326"/>
      <c r="D6" s="137" t="s">
        <v>8</v>
      </c>
      <c r="E6" s="137" t="s">
        <v>9</v>
      </c>
      <c r="F6" s="137" t="s">
        <v>296</v>
      </c>
      <c r="G6" s="137" t="s">
        <v>10</v>
      </c>
      <c r="H6" s="323"/>
    </row>
    <row r="7" spans="1:10" ht="15" thickBot="1" x14ac:dyDescent="0.4">
      <c r="A7" s="251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8">
        <v>8</v>
      </c>
    </row>
    <row r="8" spans="1:10" ht="38.25" customHeight="1" x14ac:dyDescent="0.35">
      <c r="A8" s="95">
        <v>1</v>
      </c>
      <c r="B8" s="252" t="s">
        <v>11</v>
      </c>
      <c r="C8" s="253" t="s">
        <v>12</v>
      </c>
      <c r="D8" s="254">
        <f>'1. მიწის სამუშაოები'!M30</f>
        <v>0</v>
      </c>
      <c r="E8" s="3"/>
      <c r="F8" s="254"/>
      <c r="G8" s="3"/>
      <c r="H8" s="254">
        <f>D8</f>
        <v>0</v>
      </c>
    </row>
    <row r="9" spans="1:10" ht="39" x14ac:dyDescent="0.35">
      <c r="A9" s="190">
        <v>2</v>
      </c>
      <c r="B9" s="255" t="s">
        <v>249</v>
      </c>
      <c r="C9" s="256" t="s">
        <v>295</v>
      </c>
      <c r="D9" s="257"/>
      <c r="E9" s="76"/>
      <c r="F9" s="257">
        <f>'1. მიწის სამუშაოები'!M58</f>
        <v>0</v>
      </c>
      <c r="G9" s="76"/>
      <c r="H9" s="257">
        <f>F9</f>
        <v>0</v>
      </c>
    </row>
    <row r="10" spans="1:10" ht="52" x14ac:dyDescent="0.35">
      <c r="A10" s="190">
        <v>3</v>
      </c>
      <c r="B10" s="255" t="s">
        <v>13</v>
      </c>
      <c r="C10" s="256" t="s">
        <v>251</v>
      </c>
      <c r="D10" s="257">
        <f>'2. საძიკვლ. მონოლითი'!M124</f>
        <v>0</v>
      </c>
      <c r="E10" s="257"/>
      <c r="F10" s="257"/>
      <c r="G10" s="76"/>
      <c r="H10" s="257">
        <f>D10</f>
        <v>0</v>
      </c>
    </row>
    <row r="11" spans="1:10" ht="78.75" customHeight="1" x14ac:dyDescent="0.35">
      <c r="A11" s="190">
        <v>4</v>
      </c>
      <c r="B11" s="255" t="s">
        <v>250</v>
      </c>
      <c r="C11" s="256" t="s">
        <v>297</v>
      </c>
      <c r="D11" s="257"/>
      <c r="E11" s="258"/>
      <c r="F11" s="257">
        <f>'2. საძიკვლ. მონოლითი'!M193</f>
        <v>0</v>
      </c>
      <c r="G11" s="76"/>
      <c r="H11" s="257">
        <f>F11</f>
        <v>0</v>
      </c>
    </row>
    <row r="12" spans="1:10" ht="39" x14ac:dyDescent="0.35">
      <c r="A12" s="190">
        <v>5</v>
      </c>
      <c r="B12" s="255" t="s">
        <v>14</v>
      </c>
      <c r="C12" s="256" t="s">
        <v>15</v>
      </c>
      <c r="D12" s="259"/>
      <c r="E12" s="258">
        <f>'3. ლითონის კარკასი 1'!M30</f>
        <v>0</v>
      </c>
      <c r="F12" s="76"/>
      <c r="G12" s="76"/>
      <c r="H12" s="257">
        <f>E12</f>
        <v>0</v>
      </c>
    </row>
    <row r="13" spans="1:10" ht="52" x14ac:dyDescent="0.35">
      <c r="A13" s="49">
        <v>6</v>
      </c>
      <c r="B13" s="255" t="s">
        <v>103</v>
      </c>
      <c r="C13" s="256" t="s">
        <v>298</v>
      </c>
      <c r="D13" s="259"/>
      <c r="E13" s="259"/>
      <c r="F13" s="259">
        <f>'3. ლითონის კარკასი 1'!M70</f>
        <v>0</v>
      </c>
      <c r="G13" s="259"/>
      <c r="H13" s="259">
        <f>F13</f>
        <v>0</v>
      </c>
    </row>
    <row r="14" spans="1:10" ht="45" customHeight="1" x14ac:dyDescent="0.35">
      <c r="A14" s="49">
        <v>7</v>
      </c>
      <c r="B14" s="255" t="s">
        <v>16</v>
      </c>
      <c r="C14" s="260" t="s">
        <v>112</v>
      </c>
      <c r="D14" s="259"/>
      <c r="E14" s="259">
        <f>'4. სენდვიჩპ. მონტაჟი'!M35</f>
        <v>0</v>
      </c>
      <c r="F14" s="52"/>
      <c r="G14" s="52"/>
      <c r="H14" s="259">
        <f>E14</f>
        <v>0</v>
      </c>
    </row>
    <row r="15" spans="1:10" ht="52" x14ac:dyDescent="0.35">
      <c r="A15" s="49">
        <v>8</v>
      </c>
      <c r="B15" s="255" t="s">
        <v>120</v>
      </c>
      <c r="C15" s="260" t="s">
        <v>299</v>
      </c>
      <c r="D15" s="259"/>
      <c r="E15" s="259"/>
      <c r="F15" s="259">
        <f>'4. სენდვიჩპ. მონტაჟი'!M65</f>
        <v>0</v>
      </c>
      <c r="G15" s="259"/>
      <c r="H15" s="259">
        <f>F15</f>
        <v>0</v>
      </c>
      <c r="J15" s="261"/>
    </row>
    <row r="16" spans="1:10" ht="39" x14ac:dyDescent="0.35">
      <c r="A16" s="49">
        <v>9</v>
      </c>
      <c r="B16" s="255" t="s">
        <v>17</v>
      </c>
      <c r="C16" s="260" t="s">
        <v>252</v>
      </c>
      <c r="D16" s="259">
        <f>'5. სარემონტ. სამ. კარ-ფანჯ.'!M47</f>
        <v>0</v>
      </c>
      <c r="E16" s="259"/>
      <c r="F16" s="259"/>
      <c r="G16" s="259"/>
      <c r="H16" s="259">
        <f t="shared" ref="H16:H21" si="0">D16</f>
        <v>0</v>
      </c>
    </row>
    <row r="17" spans="1:8" ht="39" x14ac:dyDescent="0.35">
      <c r="A17" s="49">
        <v>10</v>
      </c>
      <c r="B17" s="255" t="s">
        <v>18</v>
      </c>
      <c r="C17" s="260" t="s">
        <v>254</v>
      </c>
      <c r="D17" s="259">
        <f>'6. ტერიტორ. კეთილმოწყ.'!M46</f>
        <v>0</v>
      </c>
      <c r="E17" s="259"/>
      <c r="F17" s="259"/>
      <c r="G17" s="259"/>
      <c r="H17" s="259">
        <f t="shared" si="0"/>
        <v>0</v>
      </c>
    </row>
    <row r="18" spans="1:8" ht="39" x14ac:dyDescent="0.35">
      <c r="A18" s="49">
        <v>11</v>
      </c>
      <c r="B18" s="255" t="s">
        <v>19</v>
      </c>
      <c r="C18" s="260" t="s">
        <v>255</v>
      </c>
      <c r="D18" s="259">
        <f>'7.წყალკანალი'!M75</f>
        <v>0</v>
      </c>
      <c r="E18" s="259"/>
      <c r="F18" s="259"/>
      <c r="G18" s="259"/>
      <c r="H18" s="259">
        <f t="shared" si="0"/>
        <v>0</v>
      </c>
    </row>
    <row r="19" spans="1:8" ht="39" x14ac:dyDescent="0.35">
      <c r="A19" s="49">
        <v>12</v>
      </c>
      <c r="B19" s="255" t="s">
        <v>20</v>
      </c>
      <c r="C19" s="260" t="s">
        <v>186</v>
      </c>
      <c r="D19" s="259">
        <f>'8. ელმომარაგება'!M72</f>
        <v>0</v>
      </c>
      <c r="E19" s="259"/>
      <c r="F19" s="259"/>
      <c r="G19" s="259"/>
      <c r="H19" s="259">
        <f t="shared" si="0"/>
        <v>0</v>
      </c>
    </row>
    <row r="20" spans="1:8" ht="39" x14ac:dyDescent="0.35">
      <c r="A20" s="49">
        <v>13</v>
      </c>
      <c r="B20" s="255" t="s">
        <v>21</v>
      </c>
      <c r="C20" s="260" t="s">
        <v>256</v>
      </c>
      <c r="D20" s="259">
        <f>'9. სახანძრო'!M34</f>
        <v>0</v>
      </c>
      <c r="E20" s="259"/>
      <c r="F20" s="259"/>
      <c r="G20" s="259"/>
      <c r="H20" s="259">
        <f t="shared" si="0"/>
        <v>0</v>
      </c>
    </row>
    <row r="21" spans="1:8" ht="41.25" customHeight="1" x14ac:dyDescent="0.35">
      <c r="A21" s="49">
        <v>14</v>
      </c>
      <c r="B21" s="255" t="s">
        <v>22</v>
      </c>
      <c r="C21" s="260" t="s">
        <v>236</v>
      </c>
      <c r="D21" s="259">
        <f>'10. ვიდეოკონტროლი'!M33</f>
        <v>0</v>
      </c>
      <c r="E21" s="259"/>
      <c r="F21" s="259"/>
      <c r="G21" s="259"/>
      <c r="H21" s="259">
        <f t="shared" si="0"/>
        <v>0</v>
      </c>
    </row>
    <row r="22" spans="1:8" ht="15" thickBot="1" x14ac:dyDescent="0.4">
      <c r="A22" s="121"/>
      <c r="B22" s="262"/>
      <c r="C22" s="263"/>
      <c r="D22" s="264"/>
      <c r="E22" s="264"/>
      <c r="F22" s="264"/>
      <c r="G22" s="264"/>
      <c r="H22" s="264"/>
    </row>
    <row r="23" spans="1:8" ht="26.5" thickBot="1" x14ac:dyDescent="0.4">
      <c r="A23" s="265"/>
      <c r="B23" s="266"/>
      <c r="C23" s="267" t="s">
        <v>336</v>
      </c>
      <c r="D23" s="133">
        <f>D8+D10+D16+D17+D18+D19+D20+D21+D22</f>
        <v>0</v>
      </c>
      <c r="E23" s="133">
        <f>E12+E14</f>
        <v>0</v>
      </c>
      <c r="F23" s="133">
        <f>F9+F11+F13+F15</f>
        <v>0</v>
      </c>
      <c r="G23" s="133"/>
      <c r="H23" s="5">
        <f>G23+F23+E23+D23</f>
        <v>0</v>
      </c>
    </row>
    <row r="24" spans="1:8" ht="39.5" thickBot="1" x14ac:dyDescent="0.4">
      <c r="A24" s="268">
        <v>15</v>
      </c>
      <c r="B24" s="269" t="s">
        <v>294</v>
      </c>
      <c r="C24" s="270" t="s">
        <v>293</v>
      </c>
      <c r="D24" s="271"/>
      <c r="E24" s="271"/>
      <c r="F24" s="271"/>
      <c r="G24" s="271">
        <f>'11. მზის პანელები'!M34</f>
        <v>0</v>
      </c>
      <c r="H24" s="272">
        <f>G24</f>
        <v>0</v>
      </c>
    </row>
    <row r="25" spans="1:8" ht="15" thickBot="1" x14ac:dyDescent="0.4">
      <c r="A25" s="273"/>
      <c r="B25" s="274"/>
      <c r="C25" s="275" t="s">
        <v>337</v>
      </c>
      <c r="D25" s="274"/>
      <c r="E25" s="274"/>
      <c r="F25" s="274"/>
      <c r="G25" s="274"/>
      <c r="H25" s="276">
        <f>H23+H24</f>
        <v>0</v>
      </c>
    </row>
  </sheetData>
  <sheetProtection algorithmName="SHA-512" hashValue="vLC27cmHJ83SJWnWOXy6bgzsG3bLREFnVYYUPQi2vX1bi30F4fDZlmjA08+avEF2/Y60QKtbeKByjvSMZZaa4g==" saltValue="wZ+ThQx5b38UGICnoBo4Og==" spinCount="100000" sheet="1" objects="1" scenarios="1"/>
  <mergeCells count="9">
    <mergeCell ref="D5:G5"/>
    <mergeCell ref="H5:H6"/>
    <mergeCell ref="A5:A6"/>
    <mergeCell ref="B5:B6"/>
    <mergeCell ref="B1:F1"/>
    <mergeCell ref="B3:C3"/>
    <mergeCell ref="B4:D4"/>
    <mergeCell ref="B2:H2"/>
    <mergeCell ref="C5:C6"/>
  </mergeCells>
  <pageMargins left="1.45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B68C7-28AF-4414-A69D-DB21DAEE64BB}">
  <dimension ref="A1:M34"/>
  <sheetViews>
    <sheetView zoomScale="70" zoomScaleNormal="70" workbookViewId="0">
      <selection activeCell="C10" sqref="C10"/>
    </sheetView>
  </sheetViews>
  <sheetFormatPr defaultRowHeight="14.5" x14ac:dyDescent="0.35"/>
  <cols>
    <col min="1" max="1" width="3.81640625" customWidth="1"/>
    <col min="2" max="2" width="4.81640625" customWidth="1"/>
    <col min="3" max="3" width="35.81640625" customWidth="1"/>
    <col min="4" max="4" width="7.26953125" customWidth="1"/>
    <col min="5" max="6" width="6.7265625" customWidth="1"/>
    <col min="7" max="7" width="7.81640625" customWidth="1"/>
    <col min="8" max="8" width="9.54296875" customWidth="1"/>
    <col min="9" max="9" width="8.81640625" customWidth="1"/>
    <col min="10" max="10" width="13" customWidth="1"/>
    <col min="11" max="11" width="6.26953125" customWidth="1"/>
    <col min="12" max="12" width="9.7265625" customWidth="1"/>
    <col min="13" max="13" width="11.1796875" customWidth="1"/>
  </cols>
  <sheetData>
    <row r="1" spans="1:13" ht="33" customHeight="1" x14ac:dyDescent="0.35">
      <c r="A1" s="1"/>
      <c r="B1" s="327" t="s">
        <v>92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1"/>
    </row>
    <row r="2" spans="1:13" x14ac:dyDescent="0.35">
      <c r="A2" s="336" t="s">
        <v>21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</row>
    <row r="3" spans="1:13" x14ac:dyDescent="0.35">
      <c r="A3" s="335" t="s">
        <v>289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</row>
    <row r="4" spans="1:13" x14ac:dyDescent="0.35">
      <c r="A4" s="185"/>
      <c r="B4" s="328" t="s">
        <v>2</v>
      </c>
      <c r="C4" s="328"/>
      <c r="D4" s="328"/>
      <c r="E4" s="328"/>
      <c r="F4" s="186"/>
      <c r="G4" s="14"/>
      <c r="H4" s="14"/>
      <c r="I4" s="14"/>
      <c r="J4" s="14"/>
      <c r="K4" s="360">
        <f>M34</f>
        <v>0</v>
      </c>
      <c r="L4" s="360"/>
      <c r="M4" s="202" t="s">
        <v>288</v>
      </c>
    </row>
    <row r="5" spans="1:13" ht="15" thickBot="1" x14ac:dyDescent="0.4">
      <c r="A5" s="13"/>
      <c r="B5" s="329" t="s">
        <v>220</v>
      </c>
      <c r="C5" s="329"/>
      <c r="D5" s="329"/>
      <c r="E5" s="329"/>
      <c r="F5" s="17"/>
      <c r="G5" s="17"/>
      <c r="H5" s="17"/>
      <c r="I5" s="17"/>
      <c r="J5" s="17"/>
      <c r="K5" s="17"/>
      <c r="L5" s="17"/>
      <c r="M5" s="17"/>
    </row>
    <row r="6" spans="1:13" ht="28.5" customHeight="1" x14ac:dyDescent="0.35">
      <c r="A6" s="341" t="s">
        <v>3</v>
      </c>
      <c r="B6" s="333" t="s">
        <v>31</v>
      </c>
      <c r="C6" s="333" t="s">
        <v>32</v>
      </c>
      <c r="D6" s="333" t="s">
        <v>33</v>
      </c>
      <c r="E6" s="333" t="s">
        <v>34</v>
      </c>
      <c r="F6" s="338" t="s">
        <v>35</v>
      </c>
      <c r="G6" s="337" t="s">
        <v>36</v>
      </c>
      <c r="H6" s="337"/>
      <c r="I6" s="337" t="s">
        <v>37</v>
      </c>
      <c r="J6" s="337"/>
      <c r="K6" s="321" t="s">
        <v>38</v>
      </c>
      <c r="L6" s="321"/>
      <c r="M6" s="322" t="s">
        <v>39</v>
      </c>
    </row>
    <row r="7" spans="1:13" ht="45.75" customHeight="1" x14ac:dyDescent="0.35">
      <c r="A7" s="340"/>
      <c r="B7" s="334"/>
      <c r="C7" s="334"/>
      <c r="D7" s="334"/>
      <c r="E7" s="334"/>
      <c r="F7" s="339"/>
      <c r="G7" s="137" t="s">
        <v>40</v>
      </c>
      <c r="H7" s="137" t="s">
        <v>41</v>
      </c>
      <c r="I7" s="137" t="s">
        <v>40</v>
      </c>
      <c r="J7" s="137" t="s">
        <v>41</v>
      </c>
      <c r="K7" s="137" t="s">
        <v>40</v>
      </c>
      <c r="L7" s="137" t="s">
        <v>41</v>
      </c>
      <c r="M7" s="323"/>
    </row>
    <row r="8" spans="1:13" ht="15" thickBot="1" x14ac:dyDescent="0.4">
      <c r="A8" s="220">
        <v>1</v>
      </c>
      <c r="B8" s="221">
        <v>2</v>
      </c>
      <c r="C8" s="221">
        <v>3</v>
      </c>
      <c r="D8" s="221">
        <v>4</v>
      </c>
      <c r="E8" s="221">
        <v>5</v>
      </c>
      <c r="F8" s="221">
        <v>6</v>
      </c>
      <c r="G8" s="221">
        <v>7</v>
      </c>
      <c r="H8" s="221">
        <v>8</v>
      </c>
      <c r="I8" s="221">
        <v>9</v>
      </c>
      <c r="J8" s="221">
        <v>10</v>
      </c>
      <c r="K8" s="221">
        <v>11</v>
      </c>
      <c r="L8" s="221">
        <v>12</v>
      </c>
      <c r="M8" s="222">
        <v>13</v>
      </c>
    </row>
    <row r="9" spans="1:13" x14ac:dyDescent="0.35">
      <c r="A9" s="3"/>
      <c r="B9" s="160"/>
      <c r="C9" s="27" t="s">
        <v>221</v>
      </c>
      <c r="D9" s="73"/>
      <c r="E9" s="60"/>
      <c r="F9" s="3"/>
      <c r="G9" s="95"/>
      <c r="H9" s="95"/>
      <c r="I9" s="95"/>
      <c r="J9" s="95"/>
      <c r="K9" s="95"/>
      <c r="L9" s="95"/>
      <c r="M9" s="95"/>
    </row>
    <row r="10" spans="1:13" ht="37.5" x14ac:dyDescent="0.35">
      <c r="A10" s="46">
        <v>1</v>
      </c>
      <c r="B10" s="179" t="s">
        <v>139</v>
      </c>
      <c r="C10" s="193" t="s">
        <v>227</v>
      </c>
      <c r="D10" s="44" t="s">
        <v>141</v>
      </c>
      <c r="E10" s="51">
        <v>1</v>
      </c>
      <c r="F10" s="207">
        <v>1</v>
      </c>
      <c r="G10" s="279">
        <v>0</v>
      </c>
      <c r="H10" s="42">
        <f t="shared" ref="H10:H16" si="0">G10*F10</f>
        <v>0</v>
      </c>
      <c r="I10" s="279">
        <v>0</v>
      </c>
      <c r="J10" s="42">
        <f t="shared" ref="J10:J15" si="1">I10*F10</f>
        <v>0</v>
      </c>
      <c r="K10" s="42"/>
      <c r="L10" s="42"/>
      <c r="M10" s="42">
        <f t="shared" ref="M10:M22" si="2">J10+H10</f>
        <v>0</v>
      </c>
    </row>
    <row r="11" spans="1:13" ht="25" x14ac:dyDescent="0.35">
      <c r="A11" s="46">
        <v>2</v>
      </c>
      <c r="B11" s="189"/>
      <c r="C11" s="194" t="s">
        <v>229</v>
      </c>
      <c r="D11" s="44" t="s">
        <v>71</v>
      </c>
      <c r="E11" s="51">
        <v>1</v>
      </c>
      <c r="F11" s="195">
        <v>4</v>
      </c>
      <c r="G11" s="279">
        <v>0</v>
      </c>
      <c r="H11" s="42">
        <f t="shared" si="0"/>
        <v>0</v>
      </c>
      <c r="I11" s="279">
        <v>0</v>
      </c>
      <c r="J11" s="42">
        <f t="shared" si="1"/>
        <v>0</v>
      </c>
      <c r="K11" s="42"/>
      <c r="L11" s="42"/>
      <c r="M11" s="42">
        <f t="shared" si="2"/>
        <v>0</v>
      </c>
    </row>
    <row r="12" spans="1:13" ht="25" x14ac:dyDescent="0.35">
      <c r="A12" s="46">
        <v>3</v>
      </c>
      <c r="B12" s="151"/>
      <c r="C12" s="194" t="s">
        <v>230</v>
      </c>
      <c r="D12" s="190" t="s">
        <v>71</v>
      </c>
      <c r="E12" s="191">
        <v>1</v>
      </c>
      <c r="F12" s="195">
        <f>F11+F14</f>
        <v>10</v>
      </c>
      <c r="G12" s="279">
        <v>0</v>
      </c>
      <c r="H12" s="42">
        <f t="shared" si="0"/>
        <v>0</v>
      </c>
      <c r="I12" s="279">
        <v>0</v>
      </c>
      <c r="J12" s="42">
        <f t="shared" si="1"/>
        <v>0</v>
      </c>
      <c r="K12" s="42"/>
      <c r="L12" s="42"/>
      <c r="M12" s="42">
        <f t="shared" si="2"/>
        <v>0</v>
      </c>
    </row>
    <row r="13" spans="1:13" ht="37.5" x14ac:dyDescent="0.35">
      <c r="A13" s="46">
        <v>4</v>
      </c>
      <c r="B13" s="151"/>
      <c r="C13" s="194" t="s">
        <v>228</v>
      </c>
      <c r="D13" s="44" t="s">
        <v>71</v>
      </c>
      <c r="E13" s="37">
        <v>1</v>
      </c>
      <c r="F13" s="195">
        <v>3</v>
      </c>
      <c r="G13" s="279">
        <v>0</v>
      </c>
      <c r="H13" s="42">
        <f t="shared" si="0"/>
        <v>0</v>
      </c>
      <c r="I13" s="279">
        <v>0</v>
      </c>
      <c r="J13" s="42">
        <f t="shared" si="1"/>
        <v>0</v>
      </c>
      <c r="K13" s="42"/>
      <c r="L13" s="42"/>
      <c r="M13" s="42">
        <f t="shared" si="2"/>
        <v>0</v>
      </c>
    </row>
    <row r="14" spans="1:13" ht="37.5" x14ac:dyDescent="0.35">
      <c r="A14" s="95">
        <v>5</v>
      </c>
      <c r="B14" s="160"/>
      <c r="C14" s="194" t="s">
        <v>231</v>
      </c>
      <c r="D14" s="44" t="s">
        <v>71</v>
      </c>
      <c r="E14" s="51">
        <v>1</v>
      </c>
      <c r="F14" s="195">
        <v>6</v>
      </c>
      <c r="G14" s="279">
        <v>0</v>
      </c>
      <c r="H14" s="42">
        <f t="shared" si="0"/>
        <v>0</v>
      </c>
      <c r="I14" s="279">
        <v>0</v>
      </c>
      <c r="J14" s="42">
        <f t="shared" si="1"/>
        <v>0</v>
      </c>
      <c r="K14" s="42"/>
      <c r="L14" s="42"/>
      <c r="M14" s="42">
        <f t="shared" si="2"/>
        <v>0</v>
      </c>
    </row>
    <row r="15" spans="1:13" ht="37.5" x14ac:dyDescent="0.35">
      <c r="A15" s="95">
        <v>6</v>
      </c>
      <c r="B15" s="160"/>
      <c r="C15" s="194" t="s">
        <v>232</v>
      </c>
      <c r="D15" s="44" t="s">
        <v>71</v>
      </c>
      <c r="E15" s="51">
        <v>1</v>
      </c>
      <c r="F15" s="195">
        <v>3</v>
      </c>
      <c r="G15" s="279">
        <v>0</v>
      </c>
      <c r="H15" s="42">
        <f t="shared" si="0"/>
        <v>0</v>
      </c>
      <c r="I15" s="279">
        <v>0</v>
      </c>
      <c r="J15" s="42">
        <f t="shared" si="1"/>
        <v>0</v>
      </c>
      <c r="K15" s="42"/>
      <c r="L15" s="42"/>
      <c r="M15" s="42">
        <f t="shared" si="2"/>
        <v>0</v>
      </c>
    </row>
    <row r="16" spans="1:13" ht="37.5" x14ac:dyDescent="0.35">
      <c r="A16" s="46">
        <v>7</v>
      </c>
      <c r="B16" s="151"/>
      <c r="C16" s="194" t="s">
        <v>233</v>
      </c>
      <c r="D16" s="44" t="s">
        <v>95</v>
      </c>
      <c r="E16" s="51">
        <v>1</v>
      </c>
      <c r="F16" s="195">
        <v>450</v>
      </c>
      <c r="G16" s="279">
        <v>0</v>
      </c>
      <c r="H16" s="42">
        <f t="shared" si="0"/>
        <v>0</v>
      </c>
      <c r="I16" s="279">
        <v>0</v>
      </c>
      <c r="J16" s="42">
        <f t="shared" ref="J16:J22" si="3">I16*F16</f>
        <v>0</v>
      </c>
      <c r="K16" s="42"/>
      <c r="L16" s="42"/>
      <c r="M16" s="42">
        <f t="shared" si="2"/>
        <v>0</v>
      </c>
    </row>
    <row r="17" spans="1:13" x14ac:dyDescent="0.35">
      <c r="A17" s="46">
        <v>8</v>
      </c>
      <c r="B17" s="189"/>
      <c r="C17" s="194" t="s">
        <v>222</v>
      </c>
      <c r="D17" s="44" t="s">
        <v>71</v>
      </c>
      <c r="E17" s="51">
        <v>1</v>
      </c>
      <c r="F17" s="195">
        <v>14</v>
      </c>
      <c r="G17" s="279">
        <v>0</v>
      </c>
      <c r="H17" s="42">
        <f>G17*F17</f>
        <v>0</v>
      </c>
      <c r="I17" s="279">
        <v>0</v>
      </c>
      <c r="J17" s="42">
        <f t="shared" si="3"/>
        <v>0</v>
      </c>
      <c r="K17" s="42"/>
      <c r="L17" s="42"/>
      <c r="M17" s="42">
        <f t="shared" si="2"/>
        <v>0</v>
      </c>
    </row>
    <row r="18" spans="1:13" x14ac:dyDescent="0.35">
      <c r="A18" s="46">
        <v>9</v>
      </c>
      <c r="B18" s="151"/>
      <c r="C18" s="194" t="s">
        <v>223</v>
      </c>
      <c r="D18" s="44" t="s">
        <v>71</v>
      </c>
      <c r="E18" s="51">
        <v>1</v>
      </c>
      <c r="F18" s="195">
        <v>26</v>
      </c>
      <c r="G18" s="279">
        <v>0</v>
      </c>
      <c r="H18" s="42">
        <f>G18*F18</f>
        <v>0</v>
      </c>
      <c r="I18" s="279">
        <v>0</v>
      </c>
      <c r="J18" s="42">
        <f t="shared" si="3"/>
        <v>0</v>
      </c>
      <c r="K18" s="42"/>
      <c r="L18" s="42"/>
      <c r="M18" s="42">
        <f t="shared" si="2"/>
        <v>0</v>
      </c>
    </row>
    <row r="19" spans="1:13" x14ac:dyDescent="0.35">
      <c r="A19" s="46">
        <v>10</v>
      </c>
      <c r="B19" s="151"/>
      <c r="C19" s="194" t="s">
        <v>234</v>
      </c>
      <c r="D19" s="44" t="s">
        <v>95</v>
      </c>
      <c r="E19" s="51">
        <v>1</v>
      </c>
      <c r="F19" s="195">
        <v>350</v>
      </c>
      <c r="G19" s="279">
        <v>0</v>
      </c>
      <c r="H19" s="42">
        <f>G19*F19</f>
        <v>0</v>
      </c>
      <c r="I19" s="279">
        <v>0</v>
      </c>
      <c r="J19" s="42">
        <f t="shared" si="3"/>
        <v>0</v>
      </c>
      <c r="K19" s="42"/>
      <c r="L19" s="42"/>
      <c r="M19" s="42">
        <f t="shared" si="2"/>
        <v>0</v>
      </c>
    </row>
    <row r="20" spans="1:13" ht="25" x14ac:dyDescent="0.35">
      <c r="A20" s="46">
        <v>11</v>
      </c>
      <c r="B20" s="151"/>
      <c r="C20" s="194" t="s">
        <v>224</v>
      </c>
      <c r="D20" s="190" t="s">
        <v>71</v>
      </c>
      <c r="E20" s="191">
        <v>1</v>
      </c>
      <c r="F20" s="195">
        <v>1</v>
      </c>
      <c r="G20" s="279">
        <v>0</v>
      </c>
      <c r="H20" s="42">
        <f>G20*F20</f>
        <v>0</v>
      </c>
      <c r="I20" s="279">
        <v>0</v>
      </c>
      <c r="J20" s="42">
        <f t="shared" si="3"/>
        <v>0</v>
      </c>
      <c r="K20" s="42"/>
      <c r="L20" s="42"/>
      <c r="M20" s="42">
        <f t="shared" si="2"/>
        <v>0</v>
      </c>
    </row>
    <row r="21" spans="1:13" x14ac:dyDescent="0.35">
      <c r="A21" s="46">
        <v>12</v>
      </c>
      <c r="B21" s="151"/>
      <c r="C21" s="206" t="s">
        <v>225</v>
      </c>
      <c r="D21" s="44" t="s">
        <v>71</v>
      </c>
      <c r="E21" s="37">
        <v>1</v>
      </c>
      <c r="F21" s="208">
        <v>2</v>
      </c>
      <c r="G21" s="279">
        <v>0</v>
      </c>
      <c r="H21" s="42">
        <f>G21*F21</f>
        <v>0</v>
      </c>
      <c r="I21" s="279">
        <v>0</v>
      </c>
      <c r="J21" s="42">
        <f t="shared" si="3"/>
        <v>0</v>
      </c>
      <c r="K21" s="42"/>
      <c r="L21" s="42"/>
      <c r="M21" s="42">
        <f t="shared" si="2"/>
        <v>0</v>
      </c>
    </row>
    <row r="22" spans="1:13" x14ac:dyDescent="0.35">
      <c r="A22" s="46">
        <v>13</v>
      </c>
      <c r="B22" s="189"/>
      <c r="C22" s="206" t="s">
        <v>226</v>
      </c>
      <c r="D22" s="44" t="s">
        <v>141</v>
      </c>
      <c r="E22" s="51">
        <v>1</v>
      </c>
      <c r="F22" s="195">
        <v>1</v>
      </c>
      <c r="G22" s="42"/>
      <c r="H22" s="42"/>
      <c r="I22" s="279">
        <v>0</v>
      </c>
      <c r="J22" s="42">
        <f t="shared" si="3"/>
        <v>0</v>
      </c>
      <c r="K22" s="42"/>
      <c r="L22" s="42"/>
      <c r="M22" s="42">
        <f t="shared" si="2"/>
        <v>0</v>
      </c>
    </row>
    <row r="23" spans="1:13" ht="15" thickBot="1" x14ac:dyDescent="0.4">
      <c r="A23" s="83"/>
      <c r="B23" s="209"/>
      <c r="C23" s="210"/>
      <c r="D23" s="86"/>
      <c r="E23" s="84"/>
      <c r="F23" s="211"/>
      <c r="G23" s="87"/>
      <c r="H23" s="87"/>
      <c r="I23" s="87"/>
      <c r="J23" s="87"/>
      <c r="K23" s="87"/>
      <c r="L23" s="87"/>
      <c r="M23" s="87"/>
    </row>
    <row r="24" spans="1:13" ht="15" thickBot="1" x14ac:dyDescent="0.4">
      <c r="A24" s="212"/>
      <c r="B24" s="213"/>
      <c r="C24" s="131" t="s">
        <v>235</v>
      </c>
      <c r="D24" s="130"/>
      <c r="E24" s="214"/>
      <c r="F24" s="214"/>
      <c r="G24" s="214"/>
      <c r="H24" s="238">
        <f>H10+H11+H12+H13+H14+H15+H16+H17+H18+H19+H20+H21</f>
        <v>0</v>
      </c>
      <c r="I24" s="238"/>
      <c r="J24" s="238">
        <f>J10+J11+J12+J13+J14+J15+J16+J17+J18+J19+J20+J21+J22</f>
        <v>0</v>
      </c>
      <c r="K24" s="238"/>
      <c r="L24" s="238"/>
      <c r="M24" s="287">
        <f>L24+J24+H24</f>
        <v>0</v>
      </c>
    </row>
    <row r="25" spans="1:13" x14ac:dyDescent="0.35">
      <c r="A25" s="46"/>
      <c r="B25" s="44"/>
      <c r="C25" s="77" t="s">
        <v>52</v>
      </c>
      <c r="D25" s="105">
        <v>0.05</v>
      </c>
      <c r="E25" s="46"/>
      <c r="F25" s="46"/>
      <c r="G25" s="42"/>
      <c r="H25" s="42"/>
      <c r="I25" s="42"/>
      <c r="J25" s="42"/>
      <c r="K25" s="42"/>
      <c r="L25" s="42"/>
      <c r="M25" s="42">
        <f>J24*D25</f>
        <v>0</v>
      </c>
    </row>
    <row r="26" spans="1:13" x14ac:dyDescent="0.35">
      <c r="A26" s="46"/>
      <c r="B26" s="46"/>
      <c r="C26" s="64" t="s">
        <v>23</v>
      </c>
      <c r="D26" s="105"/>
      <c r="E26" s="46"/>
      <c r="F26" s="46"/>
      <c r="G26" s="42"/>
      <c r="H26" s="42"/>
      <c r="I26" s="42"/>
      <c r="J26" s="42"/>
      <c r="K26" s="42"/>
      <c r="L26" s="42"/>
      <c r="M26" s="42">
        <f>M24+M25</f>
        <v>0</v>
      </c>
    </row>
    <row r="27" spans="1:13" x14ac:dyDescent="0.35">
      <c r="A27" s="49"/>
      <c r="B27" s="49"/>
      <c r="C27" s="66" t="s">
        <v>53</v>
      </c>
      <c r="D27" s="65">
        <v>0.1</v>
      </c>
      <c r="E27" s="49"/>
      <c r="F27" s="49"/>
      <c r="G27" s="141"/>
      <c r="H27" s="141"/>
      <c r="I27" s="141"/>
      <c r="J27" s="141"/>
      <c r="K27" s="141"/>
      <c r="L27" s="141"/>
      <c r="M27" s="141">
        <f>M26*D27</f>
        <v>0</v>
      </c>
    </row>
    <row r="28" spans="1:13" x14ac:dyDescent="0.35">
      <c r="A28" s="49"/>
      <c r="B28" s="49"/>
      <c r="C28" s="64" t="s">
        <v>23</v>
      </c>
      <c r="D28" s="49"/>
      <c r="E28" s="49"/>
      <c r="F28" s="49"/>
      <c r="G28" s="141"/>
      <c r="H28" s="141"/>
      <c r="I28" s="141"/>
      <c r="J28" s="141"/>
      <c r="K28" s="141"/>
      <c r="L28" s="141"/>
      <c r="M28" s="141">
        <f>M26+M27</f>
        <v>0</v>
      </c>
    </row>
    <row r="29" spans="1:13" x14ac:dyDescent="0.35">
      <c r="A29" s="106"/>
      <c r="B29" s="106"/>
      <c r="C29" s="106" t="s">
        <v>54</v>
      </c>
      <c r="D29" s="107">
        <v>0.08</v>
      </c>
      <c r="E29" s="106"/>
      <c r="F29" s="106"/>
      <c r="G29" s="288"/>
      <c r="H29" s="288"/>
      <c r="I29" s="288"/>
      <c r="J29" s="288"/>
      <c r="K29" s="288"/>
      <c r="L29" s="288"/>
      <c r="M29" s="87">
        <f>M28*D29</f>
        <v>0</v>
      </c>
    </row>
    <row r="30" spans="1:13" x14ac:dyDescent="0.35">
      <c r="A30" s="49"/>
      <c r="B30" s="49"/>
      <c r="C30" s="64" t="s">
        <v>23</v>
      </c>
      <c r="D30" s="49"/>
      <c r="E30" s="49"/>
      <c r="F30" s="49"/>
      <c r="G30" s="141"/>
      <c r="H30" s="141"/>
      <c r="I30" s="141"/>
      <c r="J30" s="141"/>
      <c r="K30" s="141"/>
      <c r="L30" s="141"/>
      <c r="M30" s="141">
        <f>M28+M29</f>
        <v>0</v>
      </c>
    </row>
    <row r="31" spans="1:13" x14ac:dyDescent="0.35">
      <c r="B31" s="30"/>
      <c r="C31" s="33" t="s">
        <v>24</v>
      </c>
      <c r="D31" s="177">
        <v>0.03</v>
      </c>
      <c r="E31" s="95"/>
      <c r="F31" s="95"/>
      <c r="G31" s="182"/>
      <c r="H31" s="182"/>
      <c r="I31" s="182"/>
      <c r="J31" s="182"/>
      <c r="K31" s="182"/>
      <c r="L31" s="182"/>
      <c r="M31" s="182">
        <f>M30*D31</f>
        <v>0</v>
      </c>
    </row>
    <row r="32" spans="1:13" x14ac:dyDescent="0.35">
      <c r="A32" s="169"/>
      <c r="B32" s="169"/>
      <c r="C32" s="203" t="s">
        <v>23</v>
      </c>
      <c r="D32" s="46"/>
      <c r="E32" s="46"/>
      <c r="F32" s="46"/>
      <c r="G32" s="42"/>
      <c r="H32" s="42"/>
      <c r="I32" s="42"/>
      <c r="J32" s="42"/>
      <c r="K32" s="42"/>
      <c r="L32" s="42"/>
      <c r="M32" s="42">
        <f>M30+M31</f>
        <v>0</v>
      </c>
    </row>
    <row r="33" spans="1:13" ht="26.5" thickBot="1" x14ac:dyDescent="0.4">
      <c r="A33" s="119"/>
      <c r="B33" s="30"/>
      <c r="C33" s="128" t="s">
        <v>25</v>
      </c>
      <c r="D33" s="123">
        <v>0.18</v>
      </c>
      <c r="E33" s="83"/>
      <c r="F33" s="83"/>
      <c r="G33" s="87"/>
      <c r="H33" s="87"/>
      <c r="I33" s="87"/>
      <c r="J33" s="87"/>
      <c r="K33" s="87"/>
      <c r="L33" s="87"/>
      <c r="M33" s="87">
        <f>M32*D33</f>
        <v>0</v>
      </c>
    </row>
    <row r="34" spans="1:13" ht="15" thickBot="1" x14ac:dyDescent="0.4">
      <c r="A34" s="212"/>
      <c r="B34" s="223"/>
      <c r="C34" s="110" t="s">
        <v>26</v>
      </c>
      <c r="D34" s="109"/>
      <c r="E34" s="109"/>
      <c r="F34" s="109"/>
      <c r="G34" s="214"/>
      <c r="H34" s="214"/>
      <c r="I34" s="214"/>
      <c r="J34" s="214"/>
      <c r="K34" s="214"/>
      <c r="L34" s="214"/>
      <c r="M34" s="287">
        <f t="shared" ref="M34" si="4">M32+M33</f>
        <v>0</v>
      </c>
    </row>
  </sheetData>
  <sheetProtection algorithmName="SHA-512" hashValue="xlyK4zrKwQMBKv8xdhXTPn2pvPhaH/zi4Wwg2o+G8OR7OrGMtVLxXenIk8nPtjyXTR5lmogfFnjtk8AiYRNfBQ==" saltValue="GJcvMpkCMCj2aSu2Sgf3WQ==" spinCount="100000" sheet="1" objects="1" scenarios="1"/>
  <mergeCells count="16">
    <mergeCell ref="B5:E5"/>
    <mergeCell ref="E6:E7"/>
    <mergeCell ref="F6:F7"/>
    <mergeCell ref="B1:L1"/>
    <mergeCell ref="A2:M2"/>
    <mergeCell ref="A3:M3"/>
    <mergeCell ref="B4:E4"/>
    <mergeCell ref="K4:L4"/>
    <mergeCell ref="I6:J6"/>
    <mergeCell ref="K6:L6"/>
    <mergeCell ref="M6:M7"/>
    <mergeCell ref="A6:A7"/>
    <mergeCell ref="B6:B7"/>
    <mergeCell ref="C6:C7"/>
    <mergeCell ref="D6:D7"/>
    <mergeCell ref="G6:H6"/>
  </mergeCells>
  <pageMargins left="0.95" right="0.45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5AB29-A4B1-4449-9A12-E1809D3897CC}">
  <dimension ref="A1:M33"/>
  <sheetViews>
    <sheetView zoomScale="70" zoomScaleNormal="70" workbookViewId="0">
      <selection activeCell="G10" sqref="G10"/>
    </sheetView>
  </sheetViews>
  <sheetFormatPr defaultRowHeight="14.5" x14ac:dyDescent="0.35"/>
  <cols>
    <col min="1" max="2" width="3.54296875" customWidth="1"/>
    <col min="3" max="3" width="35.7265625" customWidth="1"/>
    <col min="4" max="4" width="6.7265625" customWidth="1"/>
    <col min="5" max="5" width="7.1796875" customWidth="1"/>
    <col min="6" max="6" width="7.7265625" customWidth="1"/>
    <col min="7" max="7" width="8.26953125" customWidth="1"/>
    <col min="8" max="8" width="10.26953125" customWidth="1"/>
    <col min="10" max="10" width="11" customWidth="1"/>
    <col min="11" max="11" width="6.26953125" customWidth="1"/>
    <col min="13" max="13" width="11" customWidth="1"/>
  </cols>
  <sheetData>
    <row r="1" spans="1:13" ht="33" customHeight="1" x14ac:dyDescent="0.35">
      <c r="A1" s="1"/>
      <c r="B1" s="327" t="s">
        <v>92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1"/>
    </row>
    <row r="2" spans="1:13" x14ac:dyDescent="0.35">
      <c r="A2" s="336" t="s">
        <v>22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</row>
    <row r="3" spans="1:13" x14ac:dyDescent="0.35">
      <c r="A3" s="335" t="s">
        <v>236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</row>
    <row r="4" spans="1:13" x14ac:dyDescent="0.35">
      <c r="A4" s="185"/>
      <c r="B4" s="328" t="s">
        <v>2</v>
      </c>
      <c r="C4" s="328"/>
      <c r="D4" s="328"/>
      <c r="E4" s="328"/>
      <c r="F4" s="186"/>
      <c r="G4" s="14"/>
      <c r="H4" s="14"/>
      <c r="I4" s="14"/>
      <c r="J4" s="14"/>
      <c r="K4" s="360">
        <f>M33</f>
        <v>0</v>
      </c>
      <c r="L4" s="360"/>
      <c r="M4" s="202" t="s">
        <v>288</v>
      </c>
    </row>
    <row r="5" spans="1:13" ht="15" thickBot="1" x14ac:dyDescent="0.4">
      <c r="A5" s="13"/>
      <c r="B5" s="329" t="s">
        <v>220</v>
      </c>
      <c r="C5" s="329"/>
      <c r="D5" s="329"/>
      <c r="E5" s="329"/>
      <c r="F5" s="17"/>
      <c r="G5" s="17"/>
      <c r="H5" s="17"/>
      <c r="I5" s="17"/>
      <c r="J5" s="17"/>
      <c r="K5" s="17"/>
      <c r="L5" s="17"/>
      <c r="M5" s="17"/>
    </row>
    <row r="6" spans="1:13" ht="25.5" customHeight="1" x14ac:dyDescent="0.35">
      <c r="A6" s="341" t="s">
        <v>3</v>
      </c>
      <c r="B6" s="333" t="s">
        <v>31</v>
      </c>
      <c r="C6" s="333" t="s">
        <v>32</v>
      </c>
      <c r="D6" s="333" t="s">
        <v>33</v>
      </c>
      <c r="E6" s="333" t="s">
        <v>34</v>
      </c>
      <c r="F6" s="338" t="s">
        <v>35</v>
      </c>
      <c r="G6" s="337" t="s">
        <v>36</v>
      </c>
      <c r="H6" s="337"/>
      <c r="I6" s="337" t="s">
        <v>37</v>
      </c>
      <c r="J6" s="337"/>
      <c r="K6" s="321" t="s">
        <v>38</v>
      </c>
      <c r="L6" s="321"/>
      <c r="M6" s="322" t="s">
        <v>39</v>
      </c>
    </row>
    <row r="7" spans="1:13" ht="59.25" customHeight="1" x14ac:dyDescent="0.35">
      <c r="A7" s="340"/>
      <c r="B7" s="334"/>
      <c r="C7" s="334"/>
      <c r="D7" s="334"/>
      <c r="E7" s="334"/>
      <c r="F7" s="339"/>
      <c r="G7" s="137" t="s">
        <v>40</v>
      </c>
      <c r="H7" s="137" t="s">
        <v>41</v>
      </c>
      <c r="I7" s="137" t="s">
        <v>40</v>
      </c>
      <c r="J7" s="137" t="s">
        <v>41</v>
      </c>
      <c r="K7" s="137" t="s">
        <v>40</v>
      </c>
      <c r="L7" s="137" t="s">
        <v>41</v>
      </c>
      <c r="M7" s="323"/>
    </row>
    <row r="8" spans="1:13" ht="15" thickBot="1" x14ac:dyDescent="0.4">
      <c r="A8" s="220">
        <v>1</v>
      </c>
      <c r="B8" s="221">
        <v>2</v>
      </c>
      <c r="C8" s="221">
        <v>3</v>
      </c>
      <c r="D8" s="221">
        <v>4</v>
      </c>
      <c r="E8" s="221">
        <v>5</v>
      </c>
      <c r="F8" s="221">
        <v>6</v>
      </c>
      <c r="G8" s="221">
        <v>7</v>
      </c>
      <c r="H8" s="221">
        <v>8</v>
      </c>
      <c r="I8" s="221">
        <v>9</v>
      </c>
      <c r="J8" s="221">
        <v>10</v>
      </c>
      <c r="K8" s="221">
        <v>11</v>
      </c>
      <c r="L8" s="221">
        <v>12</v>
      </c>
      <c r="M8" s="222">
        <v>13</v>
      </c>
    </row>
    <row r="9" spans="1:13" x14ac:dyDescent="0.35">
      <c r="A9" s="3"/>
      <c r="B9" s="160"/>
      <c r="C9" s="27" t="s">
        <v>237</v>
      </c>
      <c r="D9" s="73"/>
      <c r="E9" s="60"/>
      <c r="F9" s="3"/>
      <c r="G9" s="95"/>
      <c r="H9" s="95"/>
      <c r="I9" s="95"/>
      <c r="J9" s="95"/>
      <c r="K9" s="95"/>
      <c r="L9" s="95"/>
      <c r="M9" s="95"/>
    </row>
    <row r="10" spans="1:13" ht="25" x14ac:dyDescent="0.35">
      <c r="A10" s="46">
        <v>1</v>
      </c>
      <c r="B10" s="179" t="s">
        <v>139</v>
      </c>
      <c r="C10" s="193" t="s">
        <v>238</v>
      </c>
      <c r="D10" s="44" t="s">
        <v>141</v>
      </c>
      <c r="E10" s="51">
        <v>1</v>
      </c>
      <c r="F10" s="311">
        <v>1</v>
      </c>
      <c r="G10" s="279">
        <v>0</v>
      </c>
      <c r="H10" s="42">
        <f t="shared" ref="H10:H16" si="0">G10*F10</f>
        <v>0</v>
      </c>
      <c r="I10" s="279">
        <v>0</v>
      </c>
      <c r="J10" s="42">
        <f t="shared" ref="J10:J15" si="1">I10*F10</f>
        <v>0</v>
      </c>
      <c r="K10" s="42"/>
      <c r="L10" s="42"/>
      <c r="M10" s="42">
        <f t="shared" ref="M10:M21" si="2">J10+H10</f>
        <v>0</v>
      </c>
    </row>
    <row r="11" spans="1:13" ht="33.75" customHeight="1" x14ac:dyDescent="0.35">
      <c r="A11" s="46">
        <v>2</v>
      </c>
      <c r="B11" s="189"/>
      <c r="C11" s="194" t="s">
        <v>239</v>
      </c>
      <c r="D11" s="44" t="s">
        <v>71</v>
      </c>
      <c r="E11" s="51">
        <v>1</v>
      </c>
      <c r="F11" s="312">
        <v>1</v>
      </c>
      <c r="G11" s="279">
        <v>0</v>
      </c>
      <c r="H11" s="42">
        <f t="shared" si="0"/>
        <v>0</v>
      </c>
      <c r="I11" s="279">
        <v>0</v>
      </c>
      <c r="J11" s="42">
        <f t="shared" si="1"/>
        <v>0</v>
      </c>
      <c r="K11" s="42"/>
      <c r="L11" s="42"/>
      <c r="M11" s="42">
        <f t="shared" si="2"/>
        <v>0</v>
      </c>
    </row>
    <row r="12" spans="1:13" ht="25" x14ac:dyDescent="0.35">
      <c r="A12" s="46">
        <v>3</v>
      </c>
      <c r="B12" s="151"/>
      <c r="C12" s="194" t="s">
        <v>240</v>
      </c>
      <c r="D12" s="190" t="s">
        <v>71</v>
      </c>
      <c r="E12" s="191">
        <v>1</v>
      </c>
      <c r="F12" s="312">
        <v>4</v>
      </c>
      <c r="G12" s="279">
        <v>0</v>
      </c>
      <c r="H12" s="42">
        <f t="shared" si="0"/>
        <v>0</v>
      </c>
      <c r="I12" s="279">
        <v>0</v>
      </c>
      <c r="J12" s="42">
        <f t="shared" si="1"/>
        <v>0</v>
      </c>
      <c r="K12" s="42"/>
      <c r="L12" s="42"/>
      <c r="M12" s="42">
        <f t="shared" si="2"/>
        <v>0</v>
      </c>
    </row>
    <row r="13" spans="1:13" ht="50" x14ac:dyDescent="0.35">
      <c r="A13" s="46">
        <v>4</v>
      </c>
      <c r="B13" s="151"/>
      <c r="C13" s="194" t="s">
        <v>241</v>
      </c>
      <c r="D13" s="44" t="s">
        <v>71</v>
      </c>
      <c r="E13" s="37">
        <v>1</v>
      </c>
      <c r="F13" s="312">
        <v>1</v>
      </c>
      <c r="G13" s="279">
        <v>0</v>
      </c>
      <c r="H13" s="42">
        <f t="shared" si="0"/>
        <v>0</v>
      </c>
      <c r="I13" s="279">
        <v>0</v>
      </c>
      <c r="J13" s="42">
        <f t="shared" si="1"/>
        <v>0</v>
      </c>
      <c r="K13" s="42"/>
      <c r="L13" s="42"/>
      <c r="M13" s="42">
        <f t="shared" si="2"/>
        <v>0</v>
      </c>
    </row>
    <row r="14" spans="1:13" ht="25" x14ac:dyDescent="0.35">
      <c r="A14" s="95">
        <v>5</v>
      </c>
      <c r="B14" s="160"/>
      <c r="C14" s="194" t="s">
        <v>242</v>
      </c>
      <c r="D14" s="44" t="s">
        <v>71</v>
      </c>
      <c r="E14" s="51">
        <v>1</v>
      </c>
      <c r="F14" s="312">
        <v>1</v>
      </c>
      <c r="G14" s="279">
        <v>0</v>
      </c>
      <c r="H14" s="42">
        <f t="shared" si="0"/>
        <v>0</v>
      </c>
      <c r="I14" s="279">
        <v>0</v>
      </c>
      <c r="J14" s="42">
        <f t="shared" si="1"/>
        <v>0</v>
      </c>
      <c r="K14" s="42"/>
      <c r="L14" s="42"/>
      <c r="M14" s="42">
        <f t="shared" si="2"/>
        <v>0</v>
      </c>
    </row>
    <row r="15" spans="1:13" ht="25" x14ac:dyDescent="0.35">
      <c r="A15" s="95">
        <v>6</v>
      </c>
      <c r="B15" s="160"/>
      <c r="C15" s="194" t="s">
        <v>243</v>
      </c>
      <c r="D15" s="44" t="s">
        <v>71</v>
      </c>
      <c r="E15" s="51">
        <v>1</v>
      </c>
      <c r="F15" s="312">
        <v>1</v>
      </c>
      <c r="G15" s="279">
        <v>0</v>
      </c>
      <c r="H15" s="42">
        <f t="shared" si="0"/>
        <v>0</v>
      </c>
      <c r="I15" s="279">
        <v>0</v>
      </c>
      <c r="J15" s="42">
        <f t="shared" si="1"/>
        <v>0</v>
      </c>
      <c r="K15" s="42"/>
      <c r="L15" s="42"/>
      <c r="M15" s="42">
        <f t="shared" si="2"/>
        <v>0</v>
      </c>
    </row>
    <row r="16" spans="1:13" ht="25" x14ac:dyDescent="0.35">
      <c r="A16" s="46">
        <v>7</v>
      </c>
      <c r="B16" s="151"/>
      <c r="C16" s="194" t="s">
        <v>244</v>
      </c>
      <c r="D16" s="44" t="s">
        <v>71</v>
      </c>
      <c r="E16" s="51">
        <v>1</v>
      </c>
      <c r="F16" s="312">
        <v>1</v>
      </c>
      <c r="G16" s="279">
        <v>0</v>
      </c>
      <c r="H16" s="42">
        <f t="shared" si="0"/>
        <v>0</v>
      </c>
      <c r="I16" s="279">
        <v>0</v>
      </c>
      <c r="J16" s="42">
        <f t="shared" ref="J16:J21" si="3">I16*F16</f>
        <v>0</v>
      </c>
      <c r="K16" s="42"/>
      <c r="L16" s="42"/>
      <c r="M16" s="42">
        <f t="shared" si="2"/>
        <v>0</v>
      </c>
    </row>
    <row r="17" spans="1:13" x14ac:dyDescent="0.35">
      <c r="A17" s="46">
        <v>8</v>
      </c>
      <c r="B17" s="189"/>
      <c r="C17" s="194" t="s">
        <v>245</v>
      </c>
      <c r="D17" s="44" t="s">
        <v>71</v>
      </c>
      <c r="E17" s="51">
        <v>1</v>
      </c>
      <c r="F17" s="312">
        <v>1</v>
      </c>
      <c r="G17" s="279">
        <v>0</v>
      </c>
      <c r="H17" s="42">
        <f>G17*F17</f>
        <v>0</v>
      </c>
      <c r="I17" s="279">
        <v>0</v>
      </c>
      <c r="J17" s="42">
        <f t="shared" si="3"/>
        <v>0</v>
      </c>
      <c r="K17" s="42"/>
      <c r="L17" s="42"/>
      <c r="M17" s="42">
        <f t="shared" si="2"/>
        <v>0</v>
      </c>
    </row>
    <row r="18" spans="1:13" ht="25" x14ac:dyDescent="0.35">
      <c r="A18" s="46">
        <v>9</v>
      </c>
      <c r="B18" s="151"/>
      <c r="C18" s="194" t="s">
        <v>246</v>
      </c>
      <c r="D18" s="44" t="s">
        <v>95</v>
      </c>
      <c r="E18" s="51">
        <v>1</v>
      </c>
      <c r="F18" s="312">
        <v>260</v>
      </c>
      <c r="G18" s="279">
        <v>0</v>
      </c>
      <c r="H18" s="42">
        <f>G18*F18</f>
        <v>0</v>
      </c>
      <c r="I18" s="279">
        <v>0</v>
      </c>
      <c r="J18" s="42">
        <f t="shared" si="3"/>
        <v>0</v>
      </c>
      <c r="K18" s="42"/>
      <c r="L18" s="42"/>
      <c r="M18" s="42">
        <f t="shared" si="2"/>
        <v>0</v>
      </c>
    </row>
    <row r="19" spans="1:13" ht="25" x14ac:dyDescent="0.35">
      <c r="A19" s="46">
        <v>10</v>
      </c>
      <c r="B19" s="151"/>
      <c r="C19" s="194" t="s">
        <v>247</v>
      </c>
      <c r="D19" s="44" t="s">
        <v>71</v>
      </c>
      <c r="E19" s="51">
        <v>1</v>
      </c>
      <c r="F19" s="312">
        <v>6</v>
      </c>
      <c r="G19" s="279">
        <v>0</v>
      </c>
      <c r="H19" s="42">
        <f>G19*F19</f>
        <v>0</v>
      </c>
      <c r="I19" s="279">
        <v>0</v>
      </c>
      <c r="J19" s="42">
        <f t="shared" si="3"/>
        <v>0</v>
      </c>
      <c r="K19" s="42"/>
      <c r="L19" s="42"/>
      <c r="M19" s="42">
        <f t="shared" si="2"/>
        <v>0</v>
      </c>
    </row>
    <row r="20" spans="1:13" ht="25" x14ac:dyDescent="0.35">
      <c r="A20" s="46">
        <v>11</v>
      </c>
      <c r="B20" s="151"/>
      <c r="C20" s="194" t="s">
        <v>248</v>
      </c>
      <c r="D20" s="190" t="s">
        <v>95</v>
      </c>
      <c r="E20" s="191">
        <v>1</v>
      </c>
      <c r="F20" s="312">
        <v>200</v>
      </c>
      <c r="G20" s="279">
        <v>0</v>
      </c>
      <c r="H20" s="42">
        <f>G20*F20</f>
        <v>0</v>
      </c>
      <c r="I20" s="279">
        <v>0</v>
      </c>
      <c r="J20" s="42">
        <f t="shared" si="3"/>
        <v>0</v>
      </c>
      <c r="K20" s="42"/>
      <c r="L20" s="42"/>
      <c r="M20" s="42">
        <f t="shared" si="2"/>
        <v>0</v>
      </c>
    </row>
    <row r="21" spans="1:13" x14ac:dyDescent="0.35">
      <c r="A21" s="46">
        <v>12</v>
      </c>
      <c r="B21" s="189"/>
      <c r="C21" s="313" t="s">
        <v>226</v>
      </c>
      <c r="D21" s="44" t="s">
        <v>29</v>
      </c>
      <c r="E21" s="51">
        <v>1</v>
      </c>
      <c r="F21" s="314">
        <v>1</v>
      </c>
      <c r="G21" s="42"/>
      <c r="H21" s="42"/>
      <c r="I21" s="279">
        <v>0</v>
      </c>
      <c r="J21" s="42">
        <f t="shared" si="3"/>
        <v>0</v>
      </c>
      <c r="K21" s="42"/>
      <c r="L21" s="42"/>
      <c r="M21" s="42">
        <f t="shared" si="2"/>
        <v>0</v>
      </c>
    </row>
    <row r="22" spans="1:13" ht="16.5" thickBot="1" x14ac:dyDescent="0.4">
      <c r="A22" s="83"/>
      <c r="B22" s="209"/>
      <c r="C22" s="315"/>
      <c r="D22" s="86"/>
      <c r="E22" s="84"/>
      <c r="F22" s="316"/>
      <c r="G22" s="87"/>
      <c r="H22" s="87"/>
      <c r="I22" s="87"/>
      <c r="J22" s="87"/>
      <c r="K22" s="87"/>
      <c r="L22" s="87"/>
      <c r="M22" s="87"/>
    </row>
    <row r="23" spans="1:13" ht="15" thickBot="1" x14ac:dyDescent="0.4">
      <c r="A23" s="212"/>
      <c r="B23" s="213"/>
      <c r="C23" s="131" t="s">
        <v>235</v>
      </c>
      <c r="D23" s="130"/>
      <c r="E23" s="214"/>
      <c r="F23" s="214"/>
      <c r="G23" s="214"/>
      <c r="H23" s="238">
        <f>H10+H11+H12+H13+H14+H15+H16+H17+H18+H19+H20</f>
        <v>0</v>
      </c>
      <c r="I23" s="238"/>
      <c r="J23" s="238">
        <f>J10+J11+J12+J13+J14+J15+J16+J17+J18+J19+J20+J21</f>
        <v>0</v>
      </c>
      <c r="K23" s="238"/>
      <c r="L23" s="238"/>
      <c r="M23" s="287">
        <f>L23+J23+H23</f>
        <v>0</v>
      </c>
    </row>
    <row r="24" spans="1:13" x14ac:dyDescent="0.35">
      <c r="A24" s="46"/>
      <c r="B24" s="44"/>
      <c r="C24" s="77" t="s">
        <v>52</v>
      </c>
      <c r="D24" s="105">
        <v>0.05</v>
      </c>
      <c r="E24" s="46"/>
      <c r="F24" s="46"/>
      <c r="G24" s="42"/>
      <c r="H24" s="42"/>
      <c r="I24" s="42"/>
      <c r="J24" s="42"/>
      <c r="K24" s="42"/>
      <c r="L24" s="42"/>
      <c r="M24" s="42">
        <f>J23*D24</f>
        <v>0</v>
      </c>
    </row>
    <row r="25" spans="1:13" x14ac:dyDescent="0.35">
      <c r="A25" s="46"/>
      <c r="B25" s="46"/>
      <c r="C25" s="64" t="s">
        <v>23</v>
      </c>
      <c r="D25" s="105"/>
      <c r="E25" s="46"/>
      <c r="F25" s="46"/>
      <c r="G25" s="42"/>
      <c r="H25" s="42"/>
      <c r="I25" s="42"/>
      <c r="J25" s="42"/>
      <c r="K25" s="42"/>
      <c r="L25" s="42"/>
      <c r="M25" s="42">
        <f>M23+M24</f>
        <v>0</v>
      </c>
    </row>
    <row r="26" spans="1:13" x14ac:dyDescent="0.35">
      <c r="A26" s="49"/>
      <c r="B26" s="49"/>
      <c r="C26" s="66" t="s">
        <v>53</v>
      </c>
      <c r="D26" s="65">
        <v>0.1</v>
      </c>
      <c r="E26" s="49"/>
      <c r="F26" s="49"/>
      <c r="G26" s="141"/>
      <c r="H26" s="141"/>
      <c r="I26" s="141"/>
      <c r="J26" s="141"/>
      <c r="K26" s="141"/>
      <c r="L26" s="141"/>
      <c r="M26" s="141">
        <f>M25*D26</f>
        <v>0</v>
      </c>
    </row>
    <row r="27" spans="1:13" x14ac:dyDescent="0.35">
      <c r="A27" s="49"/>
      <c r="B27" s="49"/>
      <c r="C27" s="64" t="s">
        <v>23</v>
      </c>
      <c r="D27" s="49"/>
      <c r="E27" s="49"/>
      <c r="F27" s="49"/>
      <c r="G27" s="141"/>
      <c r="H27" s="141"/>
      <c r="I27" s="141"/>
      <c r="J27" s="141"/>
      <c r="K27" s="141"/>
      <c r="L27" s="141"/>
      <c r="M27" s="141">
        <f>M25+M26</f>
        <v>0</v>
      </c>
    </row>
    <row r="28" spans="1:13" x14ac:dyDescent="0.35">
      <c r="A28" s="106"/>
      <c r="B28" s="106"/>
      <c r="C28" s="106" t="s">
        <v>54</v>
      </c>
      <c r="D28" s="107">
        <v>0.08</v>
      </c>
      <c r="E28" s="106"/>
      <c r="F28" s="106"/>
      <c r="G28" s="288"/>
      <c r="H28" s="288"/>
      <c r="I28" s="288"/>
      <c r="J28" s="288"/>
      <c r="K28" s="288"/>
      <c r="L28" s="288"/>
      <c r="M28" s="87">
        <f>M27*D28</f>
        <v>0</v>
      </c>
    </row>
    <row r="29" spans="1:13" x14ac:dyDescent="0.35">
      <c r="A29" s="49"/>
      <c r="B29" s="49"/>
      <c r="C29" s="64" t="s">
        <v>23</v>
      </c>
      <c r="D29" s="49"/>
      <c r="E29" s="49"/>
      <c r="F29" s="49"/>
      <c r="G29" s="141"/>
      <c r="H29" s="141"/>
      <c r="I29" s="141"/>
      <c r="J29" s="141"/>
      <c r="K29" s="141"/>
      <c r="L29" s="141"/>
      <c r="M29" s="141">
        <f>M27+M28</f>
        <v>0</v>
      </c>
    </row>
    <row r="30" spans="1:13" x14ac:dyDescent="0.35">
      <c r="B30" s="30"/>
      <c r="C30" s="33" t="s">
        <v>24</v>
      </c>
      <c r="D30" s="177">
        <v>0.03</v>
      </c>
      <c r="E30" s="95"/>
      <c r="F30" s="95"/>
      <c r="G30" s="182"/>
      <c r="H30" s="182"/>
      <c r="I30" s="182"/>
      <c r="J30" s="182"/>
      <c r="K30" s="182"/>
      <c r="L30" s="182"/>
      <c r="M30" s="182">
        <f>M29*D30</f>
        <v>0</v>
      </c>
    </row>
    <row r="31" spans="1:13" x14ac:dyDescent="0.35">
      <c r="A31" s="169"/>
      <c r="B31" s="169"/>
      <c r="C31" s="203" t="s">
        <v>23</v>
      </c>
      <c r="D31" s="46"/>
      <c r="E31" s="46"/>
      <c r="F31" s="46"/>
      <c r="G31" s="42"/>
      <c r="H31" s="42"/>
      <c r="I31" s="42"/>
      <c r="J31" s="42"/>
      <c r="K31" s="42"/>
      <c r="L31" s="42"/>
      <c r="M31" s="42">
        <f>M29+M30</f>
        <v>0</v>
      </c>
    </row>
    <row r="32" spans="1:13" ht="26.5" thickBot="1" x14ac:dyDescent="0.4">
      <c r="A32" s="119"/>
      <c r="B32" s="30"/>
      <c r="C32" s="128" t="s">
        <v>25</v>
      </c>
      <c r="D32" s="123">
        <v>0.18</v>
      </c>
      <c r="E32" s="83"/>
      <c r="F32" s="83"/>
      <c r="G32" s="87"/>
      <c r="H32" s="87"/>
      <c r="I32" s="87"/>
      <c r="J32" s="87"/>
      <c r="K32" s="87"/>
      <c r="L32" s="87"/>
      <c r="M32" s="87">
        <f>M31*D32</f>
        <v>0</v>
      </c>
    </row>
    <row r="33" spans="1:13" ht="15" thickBot="1" x14ac:dyDescent="0.4">
      <c r="A33" s="212"/>
      <c r="B33" s="223"/>
      <c r="C33" s="110" t="s">
        <v>26</v>
      </c>
      <c r="D33" s="109"/>
      <c r="E33" s="109"/>
      <c r="F33" s="109"/>
      <c r="G33" s="214"/>
      <c r="H33" s="214"/>
      <c r="I33" s="214"/>
      <c r="J33" s="214"/>
      <c r="K33" s="214"/>
      <c r="L33" s="214"/>
      <c r="M33" s="287">
        <f t="shared" ref="M33" si="4">M31+M32</f>
        <v>0</v>
      </c>
    </row>
  </sheetData>
  <sheetProtection algorithmName="SHA-512" hashValue="5ZnYqDSd3RCdqNEcA4BuuLDKwr7YOFaQUwAJh69o/uy1zpfcmQYin7s36O3gmsa6T9vWTiKLq/F38KJaIm1ibQ==" saltValue="jofONgdi0L4YWBwMBaNIqw==" spinCount="100000" sheet="1" objects="1" scenarios="1"/>
  <mergeCells count="16">
    <mergeCell ref="B5:E5"/>
    <mergeCell ref="E6:E7"/>
    <mergeCell ref="F6:F7"/>
    <mergeCell ref="B1:L1"/>
    <mergeCell ref="A2:M2"/>
    <mergeCell ref="A3:M3"/>
    <mergeCell ref="B4:E4"/>
    <mergeCell ref="K4:L4"/>
    <mergeCell ref="I6:J6"/>
    <mergeCell ref="K6:L6"/>
    <mergeCell ref="M6:M7"/>
    <mergeCell ref="A6:A7"/>
    <mergeCell ref="B6:B7"/>
    <mergeCell ref="C6:C7"/>
    <mergeCell ref="D6:D7"/>
    <mergeCell ref="G6:H6"/>
  </mergeCells>
  <conditionalFormatting sqref="C22">
    <cfRule type="containsErrors" dxfId="0" priority="1">
      <formula>ISERROR(C22)</formula>
    </cfRule>
  </conditionalFormatting>
  <pageMargins left="0.95" right="0.45" top="0.75" bottom="0.75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679-E828-47F6-B810-F51FD5C26703}">
  <dimension ref="A1:M34"/>
  <sheetViews>
    <sheetView zoomScale="80" zoomScaleNormal="80" workbookViewId="0">
      <selection activeCell="D10" sqref="D10"/>
    </sheetView>
  </sheetViews>
  <sheetFormatPr defaultRowHeight="14.5" x14ac:dyDescent="0.35"/>
  <cols>
    <col min="1" max="1" width="3" customWidth="1"/>
    <col min="2" max="2" width="4.1796875" customWidth="1"/>
    <col min="3" max="3" width="29.54296875" customWidth="1"/>
    <col min="4" max="4" width="7.453125" customWidth="1"/>
    <col min="5" max="5" width="6.453125" customWidth="1"/>
    <col min="6" max="6" width="10" customWidth="1"/>
    <col min="7" max="7" width="9.1796875" customWidth="1"/>
    <col min="8" max="8" width="10.453125" customWidth="1"/>
    <col min="9" max="9" width="9.81640625" customWidth="1"/>
    <col min="10" max="10" width="10.26953125" customWidth="1"/>
    <col min="13" max="13" width="11" customWidth="1"/>
  </cols>
  <sheetData>
    <row r="1" spans="1:13" x14ac:dyDescent="0.35">
      <c r="A1" s="1"/>
      <c r="B1" s="327" t="s">
        <v>92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1"/>
    </row>
    <row r="2" spans="1:13" x14ac:dyDescent="0.35">
      <c r="A2" s="336" t="s">
        <v>317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</row>
    <row r="3" spans="1:13" x14ac:dyDescent="0.35">
      <c r="A3" s="335" t="s">
        <v>293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</row>
    <row r="4" spans="1:13" x14ac:dyDescent="0.35">
      <c r="A4" s="185"/>
      <c r="B4" s="328" t="s">
        <v>2</v>
      </c>
      <c r="C4" s="328"/>
      <c r="D4" s="328"/>
      <c r="E4" s="328"/>
      <c r="F4" s="186"/>
      <c r="G4" s="14"/>
      <c r="H4" s="14"/>
      <c r="I4" s="14"/>
      <c r="J4" s="14"/>
      <c r="K4" s="360">
        <f>M34</f>
        <v>0</v>
      </c>
      <c r="L4" s="360"/>
      <c r="M4" s="202" t="s">
        <v>29</v>
      </c>
    </row>
    <row r="5" spans="1:13" ht="15" thickBot="1" x14ac:dyDescent="0.4">
      <c r="A5" s="13"/>
      <c r="B5" s="361" t="s">
        <v>220</v>
      </c>
      <c r="C5" s="361"/>
      <c r="D5" s="361"/>
      <c r="E5" s="361"/>
      <c r="F5" s="361"/>
      <c r="G5" s="17"/>
      <c r="H5" s="17"/>
      <c r="I5" s="17"/>
      <c r="J5" s="17"/>
      <c r="K5" s="17"/>
      <c r="L5" s="17"/>
      <c r="M5" s="17"/>
    </row>
    <row r="6" spans="1:13" x14ac:dyDescent="0.35">
      <c r="A6" s="341" t="s">
        <v>3</v>
      </c>
      <c r="B6" s="333" t="s">
        <v>31</v>
      </c>
      <c r="C6" s="333" t="s">
        <v>32</v>
      </c>
      <c r="D6" s="333" t="s">
        <v>33</v>
      </c>
      <c r="E6" s="333" t="s">
        <v>34</v>
      </c>
      <c r="F6" s="338" t="s">
        <v>35</v>
      </c>
      <c r="G6" s="337" t="s">
        <v>36</v>
      </c>
      <c r="H6" s="337"/>
      <c r="I6" s="337" t="s">
        <v>37</v>
      </c>
      <c r="J6" s="337"/>
      <c r="K6" s="321" t="s">
        <v>38</v>
      </c>
      <c r="L6" s="321"/>
      <c r="M6" s="322" t="s">
        <v>39</v>
      </c>
    </row>
    <row r="7" spans="1:13" ht="54" customHeight="1" x14ac:dyDescent="0.35">
      <c r="A7" s="340"/>
      <c r="B7" s="334"/>
      <c r="C7" s="334"/>
      <c r="D7" s="334"/>
      <c r="E7" s="334"/>
      <c r="F7" s="339"/>
      <c r="G7" s="137" t="s">
        <v>40</v>
      </c>
      <c r="H7" s="137" t="s">
        <v>41</v>
      </c>
      <c r="I7" s="137" t="s">
        <v>40</v>
      </c>
      <c r="J7" s="137" t="s">
        <v>41</v>
      </c>
      <c r="K7" s="137" t="s">
        <v>40</v>
      </c>
      <c r="L7" s="137" t="s">
        <v>41</v>
      </c>
      <c r="M7" s="323"/>
    </row>
    <row r="8" spans="1:13" ht="15" thickBot="1" x14ac:dyDescent="0.4">
      <c r="A8" s="220">
        <v>1</v>
      </c>
      <c r="B8" s="221">
        <v>2</v>
      </c>
      <c r="C8" s="221">
        <v>3</v>
      </c>
      <c r="D8" s="221">
        <v>4</v>
      </c>
      <c r="E8" s="221">
        <v>5</v>
      </c>
      <c r="F8" s="221">
        <v>6</v>
      </c>
      <c r="G8" s="221">
        <v>7</v>
      </c>
      <c r="H8" s="221">
        <v>8</v>
      </c>
      <c r="I8" s="221">
        <v>9</v>
      </c>
      <c r="J8" s="221">
        <v>10</v>
      </c>
      <c r="K8" s="221">
        <v>11</v>
      </c>
      <c r="L8" s="221">
        <v>12</v>
      </c>
      <c r="M8" s="222">
        <v>13</v>
      </c>
    </row>
    <row r="9" spans="1:13" ht="29.25" customHeight="1" x14ac:dyDescent="0.35">
      <c r="A9" s="46">
        <v>1</v>
      </c>
      <c r="B9" s="179" t="s">
        <v>139</v>
      </c>
      <c r="C9" s="72" t="s">
        <v>318</v>
      </c>
      <c r="D9" s="73" t="s">
        <v>141</v>
      </c>
      <c r="E9" s="60">
        <v>1</v>
      </c>
      <c r="F9" s="3">
        <v>1</v>
      </c>
      <c r="G9" s="298">
        <v>0</v>
      </c>
      <c r="H9" s="182">
        <f>G9*F9</f>
        <v>0</v>
      </c>
      <c r="I9" s="182"/>
      <c r="J9" s="182"/>
      <c r="K9" s="182"/>
      <c r="L9" s="182"/>
      <c r="M9" s="182">
        <f>H9</f>
        <v>0</v>
      </c>
    </row>
    <row r="10" spans="1:13" ht="25" x14ac:dyDescent="0.35">
      <c r="A10" s="46">
        <v>2</v>
      </c>
      <c r="B10" s="179"/>
      <c r="C10" s="193" t="s">
        <v>319</v>
      </c>
      <c r="D10" s="44" t="s">
        <v>141</v>
      </c>
      <c r="E10" s="51">
        <v>1</v>
      </c>
      <c r="F10" s="317">
        <v>666</v>
      </c>
      <c r="G10" s="42"/>
      <c r="H10" s="42"/>
      <c r="I10" s="279">
        <v>0</v>
      </c>
      <c r="J10" s="42">
        <f>I10*F10</f>
        <v>0</v>
      </c>
      <c r="K10" s="42"/>
      <c r="L10" s="42"/>
      <c r="M10" s="42">
        <f t="shared" ref="M10:M25" si="0">J10</f>
        <v>0</v>
      </c>
    </row>
    <row r="11" spans="1:13" ht="25" x14ac:dyDescent="0.35">
      <c r="A11" s="46">
        <v>3</v>
      </c>
      <c r="B11" s="189"/>
      <c r="C11" s="194" t="s">
        <v>320</v>
      </c>
      <c r="D11" s="44" t="s">
        <v>141</v>
      </c>
      <c r="E11" s="51">
        <v>1</v>
      </c>
      <c r="F11" s="317">
        <v>2</v>
      </c>
      <c r="G11" s="42"/>
      <c r="H11" s="42"/>
      <c r="I11" s="279">
        <v>0</v>
      </c>
      <c r="J11" s="42">
        <f>I11*F11</f>
        <v>0</v>
      </c>
      <c r="K11" s="42"/>
      <c r="L11" s="42"/>
      <c r="M11" s="42">
        <f t="shared" si="0"/>
        <v>0</v>
      </c>
    </row>
    <row r="12" spans="1:13" x14ac:dyDescent="0.35">
      <c r="A12" s="46">
        <v>4</v>
      </c>
      <c r="B12" s="151"/>
      <c r="C12" s="194" t="s">
        <v>335</v>
      </c>
      <c r="D12" s="44" t="s">
        <v>71</v>
      </c>
      <c r="E12" s="51">
        <v>1</v>
      </c>
      <c r="F12" s="318">
        <v>1</v>
      </c>
      <c r="G12" s="42"/>
      <c r="H12" s="42"/>
      <c r="I12" s="279">
        <v>0</v>
      </c>
      <c r="J12" s="42">
        <f t="shared" ref="J12" si="1">I12*F12</f>
        <v>0</v>
      </c>
      <c r="K12" s="42"/>
      <c r="L12" s="42"/>
      <c r="M12" s="42">
        <f t="shared" si="0"/>
        <v>0</v>
      </c>
    </row>
    <row r="13" spans="1:13" x14ac:dyDescent="0.35">
      <c r="A13" s="95">
        <v>5</v>
      </c>
      <c r="B13" s="151"/>
      <c r="C13" s="194" t="s">
        <v>321</v>
      </c>
      <c r="D13" s="44" t="s">
        <v>71</v>
      </c>
      <c r="E13" s="51">
        <v>1</v>
      </c>
      <c r="F13" s="318">
        <v>1</v>
      </c>
      <c r="G13" s="42"/>
      <c r="H13" s="42"/>
      <c r="I13" s="279">
        <v>0</v>
      </c>
      <c r="J13" s="42">
        <f t="shared" ref="J13:J15" si="2">I13*F13</f>
        <v>0</v>
      </c>
      <c r="K13" s="42"/>
      <c r="L13" s="42"/>
      <c r="M13" s="42">
        <f t="shared" si="0"/>
        <v>0</v>
      </c>
    </row>
    <row r="14" spans="1:13" x14ac:dyDescent="0.35">
      <c r="A14" s="95">
        <v>6</v>
      </c>
      <c r="B14" s="160"/>
      <c r="C14" s="194" t="s">
        <v>322</v>
      </c>
      <c r="D14" s="44" t="s">
        <v>71</v>
      </c>
      <c r="E14" s="51">
        <v>1</v>
      </c>
      <c r="F14" s="318">
        <v>100</v>
      </c>
      <c r="G14" s="42"/>
      <c r="H14" s="42"/>
      <c r="I14" s="279">
        <v>0</v>
      </c>
      <c r="J14" s="42">
        <f t="shared" si="2"/>
        <v>0</v>
      </c>
      <c r="K14" s="42"/>
      <c r="L14" s="42"/>
      <c r="M14" s="42">
        <f t="shared" si="0"/>
        <v>0</v>
      </c>
    </row>
    <row r="15" spans="1:13" ht="30" customHeight="1" x14ac:dyDescent="0.35">
      <c r="A15" s="46">
        <v>7</v>
      </c>
      <c r="B15" s="160"/>
      <c r="C15" s="194" t="s">
        <v>323</v>
      </c>
      <c r="D15" s="44" t="s">
        <v>95</v>
      </c>
      <c r="E15" s="51">
        <v>1</v>
      </c>
      <c r="F15" s="318">
        <v>4000</v>
      </c>
      <c r="G15" s="42"/>
      <c r="H15" s="42"/>
      <c r="I15" s="279">
        <v>0</v>
      </c>
      <c r="J15" s="42">
        <f t="shared" si="2"/>
        <v>0</v>
      </c>
      <c r="K15" s="42"/>
      <c r="L15" s="42"/>
      <c r="M15" s="42">
        <f t="shared" si="0"/>
        <v>0</v>
      </c>
    </row>
    <row r="16" spans="1:13" ht="25" x14ac:dyDescent="0.35">
      <c r="A16" s="46">
        <v>8</v>
      </c>
      <c r="B16" s="189"/>
      <c r="C16" s="194" t="s">
        <v>324</v>
      </c>
      <c r="D16" s="44" t="s">
        <v>95</v>
      </c>
      <c r="E16" s="51">
        <v>1</v>
      </c>
      <c r="F16" s="318">
        <v>120</v>
      </c>
      <c r="G16" s="42"/>
      <c r="H16" s="42"/>
      <c r="I16" s="279">
        <v>0</v>
      </c>
      <c r="J16" s="42">
        <f t="shared" ref="J16:J23" si="3">I16*F16</f>
        <v>0</v>
      </c>
      <c r="K16" s="42"/>
      <c r="L16" s="42"/>
      <c r="M16" s="42">
        <f t="shared" si="0"/>
        <v>0</v>
      </c>
    </row>
    <row r="17" spans="1:13" ht="25" x14ac:dyDescent="0.35">
      <c r="A17" s="46">
        <v>9</v>
      </c>
      <c r="B17" s="151"/>
      <c r="C17" s="194" t="s">
        <v>325</v>
      </c>
      <c r="D17" s="44" t="s">
        <v>95</v>
      </c>
      <c r="E17" s="51">
        <v>1</v>
      </c>
      <c r="F17" s="318">
        <v>60</v>
      </c>
      <c r="G17" s="42"/>
      <c r="H17" s="42"/>
      <c r="I17" s="279">
        <v>0</v>
      </c>
      <c r="J17" s="42">
        <f t="shared" si="3"/>
        <v>0</v>
      </c>
      <c r="K17" s="42"/>
      <c r="L17" s="42"/>
      <c r="M17" s="42">
        <f t="shared" si="0"/>
        <v>0</v>
      </c>
    </row>
    <row r="18" spans="1:13" x14ac:dyDescent="0.35">
      <c r="A18" s="46">
        <v>10</v>
      </c>
      <c r="B18" s="151"/>
      <c r="C18" s="194" t="s">
        <v>326</v>
      </c>
      <c r="D18" s="44" t="s">
        <v>95</v>
      </c>
      <c r="E18" s="51">
        <v>1</v>
      </c>
      <c r="F18" s="318">
        <v>100</v>
      </c>
      <c r="G18" s="42"/>
      <c r="H18" s="42"/>
      <c r="I18" s="279">
        <v>0</v>
      </c>
      <c r="J18" s="42">
        <f t="shared" si="3"/>
        <v>0</v>
      </c>
      <c r="K18" s="42"/>
      <c r="L18" s="42"/>
      <c r="M18" s="42">
        <f t="shared" si="0"/>
        <v>0</v>
      </c>
    </row>
    <row r="19" spans="1:13" x14ac:dyDescent="0.35">
      <c r="A19" s="46">
        <v>11</v>
      </c>
      <c r="B19" s="151"/>
      <c r="C19" s="319" t="s">
        <v>327</v>
      </c>
      <c r="D19" s="190" t="s">
        <v>95</v>
      </c>
      <c r="E19" s="191">
        <v>1</v>
      </c>
      <c r="F19" s="318">
        <v>150</v>
      </c>
      <c r="G19" s="42"/>
      <c r="H19" s="42"/>
      <c r="I19" s="279">
        <v>0</v>
      </c>
      <c r="J19" s="42">
        <f t="shared" si="3"/>
        <v>0</v>
      </c>
      <c r="K19" s="42"/>
      <c r="L19" s="42"/>
      <c r="M19" s="42">
        <f t="shared" si="0"/>
        <v>0</v>
      </c>
    </row>
    <row r="20" spans="1:13" x14ac:dyDescent="0.35">
      <c r="A20" s="46">
        <v>12</v>
      </c>
      <c r="B20" s="151"/>
      <c r="C20" s="194" t="s">
        <v>328</v>
      </c>
      <c r="D20" s="44" t="s">
        <v>71</v>
      </c>
      <c r="E20" s="37">
        <v>1</v>
      </c>
      <c r="F20" s="318">
        <v>2</v>
      </c>
      <c r="G20" s="42"/>
      <c r="H20" s="42"/>
      <c r="I20" s="279">
        <v>0</v>
      </c>
      <c r="J20" s="42">
        <f t="shared" si="3"/>
        <v>0</v>
      </c>
      <c r="K20" s="42"/>
      <c r="L20" s="42"/>
      <c r="M20" s="42">
        <f t="shared" si="0"/>
        <v>0</v>
      </c>
    </row>
    <row r="21" spans="1:13" x14ac:dyDescent="0.35">
      <c r="A21" s="46">
        <v>13</v>
      </c>
      <c r="B21" s="189"/>
      <c r="C21" s="194" t="s">
        <v>329</v>
      </c>
      <c r="D21" s="44" t="s">
        <v>71</v>
      </c>
      <c r="E21" s="51">
        <v>1</v>
      </c>
      <c r="F21" s="318">
        <v>1</v>
      </c>
      <c r="G21" s="42"/>
      <c r="H21" s="42"/>
      <c r="I21" s="279">
        <v>0</v>
      </c>
      <c r="J21" s="42">
        <f t="shared" si="3"/>
        <v>0</v>
      </c>
      <c r="K21" s="42"/>
      <c r="L21" s="42"/>
      <c r="M21" s="42">
        <f t="shared" si="0"/>
        <v>0</v>
      </c>
    </row>
    <row r="22" spans="1:13" ht="25" x14ac:dyDescent="0.35">
      <c r="A22" s="46">
        <v>14</v>
      </c>
      <c r="B22" s="151"/>
      <c r="C22" s="194" t="s">
        <v>330</v>
      </c>
      <c r="D22" s="44" t="s">
        <v>141</v>
      </c>
      <c r="E22" s="191">
        <v>1</v>
      </c>
      <c r="F22" s="312">
        <v>4</v>
      </c>
      <c r="G22" s="42"/>
      <c r="H22" s="307"/>
      <c r="I22" s="320">
        <v>0</v>
      </c>
      <c r="J22" s="307">
        <f t="shared" si="3"/>
        <v>0</v>
      </c>
      <c r="K22" s="307"/>
      <c r="L22" s="307"/>
      <c r="M22" s="307">
        <f t="shared" si="0"/>
        <v>0</v>
      </c>
    </row>
    <row r="23" spans="1:13" ht="25" x14ac:dyDescent="0.35">
      <c r="A23" s="46">
        <v>15</v>
      </c>
      <c r="B23" s="151"/>
      <c r="C23" s="194" t="s">
        <v>331</v>
      </c>
      <c r="D23" s="44" t="s">
        <v>141</v>
      </c>
      <c r="E23" s="51">
        <v>1</v>
      </c>
      <c r="F23" s="312">
        <v>1</v>
      </c>
      <c r="G23" s="42"/>
      <c r="H23" s="42"/>
      <c r="I23" s="279">
        <v>0</v>
      </c>
      <c r="J23" s="42">
        <f t="shared" si="3"/>
        <v>0</v>
      </c>
      <c r="K23" s="42"/>
      <c r="L23" s="42"/>
      <c r="M23" s="42">
        <f t="shared" si="0"/>
        <v>0</v>
      </c>
    </row>
    <row r="24" spans="1:13" x14ac:dyDescent="0.35">
      <c r="A24" s="46">
        <v>16</v>
      </c>
      <c r="B24" s="192"/>
      <c r="C24" s="194" t="s">
        <v>332</v>
      </c>
      <c r="D24" s="44" t="s">
        <v>141</v>
      </c>
      <c r="E24" s="51">
        <v>1</v>
      </c>
      <c r="F24" s="312">
        <v>1</v>
      </c>
      <c r="G24" s="42"/>
      <c r="H24" s="42"/>
      <c r="I24" s="279">
        <v>0</v>
      </c>
      <c r="J24" s="42">
        <f>I24*F24</f>
        <v>0</v>
      </c>
      <c r="K24" s="42"/>
      <c r="L24" s="42"/>
      <c r="M24" s="42">
        <f t="shared" si="0"/>
        <v>0</v>
      </c>
    </row>
    <row r="25" spans="1:13" ht="25.5" thickBot="1" x14ac:dyDescent="0.4">
      <c r="A25" s="46">
        <v>17</v>
      </c>
      <c r="B25" s="197"/>
      <c r="C25" s="194" t="s">
        <v>333</v>
      </c>
      <c r="D25" s="44" t="s">
        <v>95</v>
      </c>
      <c r="E25" s="191">
        <v>1</v>
      </c>
      <c r="F25" s="312">
        <v>1</v>
      </c>
      <c r="G25" s="42"/>
      <c r="H25" s="42"/>
      <c r="I25" s="279">
        <v>0</v>
      </c>
      <c r="J25" s="42">
        <f>I25*F25</f>
        <v>0</v>
      </c>
      <c r="K25" s="42"/>
      <c r="L25" s="42"/>
      <c r="M25" s="42">
        <f t="shared" si="0"/>
        <v>0</v>
      </c>
    </row>
    <row r="26" spans="1:13" ht="15" thickBot="1" x14ac:dyDescent="0.4">
      <c r="A26" s="178"/>
      <c r="B26" s="226"/>
      <c r="C26" s="131" t="s">
        <v>119</v>
      </c>
      <c r="D26" s="176"/>
      <c r="E26" s="147"/>
      <c r="F26" s="147"/>
      <c r="G26" s="238"/>
      <c r="H26" s="238">
        <f>H9</f>
        <v>0</v>
      </c>
      <c r="I26" s="238"/>
      <c r="J26" s="238">
        <f>J10+J11+J12+J13+J14+J15+J16+J17+J18+J19+J20+J21+J22+J23+J24+J25</f>
        <v>0</v>
      </c>
      <c r="K26" s="238"/>
      <c r="L26" s="238"/>
      <c r="M26" s="287">
        <f>J26+H26</f>
        <v>0</v>
      </c>
    </row>
    <row r="27" spans="1:13" x14ac:dyDescent="0.35">
      <c r="A27" s="49"/>
      <c r="B27" s="49"/>
      <c r="C27" s="66" t="s">
        <v>101</v>
      </c>
      <c r="D27" s="65">
        <v>0.05</v>
      </c>
      <c r="E27" s="49"/>
      <c r="F27" s="49"/>
      <c r="G27" s="141"/>
      <c r="H27" s="141"/>
      <c r="I27" s="141"/>
      <c r="J27" s="141"/>
      <c r="K27" s="141"/>
      <c r="L27" s="141"/>
      <c r="M27" s="141">
        <f>M26*D27</f>
        <v>0</v>
      </c>
    </row>
    <row r="28" spans="1:13" x14ac:dyDescent="0.35">
      <c r="A28" s="49"/>
      <c r="B28" s="49"/>
      <c r="C28" s="64" t="s">
        <v>23</v>
      </c>
      <c r="D28" s="49"/>
      <c r="E28" s="49"/>
      <c r="F28" s="49"/>
      <c r="G28" s="141"/>
      <c r="H28" s="141"/>
      <c r="I28" s="141"/>
      <c r="J28" s="141"/>
      <c r="K28" s="141"/>
      <c r="L28" s="141"/>
      <c r="M28" s="141">
        <f>M26+M27</f>
        <v>0</v>
      </c>
    </row>
    <row r="29" spans="1:13" x14ac:dyDescent="0.35">
      <c r="A29" s="106"/>
      <c r="B29" s="106"/>
      <c r="C29" s="106" t="s">
        <v>102</v>
      </c>
      <c r="D29" s="107">
        <v>0.05</v>
      </c>
      <c r="E29" s="106"/>
      <c r="F29" s="106"/>
      <c r="G29" s="288"/>
      <c r="H29" s="288"/>
      <c r="I29" s="288"/>
      <c r="J29" s="288"/>
      <c r="K29" s="288"/>
      <c r="L29" s="288"/>
      <c r="M29" s="87">
        <f>M28*D29</f>
        <v>0</v>
      </c>
    </row>
    <row r="30" spans="1:13" x14ac:dyDescent="0.35">
      <c r="A30" s="4"/>
      <c r="B30" s="4"/>
      <c r="C30" s="64" t="s">
        <v>23</v>
      </c>
      <c r="D30" s="4"/>
      <c r="E30" s="4"/>
      <c r="F30" s="4"/>
      <c r="G30" s="306"/>
      <c r="H30" s="306"/>
      <c r="I30" s="306"/>
      <c r="J30" s="306"/>
      <c r="K30" s="306"/>
      <c r="L30" s="306"/>
      <c r="M30" s="141">
        <f>M28+M29</f>
        <v>0</v>
      </c>
    </row>
    <row r="31" spans="1:13" x14ac:dyDescent="0.35">
      <c r="B31" s="30"/>
      <c r="C31" s="33" t="s">
        <v>334</v>
      </c>
      <c r="D31" s="177">
        <v>0.02</v>
      </c>
      <c r="E31" s="95"/>
      <c r="F31" s="95"/>
      <c r="G31" s="182"/>
      <c r="H31" s="182"/>
      <c r="I31" s="182"/>
      <c r="J31" s="182"/>
      <c r="K31" s="182"/>
      <c r="L31" s="182"/>
      <c r="M31" s="182">
        <f>M30*D31</f>
        <v>0</v>
      </c>
    </row>
    <row r="32" spans="1:13" x14ac:dyDescent="0.35">
      <c r="A32" s="169"/>
      <c r="B32" s="169"/>
      <c r="C32" s="203" t="s">
        <v>23</v>
      </c>
      <c r="D32" s="46"/>
      <c r="E32" s="46"/>
      <c r="F32" s="46"/>
      <c r="G32" s="42"/>
      <c r="H32" s="42"/>
      <c r="I32" s="42"/>
      <c r="J32" s="42"/>
      <c r="K32" s="42"/>
      <c r="L32" s="42"/>
      <c r="M32" s="42">
        <f>M30+M31</f>
        <v>0</v>
      </c>
    </row>
    <row r="33" spans="1:13" ht="26.5" thickBot="1" x14ac:dyDescent="0.4">
      <c r="A33" s="119"/>
      <c r="B33" s="30"/>
      <c r="C33" s="128" t="s">
        <v>25</v>
      </c>
      <c r="D33" s="123">
        <v>0.18</v>
      </c>
      <c r="E33" s="83"/>
      <c r="F33" s="83"/>
      <c r="G33" s="87"/>
      <c r="H33" s="87"/>
      <c r="I33" s="87"/>
      <c r="J33" s="87"/>
      <c r="K33" s="87"/>
      <c r="L33" s="87"/>
      <c r="M33" s="87">
        <f>M32*D33</f>
        <v>0</v>
      </c>
    </row>
    <row r="34" spans="1:13" ht="15" thickBot="1" x14ac:dyDescent="0.4">
      <c r="A34" s="212"/>
      <c r="B34" s="223"/>
      <c r="C34" s="110" t="s">
        <v>26</v>
      </c>
      <c r="D34" s="109"/>
      <c r="E34" s="109"/>
      <c r="F34" s="109"/>
      <c r="G34" s="214"/>
      <c r="H34" s="214"/>
      <c r="I34" s="214"/>
      <c r="J34" s="214"/>
      <c r="K34" s="214"/>
      <c r="L34" s="214"/>
      <c r="M34" s="287">
        <f t="shared" ref="M34" si="4">M32+M33</f>
        <v>0</v>
      </c>
    </row>
  </sheetData>
  <sheetProtection algorithmName="SHA-512" hashValue="mtb4iB/lzGJtmd5wsMnac77u7/h39IA6YCvBptecmz9pTU+1oEJJ5MU/4jhke8rzz8XWapUEL04A3A4/s/1GiA==" saltValue="tzjAgcIiGGcu7ABiHNXE4A==" spinCount="100000" sheet="1" objects="1" scenarios="1"/>
  <mergeCells count="16">
    <mergeCell ref="G6:H6"/>
    <mergeCell ref="I6:J6"/>
    <mergeCell ref="K6:L6"/>
    <mergeCell ref="M6:M7"/>
    <mergeCell ref="A6:A7"/>
    <mergeCell ref="B6:B7"/>
    <mergeCell ref="C6:C7"/>
    <mergeCell ref="D6:D7"/>
    <mergeCell ref="E6:E7"/>
    <mergeCell ref="F6:F7"/>
    <mergeCell ref="B5:F5"/>
    <mergeCell ref="B1:L1"/>
    <mergeCell ref="A2:M2"/>
    <mergeCell ref="A3:M3"/>
    <mergeCell ref="B4:E4"/>
    <mergeCell ref="K4:L4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68C90-C9E4-4E57-8B64-F7A436FA5544}">
  <dimension ref="A1:M58"/>
  <sheetViews>
    <sheetView topLeftCell="A34" zoomScale="70" zoomScaleNormal="70" workbookViewId="0">
      <selection activeCell="G55" sqref="G55"/>
    </sheetView>
  </sheetViews>
  <sheetFormatPr defaultRowHeight="14.5" x14ac:dyDescent="0.35"/>
  <cols>
    <col min="1" max="1" width="3.81640625" customWidth="1"/>
    <col min="2" max="2" width="4.1796875" customWidth="1"/>
    <col min="3" max="3" width="33.26953125" customWidth="1"/>
    <col min="4" max="4" width="7.26953125" customWidth="1"/>
    <col min="5" max="5" width="6" customWidth="1"/>
    <col min="6" max="6" width="9" customWidth="1"/>
    <col min="7" max="7" width="7.1796875" customWidth="1"/>
    <col min="8" max="8" width="10.54296875" customWidth="1"/>
    <col min="9" max="9" width="6.7265625" bestFit="1" customWidth="1"/>
    <col min="10" max="10" width="9.453125" customWidth="1"/>
    <col min="11" max="11" width="7.26953125" customWidth="1"/>
    <col min="12" max="12" width="11" customWidth="1"/>
    <col min="13" max="13" width="11.7265625" customWidth="1"/>
  </cols>
  <sheetData>
    <row r="1" spans="1:13" ht="32.25" customHeight="1" x14ac:dyDescent="0.35">
      <c r="A1" s="1"/>
      <c r="B1" s="327" t="s">
        <v>59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</row>
    <row r="2" spans="1:13" x14ac:dyDescent="0.35">
      <c r="A2" s="9"/>
      <c r="B2" s="9"/>
      <c r="C2" s="9"/>
      <c r="D2" s="9"/>
      <c r="E2" s="9"/>
      <c r="F2" s="9"/>
      <c r="G2" s="9"/>
      <c r="H2" s="9"/>
      <c r="I2" s="9"/>
    </row>
    <row r="3" spans="1:13" x14ac:dyDescent="0.35">
      <c r="A3" s="10"/>
      <c r="B3" s="336" t="s">
        <v>27</v>
      </c>
      <c r="C3" s="336"/>
      <c r="D3" s="336"/>
      <c r="E3" s="336"/>
      <c r="F3" s="336"/>
      <c r="G3" s="336"/>
      <c r="H3" s="336"/>
      <c r="I3" s="336"/>
      <c r="J3" s="336"/>
      <c r="K3" s="336"/>
    </row>
    <row r="4" spans="1:13" x14ac:dyDescent="0.35">
      <c r="A4" s="11"/>
      <c r="B4" s="335" t="s">
        <v>28</v>
      </c>
      <c r="C4" s="335"/>
      <c r="D4" s="335"/>
      <c r="E4" s="335"/>
      <c r="F4" s="335"/>
      <c r="G4" s="335"/>
      <c r="H4" s="335"/>
      <c r="I4" s="335"/>
      <c r="J4" s="335"/>
      <c r="K4" s="335"/>
    </row>
    <row r="5" spans="1:13" x14ac:dyDescent="0.35">
      <c r="A5" s="12"/>
      <c r="B5" s="12"/>
      <c r="C5" s="12"/>
      <c r="D5" s="12"/>
      <c r="E5" s="12"/>
      <c r="F5" s="12"/>
      <c r="G5" s="12"/>
      <c r="H5" s="12"/>
      <c r="I5" s="12"/>
    </row>
    <row r="6" spans="1:13" x14ac:dyDescent="0.35">
      <c r="A6" s="13"/>
      <c r="B6" s="328" t="s">
        <v>2</v>
      </c>
      <c r="C6" s="328"/>
      <c r="D6" s="328"/>
      <c r="E6" s="328"/>
      <c r="F6" s="328"/>
      <c r="H6" s="14"/>
      <c r="I6" s="14"/>
      <c r="L6" s="15">
        <f>M30</f>
        <v>0</v>
      </c>
      <c r="M6" s="16" t="s">
        <v>288</v>
      </c>
    </row>
    <row r="7" spans="1:13" x14ac:dyDescent="0.35">
      <c r="A7" s="13"/>
      <c r="B7" s="329" t="s">
        <v>30</v>
      </c>
      <c r="C7" s="329"/>
      <c r="D7" s="329"/>
      <c r="E7" s="329"/>
      <c r="F7" s="329"/>
      <c r="G7" s="329"/>
      <c r="H7" s="17"/>
      <c r="I7" s="17"/>
    </row>
    <row r="8" spans="1:13" ht="15" thickBot="1" x14ac:dyDescent="0.4">
      <c r="A8" s="18"/>
      <c r="B8" s="19"/>
      <c r="C8" s="20"/>
      <c r="D8" s="20"/>
      <c r="E8" s="20"/>
      <c r="F8" s="20"/>
      <c r="G8" s="20"/>
      <c r="H8" s="20"/>
      <c r="I8" s="20"/>
    </row>
    <row r="9" spans="1:13" ht="25.5" customHeight="1" x14ac:dyDescent="0.35">
      <c r="A9" s="331" t="s">
        <v>3</v>
      </c>
      <c r="B9" s="333" t="s">
        <v>31</v>
      </c>
      <c r="C9" s="333" t="s">
        <v>32</v>
      </c>
      <c r="D9" s="333" t="s">
        <v>33</v>
      </c>
      <c r="E9" s="333" t="s">
        <v>34</v>
      </c>
      <c r="F9" s="338" t="s">
        <v>35</v>
      </c>
      <c r="G9" s="337" t="s">
        <v>36</v>
      </c>
      <c r="H9" s="337"/>
      <c r="I9" s="337" t="s">
        <v>37</v>
      </c>
      <c r="J9" s="337"/>
      <c r="K9" s="321" t="s">
        <v>38</v>
      </c>
      <c r="L9" s="321"/>
      <c r="M9" s="322" t="s">
        <v>39</v>
      </c>
    </row>
    <row r="10" spans="1:13" ht="55.5" customHeight="1" x14ac:dyDescent="0.35">
      <c r="A10" s="340"/>
      <c r="B10" s="334"/>
      <c r="C10" s="334"/>
      <c r="D10" s="334"/>
      <c r="E10" s="334"/>
      <c r="F10" s="339"/>
      <c r="G10" s="137" t="s">
        <v>40</v>
      </c>
      <c r="H10" s="137" t="s">
        <v>41</v>
      </c>
      <c r="I10" s="137" t="s">
        <v>40</v>
      </c>
      <c r="J10" s="137" t="s">
        <v>41</v>
      </c>
      <c r="K10" s="137" t="s">
        <v>40</v>
      </c>
      <c r="L10" s="137" t="s">
        <v>41</v>
      </c>
      <c r="M10" s="323"/>
    </row>
    <row r="11" spans="1:13" ht="15" thickBot="1" x14ac:dyDescent="0.4">
      <c r="A11" s="220">
        <v>1</v>
      </c>
      <c r="B11" s="221">
        <v>2</v>
      </c>
      <c r="C11" s="221">
        <v>3</v>
      </c>
      <c r="D11" s="221">
        <v>4</v>
      </c>
      <c r="E11" s="221">
        <v>5</v>
      </c>
      <c r="F11" s="221">
        <v>6</v>
      </c>
      <c r="G11" s="187">
        <v>7</v>
      </c>
      <c r="H11" s="187">
        <v>8</v>
      </c>
      <c r="I11" s="187">
        <v>9</v>
      </c>
      <c r="J11" s="187">
        <v>10</v>
      </c>
      <c r="K11" s="187">
        <v>11</v>
      </c>
      <c r="L11" s="187">
        <v>12</v>
      </c>
      <c r="M11" s="188">
        <v>13</v>
      </c>
    </row>
    <row r="12" spans="1:13" x14ac:dyDescent="0.35">
      <c r="A12" s="25"/>
      <c r="B12" s="26"/>
      <c r="C12" s="27" t="s">
        <v>42</v>
      </c>
      <c r="D12" s="28"/>
      <c r="E12" s="29"/>
      <c r="F12" s="29"/>
      <c r="G12" s="29"/>
      <c r="H12" s="29"/>
      <c r="I12" s="29"/>
      <c r="J12" s="30"/>
      <c r="K12" s="30"/>
      <c r="L12" s="30"/>
      <c r="M12" s="30"/>
    </row>
    <row r="13" spans="1:13" ht="26" x14ac:dyDescent="0.35">
      <c r="A13" s="31">
        <v>1</v>
      </c>
      <c r="B13" s="32" t="s">
        <v>43</v>
      </c>
      <c r="C13" s="33" t="s">
        <v>44</v>
      </c>
      <c r="D13" s="32" t="s">
        <v>45</v>
      </c>
      <c r="E13" s="32">
        <v>1</v>
      </c>
      <c r="F13" s="34">
        <v>1750</v>
      </c>
      <c r="G13" s="278">
        <v>0</v>
      </c>
      <c r="H13" s="34">
        <f>G13*F13</f>
        <v>0</v>
      </c>
      <c r="I13" s="36"/>
      <c r="J13" s="37"/>
      <c r="K13" s="279">
        <v>0</v>
      </c>
      <c r="L13" s="8">
        <f>K13*F13</f>
        <v>0</v>
      </c>
      <c r="M13" s="8">
        <f>L13+H13</f>
        <v>0</v>
      </c>
    </row>
    <row r="14" spans="1:13" ht="39" x14ac:dyDescent="0.35">
      <c r="A14" s="26">
        <v>2</v>
      </c>
      <c r="B14" s="38"/>
      <c r="C14" s="39" t="s">
        <v>46</v>
      </c>
      <c r="D14" s="40" t="s">
        <v>45</v>
      </c>
      <c r="E14" s="32">
        <v>1</v>
      </c>
      <c r="F14" s="41">
        <v>279</v>
      </c>
      <c r="G14" s="279">
        <v>0</v>
      </c>
      <c r="H14" s="8">
        <f>F14*G14</f>
        <v>0</v>
      </c>
      <c r="I14" s="37"/>
      <c r="J14" s="37"/>
      <c r="K14" s="279">
        <v>0</v>
      </c>
      <c r="L14" s="8">
        <f>F14*K14</f>
        <v>0</v>
      </c>
      <c r="M14" s="8">
        <f>L14+H14</f>
        <v>0</v>
      </c>
    </row>
    <row r="15" spans="1:13" ht="26" x14ac:dyDescent="0.35">
      <c r="A15" s="43">
        <v>3</v>
      </c>
      <c r="B15" s="44"/>
      <c r="C15" s="39" t="s">
        <v>47</v>
      </c>
      <c r="D15" s="45" t="s">
        <v>45</v>
      </c>
      <c r="E15" s="46">
        <v>1</v>
      </c>
      <c r="F15" s="8">
        <v>87</v>
      </c>
      <c r="G15" s="279">
        <v>0</v>
      </c>
      <c r="H15" s="8">
        <f>G15*F15</f>
        <v>0</v>
      </c>
      <c r="I15" s="37"/>
      <c r="J15" s="37"/>
      <c r="K15" s="279">
        <v>0</v>
      </c>
      <c r="L15" s="8">
        <f>K15*F15</f>
        <v>0</v>
      </c>
      <c r="M15" s="8">
        <f>L15+H15</f>
        <v>0</v>
      </c>
    </row>
    <row r="16" spans="1:13" x14ac:dyDescent="0.35">
      <c r="A16" s="43">
        <v>4</v>
      </c>
      <c r="B16" s="44"/>
      <c r="C16" s="47" t="s">
        <v>48</v>
      </c>
      <c r="D16" s="45" t="s">
        <v>45</v>
      </c>
      <c r="E16" s="46">
        <v>1</v>
      </c>
      <c r="F16" s="8">
        <v>203</v>
      </c>
      <c r="G16" s="279">
        <v>0</v>
      </c>
      <c r="H16" s="8">
        <f>G16*F16</f>
        <v>0</v>
      </c>
      <c r="I16" s="37"/>
      <c r="J16" s="37"/>
      <c r="K16" s="279">
        <v>0</v>
      </c>
      <c r="L16" s="8">
        <f>K16*F16</f>
        <v>0</v>
      </c>
      <c r="M16" s="8">
        <f>L16+H16</f>
        <v>0</v>
      </c>
    </row>
    <row r="17" spans="1:13" x14ac:dyDescent="0.35">
      <c r="A17" s="43">
        <v>5</v>
      </c>
      <c r="B17" s="44"/>
      <c r="C17" s="47" t="s">
        <v>49</v>
      </c>
      <c r="D17" s="45" t="s">
        <v>45</v>
      </c>
      <c r="E17" s="46">
        <v>1</v>
      </c>
      <c r="F17" s="8">
        <v>1150</v>
      </c>
      <c r="G17" s="279">
        <v>0</v>
      </c>
      <c r="H17" s="8">
        <f>G17*F17</f>
        <v>0</v>
      </c>
      <c r="I17" s="37">
        <v>0</v>
      </c>
      <c r="J17" s="8">
        <f>I17*F17</f>
        <v>0</v>
      </c>
      <c r="K17" s="279">
        <v>0</v>
      </c>
      <c r="L17" s="8">
        <f>K17*F17</f>
        <v>0</v>
      </c>
      <c r="M17" s="8">
        <f>L17+J17+H17</f>
        <v>0</v>
      </c>
    </row>
    <row r="18" spans="1:13" x14ac:dyDescent="0.35">
      <c r="A18" s="43">
        <v>6</v>
      </c>
      <c r="B18" s="44"/>
      <c r="C18" s="47" t="s">
        <v>50</v>
      </c>
      <c r="D18" s="45" t="s">
        <v>45</v>
      </c>
      <c r="E18" s="46">
        <v>1</v>
      </c>
      <c r="F18" s="8">
        <v>250</v>
      </c>
      <c r="G18" s="279">
        <v>0</v>
      </c>
      <c r="H18" s="8">
        <f>G18*F18</f>
        <v>0</v>
      </c>
      <c r="I18" s="37">
        <v>0</v>
      </c>
      <c r="J18" s="8">
        <f>I18*F18</f>
        <v>0</v>
      </c>
      <c r="K18" s="279">
        <v>0</v>
      </c>
      <c r="L18" s="8">
        <f>K18*F18</f>
        <v>0</v>
      </c>
      <c r="M18" s="8">
        <f>L18+J18+H18</f>
        <v>0</v>
      </c>
    </row>
    <row r="19" spans="1:13" ht="30" customHeight="1" thickBot="1" x14ac:dyDescent="0.4">
      <c r="A19" s="48">
        <v>7</v>
      </c>
      <c r="B19" s="49"/>
      <c r="C19" s="47" t="s">
        <v>51</v>
      </c>
      <c r="D19" s="50" t="s">
        <v>45</v>
      </c>
      <c r="E19" s="49">
        <v>1</v>
      </c>
      <c r="F19" s="49">
        <v>80</v>
      </c>
      <c r="G19" s="280"/>
      <c r="H19" s="52"/>
      <c r="I19" s="49"/>
      <c r="J19" s="49"/>
      <c r="K19" s="279">
        <v>0</v>
      </c>
      <c r="L19" s="52">
        <f>K19*F19</f>
        <v>0</v>
      </c>
      <c r="M19" s="52">
        <f>L19</f>
        <v>0</v>
      </c>
    </row>
    <row r="20" spans="1:13" ht="15" thickBot="1" x14ac:dyDescent="0.4">
      <c r="A20" s="239"/>
      <c r="B20" s="226"/>
      <c r="C20" s="131" t="s">
        <v>23</v>
      </c>
      <c r="D20" s="147"/>
      <c r="E20" s="147"/>
      <c r="F20" s="147"/>
      <c r="G20" s="215"/>
      <c r="H20" s="133">
        <f>H13+H14+H15+H16+H17+H18</f>
        <v>0</v>
      </c>
      <c r="I20" s="147"/>
      <c r="J20" s="133">
        <f>J17+J18</f>
        <v>0</v>
      </c>
      <c r="K20" s="133"/>
      <c r="L20" s="133">
        <f>L13+L14+L15+L16+L17+L18+L19</f>
        <v>0</v>
      </c>
      <c r="M20" s="5">
        <f>L20+J20+H20</f>
        <v>0</v>
      </c>
    </row>
    <row r="21" spans="1:13" ht="24.75" customHeight="1" x14ac:dyDescent="0.35">
      <c r="A21" s="60"/>
      <c r="B21" s="61"/>
      <c r="C21" s="39" t="s">
        <v>52</v>
      </c>
      <c r="D21" s="62">
        <v>0.05</v>
      </c>
      <c r="E21" s="60"/>
      <c r="F21" s="60"/>
      <c r="G21" s="60"/>
      <c r="H21" s="60"/>
      <c r="I21" s="60"/>
      <c r="J21" s="60"/>
      <c r="K21" s="60"/>
      <c r="L21" s="60"/>
      <c r="M21" s="63">
        <f>J20*D21</f>
        <v>0</v>
      </c>
    </row>
    <row r="22" spans="1:13" x14ac:dyDescent="0.35">
      <c r="A22" s="49"/>
      <c r="B22" s="49"/>
      <c r="C22" s="64" t="s">
        <v>23</v>
      </c>
      <c r="D22" s="65"/>
      <c r="E22" s="49"/>
      <c r="F22" s="49"/>
      <c r="G22" s="49"/>
      <c r="H22" s="49"/>
      <c r="I22" s="49"/>
      <c r="J22" s="49"/>
      <c r="K22" s="49"/>
      <c r="L22" s="49"/>
      <c r="M22" s="52">
        <f>M20+M21</f>
        <v>0</v>
      </c>
    </row>
    <row r="23" spans="1:13" x14ac:dyDescent="0.35">
      <c r="A23" s="49"/>
      <c r="B23" s="49"/>
      <c r="C23" s="66" t="s">
        <v>53</v>
      </c>
      <c r="D23" s="65">
        <v>0.1</v>
      </c>
      <c r="E23" s="49"/>
      <c r="F23" s="49"/>
      <c r="G23" s="49"/>
      <c r="H23" s="49"/>
      <c r="I23" s="49"/>
      <c r="J23" s="49"/>
      <c r="K23" s="49"/>
      <c r="L23" s="49"/>
      <c r="M23" s="52">
        <f>M22*D23</f>
        <v>0</v>
      </c>
    </row>
    <row r="24" spans="1:13" x14ac:dyDescent="0.35">
      <c r="A24" s="49"/>
      <c r="B24" s="49"/>
      <c r="C24" s="64" t="s">
        <v>23</v>
      </c>
      <c r="D24" s="49"/>
      <c r="E24" s="49"/>
      <c r="F24" s="49"/>
      <c r="G24" s="49"/>
      <c r="H24" s="49"/>
      <c r="I24" s="49"/>
      <c r="J24" s="49"/>
      <c r="K24" s="49"/>
      <c r="L24" s="49"/>
      <c r="M24" s="52">
        <f>M22+M23</f>
        <v>0</v>
      </c>
    </row>
    <row r="25" spans="1:13" x14ac:dyDescent="0.35">
      <c r="A25" s="67"/>
      <c r="B25" s="67"/>
      <c r="C25" s="67" t="s">
        <v>54</v>
      </c>
      <c r="D25" s="68">
        <v>0.08</v>
      </c>
      <c r="E25" s="67"/>
      <c r="F25" s="67"/>
      <c r="G25" s="67"/>
      <c r="H25" s="67"/>
      <c r="I25" s="67"/>
      <c r="J25" s="67"/>
      <c r="K25" s="67"/>
      <c r="L25" s="67"/>
      <c r="M25" s="69">
        <f>M24*D25</f>
        <v>0</v>
      </c>
    </row>
    <row r="26" spans="1:13" x14ac:dyDescent="0.35">
      <c r="A26" s="49"/>
      <c r="B26" s="49"/>
      <c r="C26" s="64" t="s">
        <v>23</v>
      </c>
      <c r="D26" s="49"/>
      <c r="E26" s="49"/>
      <c r="F26" s="49"/>
      <c r="G26" s="49"/>
      <c r="H26" s="49"/>
      <c r="I26" s="49"/>
      <c r="J26" s="49"/>
      <c r="K26" s="49"/>
      <c r="L26" s="49"/>
      <c r="M26" s="52">
        <f>M24+M25</f>
        <v>0</v>
      </c>
    </row>
    <row r="27" spans="1:13" x14ac:dyDescent="0.35">
      <c r="A27" s="30"/>
      <c r="B27" s="30"/>
      <c r="C27" s="33" t="s">
        <v>24</v>
      </c>
      <c r="D27" s="177">
        <v>0.03</v>
      </c>
      <c r="E27" s="95"/>
      <c r="F27" s="95"/>
      <c r="G27" s="95"/>
      <c r="H27" s="95"/>
      <c r="I27" s="95"/>
      <c r="J27" s="95"/>
      <c r="K27" s="95"/>
      <c r="L27" s="95"/>
      <c r="M27" s="6">
        <f>M26*D27</f>
        <v>0</v>
      </c>
    </row>
    <row r="28" spans="1:13" x14ac:dyDescent="0.35">
      <c r="A28" s="169"/>
      <c r="B28" s="169"/>
      <c r="C28" s="203" t="s">
        <v>23</v>
      </c>
      <c r="D28" s="46"/>
      <c r="E28" s="46"/>
      <c r="F28" s="46"/>
      <c r="G28" s="46"/>
      <c r="H28" s="46"/>
      <c r="I28" s="46"/>
      <c r="J28" s="46"/>
      <c r="K28" s="46"/>
      <c r="L28" s="46"/>
      <c r="M28" s="8">
        <f>M26+M27</f>
        <v>0</v>
      </c>
    </row>
    <row r="29" spans="1:13" ht="26.5" thickBot="1" x14ac:dyDescent="0.4">
      <c r="A29" s="119"/>
      <c r="B29" s="119"/>
      <c r="C29" s="128" t="s">
        <v>25</v>
      </c>
      <c r="D29" s="123">
        <v>0.18</v>
      </c>
      <c r="E29" s="83"/>
      <c r="F29" s="83"/>
      <c r="G29" s="83"/>
      <c r="H29" s="83"/>
      <c r="I29" s="83"/>
      <c r="J29" s="83"/>
      <c r="K29" s="83"/>
      <c r="L29" s="83"/>
      <c r="M29" s="85">
        <f>M28*D29</f>
        <v>0</v>
      </c>
    </row>
    <row r="30" spans="1:13" ht="15" thickBot="1" x14ac:dyDescent="0.4">
      <c r="A30" s="212"/>
      <c r="B30" s="223"/>
      <c r="C30" s="110" t="s">
        <v>26</v>
      </c>
      <c r="D30" s="109"/>
      <c r="E30" s="109"/>
      <c r="F30" s="109"/>
      <c r="G30" s="109"/>
      <c r="H30" s="109"/>
      <c r="I30" s="109"/>
      <c r="J30" s="109"/>
      <c r="K30" s="109"/>
      <c r="L30" s="109"/>
      <c r="M30" s="5">
        <f>M28+M29</f>
        <v>0</v>
      </c>
    </row>
    <row r="31" spans="1:13" x14ac:dyDescent="0.35">
      <c r="A31" s="12"/>
      <c r="B31" s="12"/>
      <c r="C31" s="12"/>
      <c r="D31" s="12"/>
      <c r="E31" s="12"/>
      <c r="F31" s="12"/>
      <c r="G31" s="12"/>
      <c r="H31" s="12"/>
      <c r="I31" s="12"/>
    </row>
    <row r="32" spans="1:13" x14ac:dyDescent="0.35">
      <c r="A32" s="13"/>
      <c r="B32" s="329"/>
      <c r="C32" s="329"/>
      <c r="D32" s="329"/>
      <c r="E32" s="329"/>
      <c r="F32" s="329"/>
      <c r="G32" s="329"/>
      <c r="H32" s="17"/>
      <c r="I32" s="17"/>
    </row>
    <row r="33" spans="1:13" x14ac:dyDescent="0.35">
      <c r="A33" s="10"/>
      <c r="B33" s="336" t="s">
        <v>55</v>
      </c>
      <c r="C33" s="336"/>
      <c r="D33" s="336"/>
      <c r="E33" s="336"/>
      <c r="F33" s="336"/>
      <c r="G33" s="336"/>
      <c r="H33" s="336"/>
      <c r="I33" s="336"/>
      <c r="J33" s="336"/>
      <c r="K33" s="336"/>
    </row>
    <row r="34" spans="1:13" x14ac:dyDescent="0.35">
      <c r="A34" s="11"/>
      <c r="B34" s="335" t="s">
        <v>300</v>
      </c>
      <c r="C34" s="335"/>
      <c r="D34" s="335"/>
      <c r="E34" s="335"/>
      <c r="F34" s="335"/>
      <c r="G34" s="335"/>
      <c r="H34" s="335"/>
      <c r="I34" s="335"/>
      <c r="J34" s="335"/>
      <c r="K34" s="335"/>
    </row>
    <row r="35" spans="1:13" ht="15.75" customHeight="1" x14ac:dyDescent="0.35">
      <c r="A35" s="12"/>
      <c r="B35" s="12"/>
      <c r="C35" s="12"/>
      <c r="D35" s="12"/>
      <c r="E35" s="12"/>
      <c r="F35" s="12"/>
      <c r="G35" s="12"/>
      <c r="H35" s="12"/>
      <c r="I35" s="12"/>
    </row>
    <row r="36" spans="1:13" x14ac:dyDescent="0.35">
      <c r="A36" s="13"/>
      <c r="B36" s="328" t="s">
        <v>2</v>
      </c>
      <c r="C36" s="328"/>
      <c r="D36" s="328"/>
      <c r="E36" s="328"/>
      <c r="F36" s="328"/>
      <c r="H36" s="14"/>
      <c r="I36" s="14"/>
      <c r="L36" s="15">
        <f>M58</f>
        <v>0</v>
      </c>
      <c r="M36" s="16" t="s">
        <v>288</v>
      </c>
    </row>
    <row r="37" spans="1:13" x14ac:dyDescent="0.35">
      <c r="A37" s="13"/>
      <c r="B37" s="329" t="s">
        <v>282</v>
      </c>
      <c r="C37" s="329"/>
      <c r="D37" s="329"/>
      <c r="E37" s="329"/>
      <c r="F37" s="329"/>
      <c r="G37" s="329"/>
      <c r="H37" s="17"/>
      <c r="I37" s="17"/>
    </row>
    <row r="38" spans="1:13" ht="15" thickBot="1" x14ac:dyDescent="0.4">
      <c r="A38" s="18"/>
      <c r="B38" s="19"/>
      <c r="C38" s="20"/>
      <c r="D38" s="20"/>
      <c r="E38" s="20"/>
      <c r="F38" s="20"/>
      <c r="G38" s="20"/>
      <c r="H38" s="20"/>
      <c r="I38" s="20"/>
    </row>
    <row r="39" spans="1:13" x14ac:dyDescent="0.35">
      <c r="A39" s="331" t="s">
        <v>3</v>
      </c>
      <c r="B39" s="333" t="s">
        <v>31</v>
      </c>
      <c r="C39" s="333" t="s">
        <v>32</v>
      </c>
      <c r="D39" s="333" t="s">
        <v>33</v>
      </c>
      <c r="E39" s="333" t="s">
        <v>34</v>
      </c>
      <c r="F39" s="338" t="s">
        <v>35</v>
      </c>
      <c r="G39" s="337" t="s">
        <v>36</v>
      </c>
      <c r="H39" s="337"/>
      <c r="I39" s="337" t="s">
        <v>37</v>
      </c>
      <c r="J39" s="337"/>
      <c r="K39" s="321" t="s">
        <v>38</v>
      </c>
      <c r="L39" s="321"/>
      <c r="M39" s="322" t="s">
        <v>39</v>
      </c>
    </row>
    <row r="40" spans="1:13" ht="67.5" customHeight="1" x14ac:dyDescent="0.35">
      <c r="A40" s="332"/>
      <c r="B40" s="334"/>
      <c r="C40" s="334"/>
      <c r="D40" s="334"/>
      <c r="E40" s="334"/>
      <c r="F40" s="339"/>
      <c r="G40" s="137" t="s">
        <v>40</v>
      </c>
      <c r="H40" s="137" t="s">
        <v>41</v>
      </c>
      <c r="I40" s="137" t="s">
        <v>40</v>
      </c>
      <c r="J40" s="137" t="s">
        <v>41</v>
      </c>
      <c r="K40" s="137" t="s">
        <v>40</v>
      </c>
      <c r="L40" s="137" t="s">
        <v>41</v>
      </c>
      <c r="M40" s="323"/>
    </row>
    <row r="41" spans="1:13" ht="15" customHeight="1" thickBot="1" x14ac:dyDescent="0.4">
      <c r="A41" s="216">
        <v>1</v>
      </c>
      <c r="B41" s="217">
        <v>2</v>
      </c>
      <c r="C41" s="217">
        <v>3</v>
      </c>
      <c r="D41" s="217">
        <v>4</v>
      </c>
      <c r="E41" s="217">
        <v>5</v>
      </c>
      <c r="F41" s="217">
        <v>6</v>
      </c>
      <c r="G41" s="148">
        <v>7</v>
      </c>
      <c r="H41" s="148">
        <v>8</v>
      </c>
      <c r="I41" s="148">
        <v>9</v>
      </c>
      <c r="J41" s="148">
        <v>10</v>
      </c>
      <c r="K41" s="148">
        <v>11</v>
      </c>
      <c r="L41" s="148">
        <v>12</v>
      </c>
      <c r="M41" s="149">
        <v>13</v>
      </c>
    </row>
    <row r="42" spans="1:13" x14ac:dyDescent="0.35">
      <c r="A42" s="25"/>
      <c r="B42" s="26"/>
      <c r="C42" s="27" t="s">
        <v>56</v>
      </c>
      <c r="D42" s="28"/>
      <c r="E42" s="29"/>
      <c r="F42" s="29"/>
      <c r="G42" s="29"/>
      <c r="H42" s="29"/>
      <c r="I42" s="29"/>
      <c r="J42" s="30"/>
      <c r="K42" s="30"/>
      <c r="L42" s="30"/>
      <c r="M42" s="30"/>
    </row>
    <row r="43" spans="1:13" ht="39" x14ac:dyDescent="0.35">
      <c r="A43" s="26">
        <v>2</v>
      </c>
      <c r="B43" s="38"/>
      <c r="C43" s="39" t="s">
        <v>57</v>
      </c>
      <c r="D43" s="40" t="s">
        <v>45</v>
      </c>
      <c r="E43" s="32">
        <v>1</v>
      </c>
      <c r="F43" s="41">
        <v>8</v>
      </c>
      <c r="G43" s="279">
        <v>0</v>
      </c>
      <c r="H43" s="8">
        <f>F43*G43</f>
        <v>0</v>
      </c>
      <c r="I43" s="37"/>
      <c r="J43" s="37"/>
      <c r="K43" s="279">
        <v>0</v>
      </c>
      <c r="L43" s="8">
        <f>F43*K43</f>
        <v>0</v>
      </c>
      <c r="M43" s="8">
        <f>L43+H43</f>
        <v>0</v>
      </c>
    </row>
    <row r="44" spans="1:13" ht="26" x14ac:dyDescent="0.35">
      <c r="A44" s="43">
        <v>3</v>
      </c>
      <c r="B44" s="44"/>
      <c r="C44" s="39" t="s">
        <v>47</v>
      </c>
      <c r="D44" s="45" t="s">
        <v>45</v>
      </c>
      <c r="E44" s="46">
        <v>1</v>
      </c>
      <c r="F44" s="8">
        <v>4</v>
      </c>
      <c r="G44" s="279">
        <v>0</v>
      </c>
      <c r="H44" s="8">
        <f>G44*F44</f>
        <v>0</v>
      </c>
      <c r="I44" s="37"/>
      <c r="J44" s="37"/>
      <c r="K44" s="279">
        <v>0</v>
      </c>
      <c r="L44" s="8">
        <f>K44*F44</f>
        <v>0</v>
      </c>
      <c r="M44" s="8">
        <f>L44+H44</f>
        <v>0</v>
      </c>
    </row>
    <row r="45" spans="1:13" ht="26.25" customHeight="1" x14ac:dyDescent="0.35">
      <c r="A45" s="43">
        <v>4</v>
      </c>
      <c r="B45" s="44"/>
      <c r="C45" s="47" t="s">
        <v>48</v>
      </c>
      <c r="D45" s="45" t="s">
        <v>45</v>
      </c>
      <c r="E45" s="46">
        <v>1</v>
      </c>
      <c r="F45" s="8">
        <v>5</v>
      </c>
      <c r="G45" s="279">
        <v>0</v>
      </c>
      <c r="H45" s="8">
        <f>G45*F45</f>
        <v>0</v>
      </c>
      <c r="I45" s="37"/>
      <c r="J45" s="37"/>
      <c r="K45" s="279">
        <v>0</v>
      </c>
      <c r="L45" s="8">
        <f>K45*F45</f>
        <v>0</v>
      </c>
      <c r="M45" s="8">
        <f>L45+H45</f>
        <v>0</v>
      </c>
    </row>
    <row r="46" spans="1:13" x14ac:dyDescent="0.35">
      <c r="A46" s="43">
        <v>5</v>
      </c>
      <c r="B46" s="44"/>
      <c r="C46" s="47" t="s">
        <v>49</v>
      </c>
      <c r="D46" s="45" t="s">
        <v>45</v>
      </c>
      <c r="E46" s="46">
        <v>1</v>
      </c>
      <c r="F46" s="37">
        <v>2.4</v>
      </c>
      <c r="G46" s="279">
        <v>0</v>
      </c>
      <c r="H46" s="8">
        <f>G46*F46</f>
        <v>0</v>
      </c>
      <c r="I46" s="37">
        <v>0</v>
      </c>
      <c r="J46" s="8">
        <f>I46*F46</f>
        <v>0</v>
      </c>
      <c r="K46" s="279">
        <v>0</v>
      </c>
      <c r="L46" s="8">
        <f>K46*F46</f>
        <v>0</v>
      </c>
      <c r="M46" s="8">
        <f>L46+J46+H46</f>
        <v>0</v>
      </c>
    </row>
    <row r="47" spans="1:13" ht="15" thickBot="1" x14ac:dyDescent="0.4">
      <c r="A47" s="43">
        <v>6</v>
      </c>
      <c r="B47" s="44"/>
      <c r="C47" s="47" t="s">
        <v>50</v>
      </c>
      <c r="D47" s="45" t="s">
        <v>45</v>
      </c>
      <c r="E47" s="46">
        <v>1</v>
      </c>
      <c r="F47" s="8">
        <v>1</v>
      </c>
      <c r="G47" s="277">
        <v>0</v>
      </c>
      <c r="H47" s="8">
        <f>G47*F47</f>
        <v>0</v>
      </c>
      <c r="I47" s="37">
        <v>0</v>
      </c>
      <c r="J47" s="8">
        <f>I47*F47</f>
        <v>0</v>
      </c>
      <c r="K47" s="279">
        <v>0</v>
      </c>
      <c r="L47" s="8">
        <f>K47*F47</f>
        <v>0</v>
      </c>
      <c r="M47" s="8">
        <f>L47+J47+H47</f>
        <v>0</v>
      </c>
    </row>
    <row r="48" spans="1:13" ht="15" thickBot="1" x14ac:dyDescent="0.4">
      <c r="A48" s="53"/>
      <c r="B48" s="54"/>
      <c r="C48" s="55" t="s">
        <v>23</v>
      </c>
      <c r="D48" s="56"/>
      <c r="E48" s="56"/>
      <c r="F48" s="56"/>
      <c r="G48" s="57"/>
      <c r="H48" s="58">
        <f>H43+H44+H45+H46+H47</f>
        <v>0</v>
      </c>
      <c r="I48" s="56"/>
      <c r="J48" s="58">
        <f>J46+J47</f>
        <v>0</v>
      </c>
      <c r="K48" s="58"/>
      <c r="L48" s="58">
        <f>L43+L44+L45+L46+L47</f>
        <v>0</v>
      </c>
      <c r="M48" s="59">
        <f>L48+J48+H48</f>
        <v>0</v>
      </c>
    </row>
    <row r="49" spans="1:13" ht="22.5" customHeight="1" x14ac:dyDescent="0.35">
      <c r="A49" s="60"/>
      <c r="B49" s="61"/>
      <c r="C49" s="39" t="s">
        <v>52</v>
      </c>
      <c r="D49" s="62">
        <v>0.05</v>
      </c>
      <c r="E49" s="60"/>
      <c r="F49" s="60"/>
      <c r="G49" s="60"/>
      <c r="H49" s="60"/>
      <c r="I49" s="60"/>
      <c r="J49" s="60"/>
      <c r="K49" s="60"/>
      <c r="L49" s="60"/>
      <c r="M49" s="63">
        <f>J48*D49</f>
        <v>0</v>
      </c>
    </row>
    <row r="50" spans="1:13" x14ac:dyDescent="0.35">
      <c r="A50" s="49"/>
      <c r="B50" s="49"/>
      <c r="C50" s="64" t="s">
        <v>23</v>
      </c>
      <c r="D50" s="65"/>
      <c r="E50" s="49"/>
      <c r="F50" s="49"/>
      <c r="G50" s="49"/>
      <c r="H50" s="49"/>
      <c r="I50" s="49"/>
      <c r="J50" s="49"/>
      <c r="K50" s="49"/>
      <c r="L50" s="49"/>
      <c r="M50" s="52">
        <f>M48+M49</f>
        <v>0</v>
      </c>
    </row>
    <row r="51" spans="1:13" x14ac:dyDescent="0.35">
      <c r="A51" s="49"/>
      <c r="B51" s="49"/>
      <c r="C51" s="66" t="s">
        <v>53</v>
      </c>
      <c r="D51" s="65">
        <v>0.1</v>
      </c>
      <c r="E51" s="49"/>
      <c r="F51" s="49"/>
      <c r="G51" s="49"/>
      <c r="H51" s="49"/>
      <c r="I51" s="49"/>
      <c r="J51" s="49"/>
      <c r="K51" s="49"/>
      <c r="L51" s="49"/>
      <c r="M51" s="52">
        <f>M50*D51</f>
        <v>0</v>
      </c>
    </row>
    <row r="52" spans="1:13" x14ac:dyDescent="0.35">
      <c r="A52" s="49"/>
      <c r="B52" s="49"/>
      <c r="C52" s="64" t="s">
        <v>23</v>
      </c>
      <c r="D52" s="49"/>
      <c r="E52" s="49"/>
      <c r="F52" s="49"/>
      <c r="G52" s="49"/>
      <c r="H52" s="49"/>
      <c r="I52" s="49"/>
      <c r="J52" s="49"/>
      <c r="K52" s="49"/>
      <c r="L52" s="49"/>
      <c r="M52" s="52">
        <f>M50+M51</f>
        <v>0</v>
      </c>
    </row>
    <row r="53" spans="1:13" x14ac:dyDescent="0.35">
      <c r="A53" s="67"/>
      <c r="B53" s="67"/>
      <c r="C53" s="67" t="s">
        <v>54</v>
      </c>
      <c r="D53" s="68">
        <v>0.08</v>
      </c>
      <c r="E53" s="67"/>
      <c r="F53" s="67"/>
      <c r="G53" s="67"/>
      <c r="H53" s="67"/>
      <c r="I53" s="67"/>
      <c r="J53" s="67"/>
      <c r="K53" s="67"/>
      <c r="L53" s="67"/>
      <c r="M53" s="69">
        <f>M52*D53</f>
        <v>0</v>
      </c>
    </row>
    <row r="54" spans="1:13" x14ac:dyDescent="0.35">
      <c r="A54" s="49"/>
      <c r="B54" s="49"/>
      <c r="C54" s="64" t="s">
        <v>23</v>
      </c>
      <c r="D54" s="49"/>
      <c r="E54" s="49"/>
      <c r="F54" s="49"/>
      <c r="G54" s="49"/>
      <c r="H54" s="49"/>
      <c r="I54" s="49"/>
      <c r="J54" s="49"/>
      <c r="K54" s="49"/>
      <c r="L54" s="49"/>
      <c r="M54" s="52">
        <f>M52+M53</f>
        <v>0</v>
      </c>
    </row>
    <row r="55" spans="1:13" x14ac:dyDescent="0.35">
      <c r="A55" s="169"/>
      <c r="B55" s="169"/>
      <c r="C55" s="77" t="s">
        <v>24</v>
      </c>
      <c r="D55" s="105">
        <v>0.03</v>
      </c>
      <c r="E55" s="46"/>
      <c r="F55" s="46"/>
      <c r="G55" s="46"/>
      <c r="H55" s="46"/>
      <c r="I55" s="46"/>
      <c r="J55" s="46"/>
      <c r="K55" s="46"/>
      <c r="L55" s="46"/>
      <c r="M55" s="8">
        <f>M54*D55</f>
        <v>0</v>
      </c>
    </row>
    <row r="56" spans="1:13" x14ac:dyDescent="0.35">
      <c r="A56" s="169"/>
      <c r="B56" s="169"/>
      <c r="C56" s="203" t="s">
        <v>23</v>
      </c>
      <c r="D56" s="46"/>
      <c r="E56" s="46"/>
      <c r="F56" s="46"/>
      <c r="G56" s="46"/>
      <c r="H56" s="46"/>
      <c r="I56" s="46"/>
      <c r="J56" s="46"/>
      <c r="K56" s="46"/>
      <c r="L56" s="46"/>
      <c r="M56" s="8">
        <f>M54+M55</f>
        <v>0</v>
      </c>
    </row>
    <row r="57" spans="1:13" ht="26.5" thickBot="1" x14ac:dyDescent="0.4">
      <c r="A57" s="119"/>
      <c r="B57" s="119"/>
      <c r="C57" s="128" t="s">
        <v>25</v>
      </c>
      <c r="D57" s="123">
        <v>0.18</v>
      </c>
      <c r="E57" s="83"/>
      <c r="F57" s="83"/>
      <c r="G57" s="83"/>
      <c r="H57" s="83"/>
      <c r="I57" s="83"/>
      <c r="J57" s="83"/>
      <c r="K57" s="83"/>
      <c r="L57" s="83"/>
      <c r="M57" s="85">
        <f>M56*D57</f>
        <v>0</v>
      </c>
    </row>
    <row r="58" spans="1:13" ht="15" thickBot="1" x14ac:dyDescent="0.4">
      <c r="A58" s="212"/>
      <c r="B58" s="223"/>
      <c r="C58" s="110" t="s">
        <v>26</v>
      </c>
      <c r="D58" s="109"/>
      <c r="E58" s="109"/>
      <c r="F58" s="109"/>
      <c r="G58" s="109"/>
      <c r="H58" s="109"/>
      <c r="I58" s="109"/>
      <c r="J58" s="109"/>
      <c r="K58" s="109"/>
      <c r="L58" s="109"/>
      <c r="M58" s="5">
        <f>M56+M57</f>
        <v>0</v>
      </c>
    </row>
  </sheetData>
  <sheetProtection algorithmName="SHA-512" hashValue="KkcFO5scUJe9/zeTqk67C5rJj5iZEbMctAQpeNNOJyLNIfr88+SkEKu9zSkg59jV2v41HbCb3LcPTo5jb72vJg==" saltValue="3bryH1XIZejOHigcxUAQew==" spinCount="100000" sheet="1" objects="1" scenarios="1"/>
  <mergeCells count="30">
    <mergeCell ref="M9:M10"/>
    <mergeCell ref="B32:G32"/>
    <mergeCell ref="F9:F10"/>
    <mergeCell ref="B1:L1"/>
    <mergeCell ref="B3:K3"/>
    <mergeCell ref="B4:K4"/>
    <mergeCell ref="B6:F6"/>
    <mergeCell ref="B7:G7"/>
    <mergeCell ref="G9:H9"/>
    <mergeCell ref="I9:J9"/>
    <mergeCell ref="K9:L9"/>
    <mergeCell ref="A9:A10"/>
    <mergeCell ref="B9:B10"/>
    <mergeCell ref="C9:C10"/>
    <mergeCell ref="D9:D10"/>
    <mergeCell ref="E9:E10"/>
    <mergeCell ref="B34:K34"/>
    <mergeCell ref="B33:K33"/>
    <mergeCell ref="G39:H39"/>
    <mergeCell ref="I39:J39"/>
    <mergeCell ref="K39:L39"/>
    <mergeCell ref="F39:F40"/>
    <mergeCell ref="E39:E40"/>
    <mergeCell ref="D39:D40"/>
    <mergeCell ref="C39:C40"/>
    <mergeCell ref="A39:A40"/>
    <mergeCell ref="B39:B40"/>
    <mergeCell ref="M39:M40"/>
    <mergeCell ref="B37:G37"/>
    <mergeCell ref="B36:F36"/>
  </mergeCells>
  <pageMargins left="0.95" right="0.7" top="0.75" bottom="0.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679DA-7466-4A03-A97F-5F5A691EA419}">
  <dimension ref="A1:N193"/>
  <sheetViews>
    <sheetView tabSelected="1" zoomScale="70" zoomScaleNormal="70" workbookViewId="0">
      <selection activeCell="G22" sqref="G22"/>
    </sheetView>
  </sheetViews>
  <sheetFormatPr defaultRowHeight="14.5" x14ac:dyDescent="0.35"/>
  <cols>
    <col min="1" max="1" width="3.81640625" style="364" customWidth="1"/>
    <col min="2" max="2" width="4.26953125" style="364" customWidth="1"/>
    <col min="3" max="3" width="27.81640625" style="364" customWidth="1"/>
    <col min="4" max="4" width="7.26953125" style="364" customWidth="1"/>
    <col min="5" max="5" width="6.7265625" style="364" customWidth="1"/>
    <col min="6" max="6" width="8.54296875" style="364" customWidth="1"/>
    <col min="7" max="7" width="7.54296875" style="364" customWidth="1"/>
    <col min="8" max="8" width="10" style="364" customWidth="1"/>
    <col min="9" max="9" width="8.54296875" style="364" customWidth="1"/>
    <col min="10" max="10" width="10.81640625" style="364" customWidth="1"/>
    <col min="11" max="11" width="6.26953125" style="364" customWidth="1"/>
    <col min="12" max="12" width="9.7265625" style="364" customWidth="1"/>
    <col min="13" max="13" width="11.1796875" style="364" customWidth="1"/>
    <col min="14" max="16384" width="8.7265625" style="364"/>
  </cols>
  <sheetData>
    <row r="1" spans="1:13" ht="35.25" customHeight="1" x14ac:dyDescent="0.35">
      <c r="A1" s="362"/>
      <c r="B1" s="363" t="s">
        <v>58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13" x14ac:dyDescent="0.35">
      <c r="A2" s="365"/>
      <c r="B2" s="365"/>
      <c r="C2" s="365"/>
      <c r="D2" s="365"/>
      <c r="E2" s="365"/>
      <c r="F2" s="365"/>
      <c r="G2" s="365"/>
      <c r="H2" s="365"/>
      <c r="I2" s="365"/>
    </row>
    <row r="3" spans="1:13" x14ac:dyDescent="0.35">
      <c r="A3" s="366"/>
      <c r="B3" s="366"/>
      <c r="C3" s="366"/>
      <c r="D3" s="367" t="s">
        <v>13</v>
      </c>
      <c r="E3" s="367"/>
      <c r="F3" s="367"/>
      <c r="G3" s="367"/>
      <c r="H3" s="367"/>
      <c r="I3" s="367"/>
      <c r="J3" s="367"/>
      <c r="K3" s="367"/>
    </row>
    <row r="4" spans="1:13" x14ac:dyDescent="0.35">
      <c r="A4" s="368"/>
      <c r="B4" s="368"/>
      <c r="C4" s="369" t="s">
        <v>60</v>
      </c>
      <c r="D4" s="369"/>
      <c r="E4" s="369"/>
      <c r="F4" s="369"/>
      <c r="G4" s="369"/>
      <c r="H4" s="369"/>
      <c r="I4" s="369"/>
      <c r="J4" s="369"/>
      <c r="K4" s="369"/>
      <c r="L4" s="369"/>
    </row>
    <row r="5" spans="1:13" x14ac:dyDescent="0.35">
      <c r="A5" s="370"/>
      <c r="B5" s="370"/>
      <c r="C5" s="370"/>
      <c r="D5" s="370"/>
      <c r="E5" s="370"/>
      <c r="F5" s="370"/>
      <c r="G5" s="370"/>
      <c r="H5" s="370"/>
      <c r="I5" s="370"/>
    </row>
    <row r="6" spans="1:13" x14ac:dyDescent="0.35">
      <c r="A6" s="371"/>
      <c r="B6" s="372" t="s">
        <v>2</v>
      </c>
      <c r="C6" s="372"/>
      <c r="D6" s="372"/>
      <c r="E6" s="372"/>
      <c r="H6" s="373"/>
      <c r="I6" s="373"/>
      <c r="L6" s="374">
        <f>M124</f>
        <v>0</v>
      </c>
      <c r="M6" s="375" t="s">
        <v>288</v>
      </c>
    </row>
    <row r="7" spans="1:13" x14ac:dyDescent="0.35">
      <c r="A7" s="371"/>
      <c r="B7" s="376" t="s">
        <v>282</v>
      </c>
      <c r="C7" s="376"/>
      <c r="D7" s="376"/>
      <c r="E7" s="376"/>
      <c r="F7" s="376"/>
      <c r="G7" s="377"/>
      <c r="H7" s="377"/>
      <c r="I7" s="377"/>
      <c r="J7" s="377"/>
      <c r="K7" s="377"/>
      <c r="L7" s="378"/>
      <c r="M7" s="378"/>
    </row>
    <row r="8" spans="1:13" ht="15" thickBot="1" x14ac:dyDescent="0.4">
      <c r="A8" s="379"/>
      <c r="B8" s="380"/>
      <c r="C8" s="381"/>
      <c r="D8" s="381"/>
      <c r="E8" s="381"/>
      <c r="F8" s="381"/>
      <c r="G8" s="382"/>
      <c r="H8" s="382"/>
      <c r="I8" s="382"/>
      <c r="J8" s="382"/>
      <c r="K8" s="382"/>
      <c r="L8" s="382"/>
      <c r="M8" s="382"/>
    </row>
    <row r="9" spans="1:13" ht="22.5" customHeight="1" x14ac:dyDescent="0.35">
      <c r="A9" s="383" t="s">
        <v>3</v>
      </c>
      <c r="B9" s="384" t="s">
        <v>31</v>
      </c>
      <c r="C9" s="384" t="s">
        <v>32</v>
      </c>
      <c r="D9" s="384" t="s">
        <v>33</v>
      </c>
      <c r="E9" s="384" t="s">
        <v>34</v>
      </c>
      <c r="F9" s="385" t="s">
        <v>35</v>
      </c>
      <c r="G9" s="386" t="s">
        <v>36</v>
      </c>
      <c r="H9" s="386"/>
      <c r="I9" s="386" t="s">
        <v>37</v>
      </c>
      <c r="J9" s="386"/>
      <c r="K9" s="387" t="s">
        <v>38</v>
      </c>
      <c r="L9" s="387"/>
      <c r="M9" s="388" t="s">
        <v>39</v>
      </c>
    </row>
    <row r="10" spans="1:13" ht="60.75" customHeight="1" x14ac:dyDescent="0.35">
      <c r="A10" s="389"/>
      <c r="B10" s="390"/>
      <c r="C10" s="390"/>
      <c r="D10" s="390"/>
      <c r="E10" s="390"/>
      <c r="F10" s="391"/>
      <c r="G10" s="392" t="s">
        <v>40</v>
      </c>
      <c r="H10" s="392" t="s">
        <v>41</v>
      </c>
      <c r="I10" s="392" t="s">
        <v>40</v>
      </c>
      <c r="J10" s="392" t="s">
        <v>41</v>
      </c>
      <c r="K10" s="392" t="s">
        <v>40</v>
      </c>
      <c r="L10" s="392" t="s">
        <v>41</v>
      </c>
      <c r="M10" s="393"/>
    </row>
    <row r="11" spans="1:13" ht="15" thickBot="1" x14ac:dyDescent="0.4">
      <c r="A11" s="394">
        <v>1</v>
      </c>
      <c r="B11" s="395">
        <v>2</v>
      </c>
      <c r="C11" s="395">
        <v>3</v>
      </c>
      <c r="D11" s="395">
        <v>4</v>
      </c>
      <c r="E11" s="395">
        <v>5</v>
      </c>
      <c r="F11" s="395">
        <v>6</v>
      </c>
      <c r="G11" s="395">
        <v>7</v>
      </c>
      <c r="H11" s="395">
        <v>8</v>
      </c>
      <c r="I11" s="395">
        <v>9</v>
      </c>
      <c r="J11" s="395">
        <v>10</v>
      </c>
      <c r="K11" s="395">
        <v>11</v>
      </c>
      <c r="L11" s="395">
        <v>12</v>
      </c>
      <c r="M11" s="396">
        <v>13</v>
      </c>
    </row>
    <row r="12" spans="1:13" ht="26" x14ac:dyDescent="0.35">
      <c r="A12" s="397"/>
      <c r="B12" s="398"/>
      <c r="C12" s="399" t="s">
        <v>61</v>
      </c>
      <c r="D12" s="400"/>
      <c r="E12" s="401"/>
      <c r="F12" s="401"/>
      <c r="G12" s="401"/>
      <c r="H12" s="401"/>
      <c r="I12" s="401"/>
      <c r="J12" s="402"/>
      <c r="K12" s="402"/>
      <c r="L12" s="402"/>
      <c r="M12" s="402"/>
    </row>
    <row r="13" spans="1:13" ht="26" x14ac:dyDescent="0.35">
      <c r="A13" s="397">
        <v>1</v>
      </c>
      <c r="B13" s="398" t="s">
        <v>43</v>
      </c>
      <c r="C13" s="403" t="s">
        <v>62</v>
      </c>
      <c r="D13" s="398" t="s">
        <v>45</v>
      </c>
      <c r="E13" s="404"/>
      <c r="F13" s="405">
        <v>52</v>
      </c>
      <c r="G13" s="278">
        <v>0</v>
      </c>
      <c r="H13" s="406">
        <f>G13*F13</f>
        <v>0</v>
      </c>
      <c r="I13" s="407"/>
      <c r="J13" s="408"/>
      <c r="K13" s="408"/>
      <c r="L13" s="408"/>
      <c r="M13" s="408">
        <f>H13</f>
        <v>0</v>
      </c>
    </row>
    <row r="14" spans="1:13" x14ac:dyDescent="0.35">
      <c r="A14" s="409"/>
      <c r="B14" s="410"/>
      <c r="C14" s="411" t="s">
        <v>63</v>
      </c>
      <c r="D14" s="412" t="s">
        <v>45</v>
      </c>
      <c r="E14" s="413">
        <v>1</v>
      </c>
      <c r="F14" s="413">
        <v>10</v>
      </c>
      <c r="G14" s="279">
        <v>0</v>
      </c>
      <c r="H14" s="408">
        <f>G14*F14</f>
        <v>0</v>
      </c>
      <c r="I14" s="414"/>
      <c r="J14" s="408"/>
      <c r="K14" s="408"/>
      <c r="L14" s="408"/>
      <c r="M14" s="408"/>
    </row>
    <row r="15" spans="1:13" x14ac:dyDescent="0.35">
      <c r="A15" s="409"/>
      <c r="B15" s="410"/>
      <c r="C15" s="415" t="s">
        <v>64</v>
      </c>
      <c r="D15" s="409" t="s">
        <v>45</v>
      </c>
      <c r="E15" s="409">
        <v>1.02</v>
      </c>
      <c r="F15" s="413">
        <f>F14*E15</f>
        <v>10.199999999999999</v>
      </c>
      <c r="G15" s="414"/>
      <c r="H15" s="408"/>
      <c r="I15" s="279">
        <v>0</v>
      </c>
      <c r="J15" s="408">
        <f t="shared" ref="J15:J23" si="0">I15*F15</f>
        <v>0</v>
      </c>
      <c r="K15" s="408"/>
      <c r="L15" s="408"/>
      <c r="M15" s="408">
        <f>J15</f>
        <v>0</v>
      </c>
    </row>
    <row r="16" spans="1:13" x14ac:dyDescent="0.35">
      <c r="A16" s="409"/>
      <c r="B16" s="409"/>
      <c r="C16" s="416" t="s">
        <v>65</v>
      </c>
      <c r="D16" s="417" t="s">
        <v>66</v>
      </c>
      <c r="E16" s="409">
        <v>1.02</v>
      </c>
      <c r="F16" s="418">
        <f>E16*1.02</f>
        <v>1.0404</v>
      </c>
      <c r="G16" s="408"/>
      <c r="H16" s="408"/>
      <c r="I16" s="279">
        <v>0</v>
      </c>
      <c r="J16" s="408">
        <f t="shared" si="0"/>
        <v>0</v>
      </c>
      <c r="K16" s="408"/>
      <c r="L16" s="408"/>
      <c r="M16" s="408">
        <f>J16</f>
        <v>0</v>
      </c>
    </row>
    <row r="17" spans="1:13" x14ac:dyDescent="0.35">
      <c r="A17" s="409"/>
      <c r="B17" s="410"/>
      <c r="C17" s="411" t="s">
        <v>67</v>
      </c>
      <c r="D17" s="412" t="s">
        <v>66</v>
      </c>
      <c r="E17" s="409">
        <v>1.02</v>
      </c>
      <c r="F17" s="408">
        <f>E17*2.1</f>
        <v>2.1420000000000003</v>
      </c>
      <c r="G17" s="408"/>
      <c r="H17" s="414"/>
      <c r="I17" s="279">
        <v>0</v>
      </c>
      <c r="J17" s="408">
        <f t="shared" si="0"/>
        <v>0</v>
      </c>
      <c r="K17" s="408"/>
      <c r="L17" s="408"/>
      <c r="M17" s="408">
        <f>J17</f>
        <v>0</v>
      </c>
    </row>
    <row r="18" spans="1:13" x14ac:dyDescent="0.35">
      <c r="A18" s="409"/>
      <c r="B18" s="410"/>
      <c r="C18" s="411" t="s">
        <v>68</v>
      </c>
      <c r="D18" s="412" t="s">
        <v>66</v>
      </c>
      <c r="E18" s="409">
        <v>1.02</v>
      </c>
      <c r="F18" s="408">
        <f>E18*0.35</f>
        <v>0.35699999999999998</v>
      </c>
      <c r="G18" s="408"/>
      <c r="H18" s="408"/>
      <c r="I18" s="279">
        <v>0</v>
      </c>
      <c r="J18" s="408">
        <f t="shared" si="0"/>
        <v>0</v>
      </c>
      <c r="K18" s="408"/>
      <c r="L18" s="408"/>
      <c r="M18" s="408">
        <f>J18</f>
        <v>0</v>
      </c>
    </row>
    <row r="19" spans="1:13" x14ac:dyDescent="0.35">
      <c r="A19" s="409"/>
      <c r="B19" s="410"/>
      <c r="C19" s="411" t="s">
        <v>69</v>
      </c>
      <c r="D19" s="410" t="s">
        <v>45</v>
      </c>
      <c r="E19" s="409">
        <v>1.02</v>
      </c>
      <c r="F19" s="413">
        <f>E19*F13</f>
        <v>53.04</v>
      </c>
      <c r="G19" s="414"/>
      <c r="H19" s="408"/>
      <c r="I19" s="279">
        <v>0</v>
      </c>
      <c r="J19" s="408">
        <f t="shared" si="0"/>
        <v>0</v>
      </c>
      <c r="K19" s="408"/>
      <c r="L19" s="408"/>
      <c r="M19" s="408">
        <f>J19</f>
        <v>0</v>
      </c>
    </row>
    <row r="20" spans="1:13" ht="26" x14ac:dyDescent="0.35">
      <c r="A20" s="409"/>
      <c r="B20" s="409"/>
      <c r="C20" s="419" t="s">
        <v>70</v>
      </c>
      <c r="D20" s="420" t="s">
        <v>71</v>
      </c>
      <c r="E20" s="421">
        <v>1</v>
      </c>
      <c r="F20" s="421">
        <v>68</v>
      </c>
      <c r="G20" s="422"/>
      <c r="H20" s="422"/>
      <c r="I20" s="297">
        <v>0</v>
      </c>
      <c r="J20" s="422">
        <f t="shared" si="0"/>
        <v>0</v>
      </c>
      <c r="K20" s="422"/>
      <c r="L20" s="422"/>
      <c r="M20" s="422">
        <f>J20++H20</f>
        <v>0</v>
      </c>
    </row>
    <row r="21" spans="1:13" x14ac:dyDescent="0.35">
      <c r="A21" s="409"/>
      <c r="B21" s="410"/>
      <c r="C21" s="411" t="s">
        <v>72</v>
      </c>
      <c r="D21" s="412" t="s">
        <v>73</v>
      </c>
      <c r="E21" s="413">
        <v>1</v>
      </c>
      <c r="F21" s="413">
        <v>110</v>
      </c>
      <c r="G21" s="408"/>
      <c r="H21" s="414"/>
      <c r="I21" s="279">
        <v>0</v>
      </c>
      <c r="J21" s="408">
        <f t="shared" si="0"/>
        <v>0</v>
      </c>
      <c r="K21" s="408"/>
      <c r="L21" s="408"/>
      <c r="M21" s="408">
        <f>J20</f>
        <v>0</v>
      </c>
    </row>
    <row r="22" spans="1:13" x14ac:dyDescent="0.35">
      <c r="A22" s="409"/>
      <c r="B22" s="423"/>
      <c r="C22" s="419" t="s">
        <v>74</v>
      </c>
      <c r="D22" s="420" t="s">
        <v>45</v>
      </c>
      <c r="E22" s="422">
        <v>0.03</v>
      </c>
      <c r="F22" s="421">
        <f>E22*F13</f>
        <v>1.56</v>
      </c>
      <c r="G22" s="422"/>
      <c r="H22" s="422"/>
      <c r="I22" s="297">
        <v>0</v>
      </c>
      <c r="J22" s="422">
        <f t="shared" si="0"/>
        <v>0</v>
      </c>
      <c r="K22" s="422"/>
      <c r="L22" s="422"/>
      <c r="M22" s="422">
        <f>J22++H22</f>
        <v>0</v>
      </c>
    </row>
    <row r="23" spans="1:13" x14ac:dyDescent="0.35">
      <c r="A23" s="409"/>
      <c r="B23" s="409"/>
      <c r="C23" s="411" t="s">
        <v>75</v>
      </c>
      <c r="D23" s="412" t="s">
        <v>29</v>
      </c>
      <c r="E23" s="413">
        <v>1</v>
      </c>
      <c r="F23" s="413">
        <f>F13*E23</f>
        <v>52</v>
      </c>
      <c r="G23" s="408"/>
      <c r="H23" s="414"/>
      <c r="I23" s="279">
        <v>0</v>
      </c>
      <c r="J23" s="408">
        <f t="shared" si="0"/>
        <v>0</v>
      </c>
      <c r="K23" s="408"/>
      <c r="L23" s="408"/>
      <c r="M23" s="408">
        <f>L23+J23</f>
        <v>0</v>
      </c>
    </row>
    <row r="24" spans="1:13" x14ac:dyDescent="0.35">
      <c r="A24" s="409"/>
      <c r="B24" s="410"/>
      <c r="C24" s="411" t="s">
        <v>76</v>
      </c>
      <c r="D24" s="412" t="s">
        <v>29</v>
      </c>
      <c r="E24" s="413">
        <v>0.3</v>
      </c>
      <c r="F24" s="413">
        <f>E24*F13</f>
        <v>15.6</v>
      </c>
      <c r="G24" s="408"/>
      <c r="H24" s="414"/>
      <c r="I24" s="414"/>
      <c r="J24" s="408"/>
      <c r="K24" s="279">
        <v>0</v>
      </c>
      <c r="L24" s="408">
        <f>K24*F24</f>
        <v>0</v>
      </c>
      <c r="M24" s="408">
        <f>L24</f>
        <v>0</v>
      </c>
    </row>
    <row r="25" spans="1:13" ht="26" x14ac:dyDescent="0.35">
      <c r="A25" s="397">
        <v>2</v>
      </c>
      <c r="B25" s="398" t="s">
        <v>43</v>
      </c>
      <c r="C25" s="424" t="s">
        <v>77</v>
      </c>
      <c r="D25" s="398" t="s">
        <v>45</v>
      </c>
      <c r="E25" s="405">
        <v>1</v>
      </c>
      <c r="F25" s="405">
        <v>28</v>
      </c>
      <c r="G25" s="278">
        <v>0</v>
      </c>
      <c r="H25" s="406">
        <f>G25*F25</f>
        <v>0</v>
      </c>
      <c r="I25" s="407"/>
      <c r="J25" s="408"/>
      <c r="K25" s="408"/>
      <c r="L25" s="408"/>
      <c r="M25" s="408">
        <f>H25</f>
        <v>0</v>
      </c>
    </row>
    <row r="26" spans="1:13" x14ac:dyDescent="0.35">
      <c r="A26" s="409"/>
      <c r="B26" s="410"/>
      <c r="C26" s="411" t="s">
        <v>63</v>
      </c>
      <c r="D26" s="412" t="s">
        <v>45</v>
      </c>
      <c r="E26" s="413">
        <v>1</v>
      </c>
      <c r="F26" s="413">
        <v>5</v>
      </c>
      <c r="G26" s="279">
        <v>0</v>
      </c>
      <c r="H26" s="408">
        <f>G26*F26</f>
        <v>0</v>
      </c>
      <c r="I26" s="414"/>
      <c r="J26" s="408"/>
      <c r="K26" s="408"/>
      <c r="L26" s="408"/>
      <c r="M26" s="408"/>
    </row>
    <row r="27" spans="1:13" x14ac:dyDescent="0.35">
      <c r="A27" s="409"/>
      <c r="B27" s="410"/>
      <c r="C27" s="415" t="s">
        <v>64</v>
      </c>
      <c r="D27" s="409" t="s">
        <v>45</v>
      </c>
      <c r="E27" s="409">
        <v>1.02</v>
      </c>
      <c r="F27" s="413">
        <f>F26*E27</f>
        <v>5.0999999999999996</v>
      </c>
      <c r="G27" s="414"/>
      <c r="H27" s="408"/>
      <c r="I27" s="279">
        <v>0</v>
      </c>
      <c r="J27" s="408">
        <f t="shared" ref="J27:J35" si="1">I27*F27</f>
        <v>0</v>
      </c>
      <c r="K27" s="408"/>
      <c r="L27" s="408"/>
      <c r="M27" s="408">
        <f>J27</f>
        <v>0</v>
      </c>
    </row>
    <row r="28" spans="1:13" x14ac:dyDescent="0.35">
      <c r="A28" s="409"/>
      <c r="B28" s="409"/>
      <c r="C28" s="416" t="s">
        <v>65</v>
      </c>
      <c r="D28" s="417" t="s">
        <v>66</v>
      </c>
      <c r="E28" s="409">
        <v>1.02</v>
      </c>
      <c r="F28" s="418">
        <f>E28*0.54</f>
        <v>0.55080000000000007</v>
      </c>
      <c r="G28" s="408"/>
      <c r="H28" s="408"/>
      <c r="I28" s="279">
        <v>0</v>
      </c>
      <c r="J28" s="408">
        <f t="shared" si="1"/>
        <v>0</v>
      </c>
      <c r="K28" s="408"/>
      <c r="L28" s="408"/>
      <c r="M28" s="408">
        <f>J28</f>
        <v>0</v>
      </c>
    </row>
    <row r="29" spans="1:13" x14ac:dyDescent="0.35">
      <c r="A29" s="409"/>
      <c r="B29" s="410"/>
      <c r="C29" s="411" t="s">
        <v>67</v>
      </c>
      <c r="D29" s="412" t="s">
        <v>66</v>
      </c>
      <c r="E29" s="409">
        <v>1.02</v>
      </c>
      <c r="F29" s="408">
        <f>E29*1.1</f>
        <v>1.1220000000000001</v>
      </c>
      <c r="G29" s="408"/>
      <c r="H29" s="414"/>
      <c r="I29" s="279">
        <v>0</v>
      </c>
      <c r="J29" s="408">
        <f t="shared" si="1"/>
        <v>0</v>
      </c>
      <c r="K29" s="408"/>
      <c r="L29" s="408"/>
      <c r="M29" s="408">
        <f>J29</f>
        <v>0</v>
      </c>
    </row>
    <row r="30" spans="1:13" x14ac:dyDescent="0.35">
      <c r="A30" s="409"/>
      <c r="B30" s="410"/>
      <c r="C30" s="411" t="s">
        <v>68</v>
      </c>
      <c r="D30" s="412" t="s">
        <v>66</v>
      </c>
      <c r="E30" s="409">
        <v>1.02</v>
      </c>
      <c r="F30" s="408">
        <f>E30*0.18</f>
        <v>0.18359999999999999</v>
      </c>
      <c r="G30" s="408"/>
      <c r="H30" s="408"/>
      <c r="I30" s="279">
        <v>0</v>
      </c>
      <c r="J30" s="408">
        <f t="shared" si="1"/>
        <v>0</v>
      </c>
      <c r="K30" s="408"/>
      <c r="L30" s="408"/>
      <c r="M30" s="408">
        <f>J30</f>
        <v>0</v>
      </c>
    </row>
    <row r="31" spans="1:13" x14ac:dyDescent="0.35">
      <c r="A31" s="409"/>
      <c r="B31" s="410"/>
      <c r="C31" s="411" t="s">
        <v>69</v>
      </c>
      <c r="D31" s="410" t="s">
        <v>45</v>
      </c>
      <c r="E31" s="409">
        <v>1.02</v>
      </c>
      <c r="F31" s="413">
        <f>E31*F25</f>
        <v>28.560000000000002</v>
      </c>
      <c r="G31" s="414"/>
      <c r="H31" s="408"/>
      <c r="I31" s="279">
        <v>0</v>
      </c>
      <c r="J31" s="408">
        <f t="shared" si="1"/>
        <v>0</v>
      </c>
      <c r="K31" s="408"/>
      <c r="L31" s="408"/>
      <c r="M31" s="408">
        <f>J31</f>
        <v>0</v>
      </c>
    </row>
    <row r="32" spans="1:13" ht="26" x14ac:dyDescent="0.35">
      <c r="A32" s="409"/>
      <c r="B32" s="409"/>
      <c r="C32" s="419" t="s">
        <v>70</v>
      </c>
      <c r="D32" s="420" t="s">
        <v>71</v>
      </c>
      <c r="E32" s="421">
        <v>1</v>
      </c>
      <c r="F32" s="421">
        <v>36</v>
      </c>
      <c r="G32" s="422"/>
      <c r="H32" s="422"/>
      <c r="I32" s="297">
        <v>0</v>
      </c>
      <c r="J32" s="422">
        <f t="shared" si="1"/>
        <v>0</v>
      </c>
      <c r="K32" s="422"/>
      <c r="L32" s="422"/>
      <c r="M32" s="422">
        <f>J32++H32</f>
        <v>0</v>
      </c>
    </row>
    <row r="33" spans="1:13" x14ac:dyDescent="0.35">
      <c r="A33" s="409"/>
      <c r="B33" s="410"/>
      <c r="C33" s="411" t="s">
        <v>72</v>
      </c>
      <c r="D33" s="412" t="s">
        <v>73</v>
      </c>
      <c r="E33" s="413">
        <v>1</v>
      </c>
      <c r="F33" s="413">
        <v>60</v>
      </c>
      <c r="G33" s="408"/>
      <c r="H33" s="414"/>
      <c r="I33" s="279">
        <v>0</v>
      </c>
      <c r="J33" s="408">
        <f t="shared" si="1"/>
        <v>0</v>
      </c>
      <c r="K33" s="408"/>
      <c r="L33" s="408"/>
      <c r="M33" s="408">
        <f>J32</f>
        <v>0</v>
      </c>
    </row>
    <row r="34" spans="1:13" x14ac:dyDescent="0.35">
      <c r="A34" s="409"/>
      <c r="B34" s="423"/>
      <c r="C34" s="419" t="s">
        <v>74</v>
      </c>
      <c r="D34" s="420" t="s">
        <v>45</v>
      </c>
      <c r="E34" s="422">
        <v>0.03</v>
      </c>
      <c r="F34" s="421">
        <f>E34*F25</f>
        <v>0.84</v>
      </c>
      <c r="G34" s="422"/>
      <c r="H34" s="422"/>
      <c r="I34" s="297">
        <v>0</v>
      </c>
      <c r="J34" s="422">
        <f t="shared" si="1"/>
        <v>0</v>
      </c>
      <c r="K34" s="422"/>
      <c r="L34" s="422"/>
      <c r="M34" s="422">
        <f>J34++H34</f>
        <v>0</v>
      </c>
    </row>
    <row r="35" spans="1:13" x14ac:dyDescent="0.35">
      <c r="A35" s="409"/>
      <c r="B35" s="409"/>
      <c r="C35" s="411" t="s">
        <v>75</v>
      </c>
      <c r="D35" s="412" t="s">
        <v>29</v>
      </c>
      <c r="E35" s="413">
        <v>1</v>
      </c>
      <c r="F35" s="413">
        <f>F25*E35</f>
        <v>28</v>
      </c>
      <c r="G35" s="408"/>
      <c r="H35" s="414"/>
      <c r="I35" s="279">
        <v>0</v>
      </c>
      <c r="J35" s="408">
        <f t="shared" si="1"/>
        <v>0</v>
      </c>
      <c r="K35" s="408"/>
      <c r="L35" s="408"/>
      <c r="M35" s="408">
        <f>L35+J35</f>
        <v>0</v>
      </c>
    </row>
    <row r="36" spans="1:13" x14ac:dyDescent="0.35">
      <c r="A36" s="409"/>
      <c r="B36" s="410"/>
      <c r="C36" s="411" t="s">
        <v>76</v>
      </c>
      <c r="D36" s="412" t="s">
        <v>29</v>
      </c>
      <c r="E36" s="413">
        <v>0.3</v>
      </c>
      <c r="F36" s="413">
        <f>E36*F25</f>
        <v>8.4</v>
      </c>
      <c r="G36" s="408"/>
      <c r="H36" s="414"/>
      <c r="I36" s="414"/>
      <c r="J36" s="408"/>
      <c r="K36" s="279">
        <v>0</v>
      </c>
      <c r="L36" s="408">
        <f>K36*F36</f>
        <v>0</v>
      </c>
      <c r="M36" s="408">
        <f>L36</f>
        <v>0</v>
      </c>
    </row>
    <row r="37" spans="1:13" ht="26" x14ac:dyDescent="0.35">
      <c r="A37" s="397">
        <v>3</v>
      </c>
      <c r="B37" s="398" t="s">
        <v>43</v>
      </c>
      <c r="C37" s="403" t="s">
        <v>78</v>
      </c>
      <c r="D37" s="398" t="s">
        <v>45</v>
      </c>
      <c r="E37" s="405">
        <v>1</v>
      </c>
      <c r="F37" s="405">
        <v>13</v>
      </c>
      <c r="G37" s="278">
        <v>0</v>
      </c>
      <c r="H37" s="406">
        <f>G37*F37</f>
        <v>0</v>
      </c>
      <c r="I37" s="407"/>
      <c r="J37" s="408"/>
      <c r="K37" s="408"/>
      <c r="L37" s="408"/>
      <c r="M37" s="408">
        <f>H37</f>
        <v>0</v>
      </c>
    </row>
    <row r="38" spans="1:13" x14ac:dyDescent="0.35">
      <c r="A38" s="409"/>
      <c r="B38" s="410"/>
      <c r="C38" s="411" t="s">
        <v>63</v>
      </c>
      <c r="D38" s="412" t="s">
        <v>45</v>
      </c>
      <c r="E38" s="413">
        <v>1</v>
      </c>
      <c r="F38" s="413">
        <v>2.5</v>
      </c>
      <c r="G38" s="279">
        <v>0</v>
      </c>
      <c r="H38" s="408">
        <f>G38*F38</f>
        <v>0</v>
      </c>
      <c r="I38" s="414"/>
      <c r="J38" s="408"/>
      <c r="K38" s="408"/>
      <c r="L38" s="408"/>
      <c r="M38" s="408"/>
    </row>
    <row r="39" spans="1:13" x14ac:dyDescent="0.35">
      <c r="A39" s="409"/>
      <c r="B39" s="410"/>
      <c r="C39" s="415" t="s">
        <v>64</v>
      </c>
      <c r="D39" s="409" t="s">
        <v>45</v>
      </c>
      <c r="E39" s="409">
        <v>1.02</v>
      </c>
      <c r="F39" s="413">
        <f>F38*E39</f>
        <v>2.5499999999999998</v>
      </c>
      <c r="G39" s="414"/>
      <c r="H39" s="408"/>
      <c r="I39" s="279">
        <v>0</v>
      </c>
      <c r="J39" s="408">
        <f t="shared" ref="J39:J47" si="2">I39*F39</f>
        <v>0</v>
      </c>
      <c r="K39" s="408"/>
      <c r="L39" s="408"/>
      <c r="M39" s="408">
        <f>J39</f>
        <v>0</v>
      </c>
    </row>
    <row r="40" spans="1:13" x14ac:dyDescent="0.35">
      <c r="A40" s="409"/>
      <c r="B40" s="409"/>
      <c r="C40" s="416" t="s">
        <v>65</v>
      </c>
      <c r="D40" s="417" t="s">
        <v>66</v>
      </c>
      <c r="E40" s="409">
        <v>1.02</v>
      </c>
      <c r="F40" s="418">
        <f>E40*0.28</f>
        <v>0.28560000000000002</v>
      </c>
      <c r="G40" s="408"/>
      <c r="H40" s="408"/>
      <c r="I40" s="279">
        <v>0</v>
      </c>
      <c r="J40" s="408">
        <f t="shared" si="2"/>
        <v>0</v>
      </c>
      <c r="K40" s="408"/>
      <c r="L40" s="408"/>
      <c r="M40" s="408">
        <f>J40</f>
        <v>0</v>
      </c>
    </row>
    <row r="41" spans="1:13" x14ac:dyDescent="0.35">
      <c r="A41" s="409"/>
      <c r="B41" s="410"/>
      <c r="C41" s="411" t="s">
        <v>67</v>
      </c>
      <c r="D41" s="412" t="s">
        <v>66</v>
      </c>
      <c r="E41" s="409">
        <v>1.02</v>
      </c>
      <c r="F41" s="408">
        <f>E41*0.49</f>
        <v>0.49980000000000002</v>
      </c>
      <c r="G41" s="408"/>
      <c r="H41" s="414"/>
      <c r="I41" s="279">
        <v>0</v>
      </c>
      <c r="J41" s="408">
        <f t="shared" si="2"/>
        <v>0</v>
      </c>
      <c r="K41" s="408"/>
      <c r="L41" s="408"/>
      <c r="M41" s="408">
        <f>J41</f>
        <v>0</v>
      </c>
    </row>
    <row r="42" spans="1:13" x14ac:dyDescent="0.35">
      <c r="A42" s="409"/>
      <c r="B42" s="410"/>
      <c r="C42" s="411" t="s">
        <v>68</v>
      </c>
      <c r="D42" s="412" t="s">
        <v>66</v>
      </c>
      <c r="E42" s="409">
        <v>1.02</v>
      </c>
      <c r="F42" s="425">
        <f>E42*0.15</f>
        <v>0.153</v>
      </c>
      <c r="G42" s="408"/>
      <c r="H42" s="408"/>
      <c r="I42" s="279">
        <v>0</v>
      </c>
      <c r="J42" s="408">
        <f t="shared" si="2"/>
        <v>0</v>
      </c>
      <c r="K42" s="408"/>
      <c r="L42" s="408"/>
      <c r="M42" s="408">
        <f>J42</f>
        <v>0</v>
      </c>
    </row>
    <row r="43" spans="1:13" x14ac:dyDescent="0.35">
      <c r="A43" s="409"/>
      <c r="B43" s="410"/>
      <c r="C43" s="411" t="s">
        <v>69</v>
      </c>
      <c r="D43" s="410" t="s">
        <v>45</v>
      </c>
      <c r="E43" s="409">
        <v>1.02</v>
      </c>
      <c r="F43" s="413">
        <f>E43*F37</f>
        <v>13.26</v>
      </c>
      <c r="G43" s="414"/>
      <c r="H43" s="408"/>
      <c r="I43" s="279">
        <v>0</v>
      </c>
      <c r="J43" s="408">
        <f t="shared" si="2"/>
        <v>0</v>
      </c>
      <c r="K43" s="408"/>
      <c r="L43" s="408"/>
      <c r="M43" s="408">
        <f>J43</f>
        <v>0</v>
      </c>
    </row>
    <row r="44" spans="1:13" ht="26" x14ac:dyDescent="0.35">
      <c r="A44" s="409"/>
      <c r="B44" s="409"/>
      <c r="C44" s="419" t="s">
        <v>70</v>
      </c>
      <c r="D44" s="420" t="s">
        <v>71</v>
      </c>
      <c r="E44" s="421">
        <v>1</v>
      </c>
      <c r="F44" s="421">
        <v>16</v>
      </c>
      <c r="G44" s="422"/>
      <c r="H44" s="422"/>
      <c r="I44" s="297">
        <v>0</v>
      </c>
      <c r="J44" s="422">
        <f t="shared" si="2"/>
        <v>0</v>
      </c>
      <c r="K44" s="422"/>
      <c r="L44" s="422"/>
      <c r="M44" s="422">
        <f>J44++H44</f>
        <v>0</v>
      </c>
    </row>
    <row r="45" spans="1:13" x14ac:dyDescent="0.35">
      <c r="A45" s="409"/>
      <c r="B45" s="410"/>
      <c r="C45" s="411" t="s">
        <v>72</v>
      </c>
      <c r="D45" s="412" t="s">
        <v>73</v>
      </c>
      <c r="E45" s="413">
        <v>1</v>
      </c>
      <c r="F45" s="413">
        <v>27</v>
      </c>
      <c r="G45" s="408"/>
      <c r="H45" s="414"/>
      <c r="I45" s="279">
        <v>0</v>
      </c>
      <c r="J45" s="408">
        <f t="shared" si="2"/>
        <v>0</v>
      </c>
      <c r="K45" s="408"/>
      <c r="L45" s="408"/>
      <c r="M45" s="408">
        <f>J44</f>
        <v>0</v>
      </c>
    </row>
    <row r="46" spans="1:13" x14ac:dyDescent="0.35">
      <c r="A46" s="409"/>
      <c r="B46" s="423"/>
      <c r="C46" s="419" t="s">
        <v>74</v>
      </c>
      <c r="D46" s="420" t="s">
        <v>45</v>
      </c>
      <c r="E46" s="422">
        <v>0.03</v>
      </c>
      <c r="F46" s="421">
        <f>E46*F37</f>
        <v>0.39</v>
      </c>
      <c r="G46" s="422"/>
      <c r="H46" s="422"/>
      <c r="I46" s="297">
        <v>0</v>
      </c>
      <c r="J46" s="422">
        <f t="shared" si="2"/>
        <v>0</v>
      </c>
      <c r="K46" s="422"/>
      <c r="L46" s="422"/>
      <c r="M46" s="422">
        <f>J46++H46</f>
        <v>0</v>
      </c>
    </row>
    <row r="47" spans="1:13" x14ac:dyDescent="0.35">
      <c r="A47" s="409"/>
      <c r="B47" s="409"/>
      <c r="C47" s="411" t="s">
        <v>75</v>
      </c>
      <c r="D47" s="412" t="s">
        <v>29</v>
      </c>
      <c r="E47" s="413">
        <v>1</v>
      </c>
      <c r="F47" s="413">
        <f>F37*E47</f>
        <v>13</v>
      </c>
      <c r="G47" s="408"/>
      <c r="H47" s="414"/>
      <c r="I47" s="279">
        <v>0</v>
      </c>
      <c r="J47" s="408">
        <f t="shared" si="2"/>
        <v>0</v>
      </c>
      <c r="K47" s="408"/>
      <c r="L47" s="408"/>
      <c r="M47" s="408">
        <f>L47+J47</f>
        <v>0</v>
      </c>
    </row>
    <row r="48" spans="1:13" x14ac:dyDescent="0.35">
      <c r="A48" s="409"/>
      <c r="B48" s="410"/>
      <c r="C48" s="411" t="s">
        <v>76</v>
      </c>
      <c r="D48" s="412" t="s">
        <v>29</v>
      </c>
      <c r="E48" s="413">
        <v>0.3</v>
      </c>
      <c r="F48" s="413">
        <f>E48*F37</f>
        <v>3.9</v>
      </c>
      <c r="G48" s="408"/>
      <c r="H48" s="414"/>
      <c r="I48" s="414"/>
      <c r="J48" s="408"/>
      <c r="K48" s="279">
        <v>0</v>
      </c>
      <c r="L48" s="408">
        <f>K48*F48</f>
        <v>0</v>
      </c>
      <c r="M48" s="408">
        <f>L48</f>
        <v>0</v>
      </c>
    </row>
    <row r="49" spans="1:13" ht="26" x14ac:dyDescent="0.35">
      <c r="A49" s="397">
        <v>4</v>
      </c>
      <c r="B49" s="398" t="s">
        <v>43</v>
      </c>
      <c r="C49" s="403" t="s">
        <v>79</v>
      </c>
      <c r="D49" s="398" t="s">
        <v>45</v>
      </c>
      <c r="E49" s="405">
        <v>1</v>
      </c>
      <c r="F49" s="405">
        <v>7.4</v>
      </c>
      <c r="G49" s="278">
        <v>0</v>
      </c>
      <c r="H49" s="406">
        <f>G49*F49</f>
        <v>0</v>
      </c>
      <c r="I49" s="407"/>
      <c r="J49" s="408"/>
      <c r="K49" s="408"/>
      <c r="L49" s="408"/>
      <c r="M49" s="408">
        <f>H49</f>
        <v>0</v>
      </c>
    </row>
    <row r="50" spans="1:13" x14ac:dyDescent="0.35">
      <c r="A50" s="409"/>
      <c r="B50" s="410"/>
      <c r="C50" s="411" t="s">
        <v>63</v>
      </c>
      <c r="D50" s="412" t="s">
        <v>45</v>
      </c>
      <c r="E50" s="413">
        <v>1</v>
      </c>
      <c r="F50" s="413">
        <v>1.5</v>
      </c>
      <c r="G50" s="279">
        <v>0</v>
      </c>
      <c r="H50" s="408">
        <f>G50*F50</f>
        <v>0</v>
      </c>
      <c r="I50" s="414"/>
      <c r="J50" s="408"/>
      <c r="K50" s="408"/>
      <c r="L50" s="408"/>
      <c r="M50" s="408"/>
    </row>
    <row r="51" spans="1:13" x14ac:dyDescent="0.35">
      <c r="A51" s="409"/>
      <c r="B51" s="410"/>
      <c r="C51" s="415" t="s">
        <v>64</v>
      </c>
      <c r="D51" s="409" t="s">
        <v>45</v>
      </c>
      <c r="E51" s="409">
        <v>1.02</v>
      </c>
      <c r="F51" s="413">
        <f>F50*E51</f>
        <v>1.53</v>
      </c>
      <c r="G51" s="414"/>
      <c r="H51" s="408"/>
      <c r="I51" s="279">
        <v>0</v>
      </c>
      <c r="J51" s="408">
        <f t="shared" ref="J51:J59" si="3">I51*F51</f>
        <v>0</v>
      </c>
      <c r="K51" s="408"/>
      <c r="L51" s="408"/>
      <c r="M51" s="408">
        <f>J51</f>
        <v>0</v>
      </c>
    </row>
    <row r="52" spans="1:13" x14ac:dyDescent="0.35">
      <c r="A52" s="409"/>
      <c r="B52" s="409"/>
      <c r="C52" s="416" t="s">
        <v>65</v>
      </c>
      <c r="D52" s="417" t="s">
        <v>66</v>
      </c>
      <c r="E52" s="409">
        <v>1.02</v>
      </c>
      <c r="F52" s="418">
        <f>E52*0.16</f>
        <v>0.16320000000000001</v>
      </c>
      <c r="G52" s="408"/>
      <c r="H52" s="408"/>
      <c r="I52" s="279">
        <v>0</v>
      </c>
      <c r="J52" s="408">
        <f t="shared" si="3"/>
        <v>0</v>
      </c>
      <c r="K52" s="408"/>
      <c r="L52" s="408"/>
      <c r="M52" s="408">
        <f>J52</f>
        <v>0</v>
      </c>
    </row>
    <row r="53" spans="1:13" x14ac:dyDescent="0.35">
      <c r="A53" s="409"/>
      <c r="B53" s="410"/>
      <c r="C53" s="411" t="s">
        <v>67</v>
      </c>
      <c r="D53" s="412" t="s">
        <v>66</v>
      </c>
      <c r="E53" s="409">
        <v>1.02</v>
      </c>
      <c r="F53" s="408">
        <f>E53*0.29</f>
        <v>0.29580000000000001</v>
      </c>
      <c r="G53" s="408"/>
      <c r="H53" s="414"/>
      <c r="I53" s="279">
        <v>0</v>
      </c>
      <c r="J53" s="408">
        <f t="shared" si="3"/>
        <v>0</v>
      </c>
      <c r="K53" s="408"/>
      <c r="L53" s="408"/>
      <c r="M53" s="408">
        <f>J53</f>
        <v>0</v>
      </c>
    </row>
    <row r="54" spans="1:13" x14ac:dyDescent="0.35">
      <c r="A54" s="409"/>
      <c r="B54" s="410"/>
      <c r="C54" s="411" t="s">
        <v>68</v>
      </c>
      <c r="D54" s="412" t="s">
        <v>66</v>
      </c>
      <c r="E54" s="409">
        <v>1.02</v>
      </c>
      <c r="F54" s="408">
        <f>E54*0.1</f>
        <v>0.10200000000000001</v>
      </c>
      <c r="G54" s="408"/>
      <c r="H54" s="408"/>
      <c r="I54" s="279">
        <v>0</v>
      </c>
      <c r="J54" s="408">
        <f t="shared" si="3"/>
        <v>0</v>
      </c>
      <c r="K54" s="408"/>
      <c r="L54" s="408"/>
      <c r="M54" s="408">
        <f>J54</f>
        <v>0</v>
      </c>
    </row>
    <row r="55" spans="1:13" x14ac:dyDescent="0.35">
      <c r="A55" s="409"/>
      <c r="B55" s="410"/>
      <c r="C55" s="411" t="s">
        <v>69</v>
      </c>
      <c r="D55" s="410" t="s">
        <v>45</v>
      </c>
      <c r="E55" s="409">
        <v>1.02</v>
      </c>
      <c r="F55" s="413">
        <f>E55*F49</f>
        <v>7.5480000000000009</v>
      </c>
      <c r="G55" s="414"/>
      <c r="H55" s="408"/>
      <c r="I55" s="279">
        <v>0</v>
      </c>
      <c r="J55" s="408">
        <f t="shared" si="3"/>
        <v>0</v>
      </c>
      <c r="K55" s="408"/>
      <c r="L55" s="408"/>
      <c r="M55" s="408">
        <f>J55</f>
        <v>0</v>
      </c>
    </row>
    <row r="56" spans="1:13" ht="26" x14ac:dyDescent="0.35">
      <c r="A56" s="409"/>
      <c r="B56" s="409"/>
      <c r="C56" s="419" t="s">
        <v>70</v>
      </c>
      <c r="D56" s="420" t="s">
        <v>71</v>
      </c>
      <c r="E56" s="421">
        <v>1</v>
      </c>
      <c r="F56" s="421">
        <v>8</v>
      </c>
      <c r="G56" s="422"/>
      <c r="H56" s="422"/>
      <c r="I56" s="297">
        <v>0</v>
      </c>
      <c r="J56" s="422">
        <f t="shared" si="3"/>
        <v>0</v>
      </c>
      <c r="K56" s="422"/>
      <c r="L56" s="422"/>
      <c r="M56" s="422">
        <f>J56++H56</f>
        <v>0</v>
      </c>
    </row>
    <row r="57" spans="1:13" x14ac:dyDescent="0.35">
      <c r="A57" s="409"/>
      <c r="B57" s="410"/>
      <c r="C57" s="411" t="s">
        <v>72</v>
      </c>
      <c r="D57" s="412" t="s">
        <v>73</v>
      </c>
      <c r="E57" s="413">
        <v>1</v>
      </c>
      <c r="F57" s="413">
        <v>14</v>
      </c>
      <c r="G57" s="408"/>
      <c r="H57" s="414"/>
      <c r="I57" s="279">
        <v>0</v>
      </c>
      <c r="J57" s="408">
        <f t="shared" si="3"/>
        <v>0</v>
      </c>
      <c r="K57" s="408"/>
      <c r="L57" s="408"/>
      <c r="M57" s="408">
        <f>J56</f>
        <v>0</v>
      </c>
    </row>
    <row r="58" spans="1:13" x14ac:dyDescent="0.35">
      <c r="A58" s="409"/>
      <c r="B58" s="423"/>
      <c r="C58" s="419" t="s">
        <v>74</v>
      </c>
      <c r="D58" s="420" t="s">
        <v>45</v>
      </c>
      <c r="E58" s="422">
        <v>0.03</v>
      </c>
      <c r="F58" s="421">
        <f>E58*F49</f>
        <v>0.222</v>
      </c>
      <c r="G58" s="422"/>
      <c r="H58" s="422"/>
      <c r="I58" s="297">
        <v>0</v>
      </c>
      <c r="J58" s="422">
        <f t="shared" si="3"/>
        <v>0</v>
      </c>
      <c r="K58" s="422"/>
      <c r="L58" s="422"/>
      <c r="M58" s="422">
        <f>J58++H58</f>
        <v>0</v>
      </c>
    </row>
    <row r="59" spans="1:13" x14ac:dyDescent="0.35">
      <c r="A59" s="409"/>
      <c r="B59" s="409"/>
      <c r="C59" s="411" t="s">
        <v>75</v>
      </c>
      <c r="D59" s="412" t="s">
        <v>29</v>
      </c>
      <c r="E59" s="413">
        <v>1</v>
      </c>
      <c r="F59" s="413">
        <f>F49*E59</f>
        <v>7.4</v>
      </c>
      <c r="G59" s="408"/>
      <c r="H59" s="414"/>
      <c r="I59" s="279">
        <v>0</v>
      </c>
      <c r="J59" s="408">
        <f t="shared" si="3"/>
        <v>0</v>
      </c>
      <c r="K59" s="408"/>
      <c r="L59" s="408"/>
      <c r="M59" s="408">
        <f>L59+J59</f>
        <v>0</v>
      </c>
    </row>
    <row r="60" spans="1:13" x14ac:dyDescent="0.35">
      <c r="A60" s="409"/>
      <c r="B60" s="410"/>
      <c r="C60" s="411" t="s">
        <v>76</v>
      </c>
      <c r="D60" s="412" t="s">
        <v>29</v>
      </c>
      <c r="E60" s="413">
        <v>0.3</v>
      </c>
      <c r="F60" s="413">
        <f>E60*F49</f>
        <v>2.2200000000000002</v>
      </c>
      <c r="G60" s="408"/>
      <c r="H60" s="414"/>
      <c r="I60" s="414"/>
      <c r="J60" s="408"/>
      <c r="K60" s="279">
        <v>0</v>
      </c>
      <c r="L60" s="408">
        <f>K60*F60</f>
        <v>0</v>
      </c>
      <c r="M60" s="408">
        <f>L60</f>
        <v>0</v>
      </c>
    </row>
    <row r="61" spans="1:13" ht="26" x14ac:dyDescent="0.35">
      <c r="A61" s="397">
        <v>5</v>
      </c>
      <c r="B61" s="398" t="s">
        <v>43</v>
      </c>
      <c r="C61" s="403" t="s">
        <v>80</v>
      </c>
      <c r="D61" s="398" t="s">
        <v>45</v>
      </c>
      <c r="E61" s="405">
        <v>1</v>
      </c>
      <c r="F61" s="405">
        <v>33</v>
      </c>
      <c r="G61" s="278">
        <v>0</v>
      </c>
      <c r="H61" s="406">
        <f>G61*F61</f>
        <v>0</v>
      </c>
      <c r="I61" s="407"/>
      <c r="J61" s="408"/>
      <c r="K61" s="408"/>
      <c r="L61" s="408"/>
      <c r="M61" s="408">
        <f>H61</f>
        <v>0</v>
      </c>
    </row>
    <row r="62" spans="1:13" x14ac:dyDescent="0.35">
      <c r="A62" s="409"/>
      <c r="B62" s="410"/>
      <c r="C62" s="411" t="s">
        <v>63</v>
      </c>
      <c r="D62" s="412" t="s">
        <v>45</v>
      </c>
      <c r="E62" s="413">
        <v>1</v>
      </c>
      <c r="F62" s="413">
        <v>6</v>
      </c>
      <c r="G62" s="279">
        <v>0</v>
      </c>
      <c r="H62" s="408">
        <f>G62*F62</f>
        <v>0</v>
      </c>
      <c r="I62" s="414"/>
      <c r="J62" s="408"/>
      <c r="K62" s="408"/>
      <c r="L62" s="408"/>
      <c r="M62" s="408"/>
    </row>
    <row r="63" spans="1:13" x14ac:dyDescent="0.35">
      <c r="A63" s="409"/>
      <c r="B63" s="410"/>
      <c r="C63" s="415" t="s">
        <v>64</v>
      </c>
      <c r="D63" s="409" t="s">
        <v>45</v>
      </c>
      <c r="E63" s="409">
        <v>1.02</v>
      </c>
      <c r="F63" s="413">
        <f>F62*E63</f>
        <v>6.12</v>
      </c>
      <c r="G63" s="414"/>
      <c r="H63" s="408"/>
      <c r="I63" s="279">
        <v>0</v>
      </c>
      <c r="J63" s="408">
        <f t="shared" ref="J63:J71" si="4">I63*F63</f>
        <v>0</v>
      </c>
      <c r="K63" s="408"/>
      <c r="L63" s="408"/>
      <c r="M63" s="408">
        <f>J63</f>
        <v>0</v>
      </c>
    </row>
    <row r="64" spans="1:13" x14ac:dyDescent="0.35">
      <c r="A64" s="409"/>
      <c r="B64" s="409"/>
      <c r="C64" s="416" t="s">
        <v>65</v>
      </c>
      <c r="D64" s="417" t="s">
        <v>66</v>
      </c>
      <c r="E64" s="409">
        <v>1.02</v>
      </c>
      <c r="F64" s="418">
        <f>E64*0.54</f>
        <v>0.55080000000000007</v>
      </c>
      <c r="G64" s="408"/>
      <c r="H64" s="408"/>
      <c r="I64" s="279">
        <v>0</v>
      </c>
      <c r="J64" s="408">
        <f t="shared" si="4"/>
        <v>0</v>
      </c>
      <c r="K64" s="408"/>
      <c r="L64" s="408"/>
      <c r="M64" s="408">
        <f>J64</f>
        <v>0</v>
      </c>
    </row>
    <row r="65" spans="1:13" x14ac:dyDescent="0.35">
      <c r="A65" s="409"/>
      <c r="B65" s="410"/>
      <c r="C65" s="411" t="s">
        <v>67</v>
      </c>
      <c r="D65" s="412" t="s">
        <v>66</v>
      </c>
      <c r="E65" s="409">
        <v>1.02</v>
      </c>
      <c r="F65" s="408">
        <f>E65*1.3</f>
        <v>1.3260000000000001</v>
      </c>
      <c r="G65" s="408"/>
      <c r="H65" s="414"/>
      <c r="I65" s="279">
        <v>0</v>
      </c>
      <c r="J65" s="408">
        <f t="shared" si="4"/>
        <v>0</v>
      </c>
      <c r="K65" s="408"/>
      <c r="L65" s="408"/>
      <c r="M65" s="408">
        <f>J65</f>
        <v>0</v>
      </c>
    </row>
    <row r="66" spans="1:13" x14ac:dyDescent="0.35">
      <c r="A66" s="409"/>
      <c r="B66" s="410"/>
      <c r="C66" s="411" t="s">
        <v>68</v>
      </c>
      <c r="D66" s="412" t="s">
        <v>66</v>
      </c>
      <c r="E66" s="409">
        <v>1.02</v>
      </c>
      <c r="F66" s="425">
        <f>E66*0.19</f>
        <v>0.1938</v>
      </c>
      <c r="G66" s="408"/>
      <c r="H66" s="408"/>
      <c r="I66" s="279">
        <v>0</v>
      </c>
      <c r="J66" s="408">
        <f t="shared" si="4"/>
        <v>0</v>
      </c>
      <c r="K66" s="408"/>
      <c r="L66" s="408"/>
      <c r="M66" s="408">
        <f>J66</f>
        <v>0</v>
      </c>
    </row>
    <row r="67" spans="1:13" x14ac:dyDescent="0.35">
      <c r="A67" s="409"/>
      <c r="B67" s="410"/>
      <c r="C67" s="411" t="s">
        <v>69</v>
      </c>
      <c r="D67" s="410" t="s">
        <v>45</v>
      </c>
      <c r="E67" s="409">
        <v>1.02</v>
      </c>
      <c r="F67" s="413">
        <f>E67*F61</f>
        <v>33.660000000000004</v>
      </c>
      <c r="G67" s="414"/>
      <c r="H67" s="408"/>
      <c r="I67" s="279">
        <v>0</v>
      </c>
      <c r="J67" s="408">
        <f t="shared" si="4"/>
        <v>0</v>
      </c>
      <c r="K67" s="408"/>
      <c r="L67" s="408"/>
      <c r="M67" s="408">
        <f>J67</f>
        <v>0</v>
      </c>
    </row>
    <row r="68" spans="1:13" ht="26" x14ac:dyDescent="0.35">
      <c r="A68" s="409"/>
      <c r="B68" s="409"/>
      <c r="C68" s="419" t="s">
        <v>70</v>
      </c>
      <c r="D68" s="420" t="s">
        <v>71</v>
      </c>
      <c r="E68" s="421">
        <v>1</v>
      </c>
      <c r="F68" s="421">
        <v>36</v>
      </c>
      <c r="G68" s="422"/>
      <c r="H68" s="422"/>
      <c r="I68" s="297">
        <v>0</v>
      </c>
      <c r="J68" s="422">
        <f t="shared" si="4"/>
        <v>0</v>
      </c>
      <c r="K68" s="422"/>
      <c r="L68" s="422"/>
      <c r="M68" s="422">
        <f>J68++H68</f>
        <v>0</v>
      </c>
    </row>
    <row r="69" spans="1:13" x14ac:dyDescent="0.35">
      <c r="A69" s="409"/>
      <c r="B69" s="410"/>
      <c r="C69" s="411" t="s">
        <v>72</v>
      </c>
      <c r="D69" s="412" t="s">
        <v>73</v>
      </c>
      <c r="E69" s="413">
        <v>1</v>
      </c>
      <c r="F69" s="413">
        <v>60</v>
      </c>
      <c r="G69" s="408"/>
      <c r="H69" s="414"/>
      <c r="I69" s="279">
        <v>0</v>
      </c>
      <c r="J69" s="408">
        <f t="shared" si="4"/>
        <v>0</v>
      </c>
      <c r="K69" s="408"/>
      <c r="L69" s="408"/>
      <c r="M69" s="408">
        <f>J68</f>
        <v>0</v>
      </c>
    </row>
    <row r="70" spans="1:13" x14ac:dyDescent="0.35">
      <c r="A70" s="409"/>
      <c r="B70" s="423"/>
      <c r="C70" s="419" t="s">
        <v>74</v>
      </c>
      <c r="D70" s="420" t="s">
        <v>45</v>
      </c>
      <c r="E70" s="422">
        <v>0.03</v>
      </c>
      <c r="F70" s="421">
        <f>E70*F61</f>
        <v>0.99</v>
      </c>
      <c r="G70" s="422"/>
      <c r="H70" s="422"/>
      <c r="I70" s="297">
        <v>0</v>
      </c>
      <c r="J70" s="422">
        <f t="shared" si="4"/>
        <v>0</v>
      </c>
      <c r="K70" s="422"/>
      <c r="L70" s="422"/>
      <c r="M70" s="422">
        <f>J70++H70</f>
        <v>0</v>
      </c>
    </row>
    <row r="71" spans="1:13" x14ac:dyDescent="0.35">
      <c r="A71" s="409"/>
      <c r="B71" s="409"/>
      <c r="C71" s="411" t="s">
        <v>75</v>
      </c>
      <c r="D71" s="412" t="s">
        <v>29</v>
      </c>
      <c r="E71" s="413">
        <v>1</v>
      </c>
      <c r="F71" s="413">
        <f>F61*E71</f>
        <v>33</v>
      </c>
      <c r="G71" s="408"/>
      <c r="H71" s="414"/>
      <c r="I71" s="279">
        <v>0</v>
      </c>
      <c r="J71" s="408">
        <f t="shared" si="4"/>
        <v>0</v>
      </c>
      <c r="K71" s="408"/>
      <c r="L71" s="408"/>
      <c r="M71" s="408">
        <f>L71+J71</f>
        <v>0</v>
      </c>
    </row>
    <row r="72" spans="1:13" ht="15" thickBot="1" x14ac:dyDescent="0.4">
      <c r="A72" s="409"/>
      <c r="B72" s="410"/>
      <c r="C72" s="411" t="s">
        <v>76</v>
      </c>
      <c r="D72" s="412" t="s">
        <v>29</v>
      </c>
      <c r="E72" s="413">
        <v>0.3</v>
      </c>
      <c r="F72" s="413">
        <f>E72*F61</f>
        <v>9.9</v>
      </c>
      <c r="G72" s="408"/>
      <c r="H72" s="414"/>
      <c r="I72" s="414"/>
      <c r="J72" s="408"/>
      <c r="K72" s="279">
        <v>0</v>
      </c>
      <c r="L72" s="408">
        <f>K72*F72</f>
        <v>0</v>
      </c>
      <c r="M72" s="408">
        <f>L72</f>
        <v>0</v>
      </c>
    </row>
    <row r="73" spans="1:13" ht="26.5" thickBot="1" x14ac:dyDescent="0.4">
      <c r="A73" s="426"/>
      <c r="B73" s="427"/>
      <c r="C73" s="428" t="s">
        <v>81</v>
      </c>
      <c r="D73" s="429"/>
      <c r="E73" s="429"/>
      <c r="F73" s="430"/>
      <c r="G73" s="431"/>
      <c r="H73" s="432">
        <f>H13+H14+H25+H26+H37+H38+H49+H50+H61+H62</f>
        <v>0</v>
      </c>
      <c r="I73" s="432"/>
      <c r="J73" s="432">
        <f>J15+J16+J17+J18+J19+J20+J21+J22+J23+J27+J28+J29+J30+J31+J32+J33+J34+J35+J39+J40+J41+J42+J43+J44+J45+J46+J47+J51+J52+J53+J54+J55+J56+J57+J58+J59+J63+J64+J65+J66+J67+J68+J69+J70+J71</f>
        <v>0</v>
      </c>
      <c r="K73" s="432"/>
      <c r="L73" s="432">
        <f>L24+L36+L48+L60+L72</f>
        <v>0</v>
      </c>
      <c r="M73" s="433">
        <f>L73+J73+H73</f>
        <v>0</v>
      </c>
    </row>
    <row r="74" spans="1:13" ht="26" x14ac:dyDescent="0.35">
      <c r="A74" s="434">
        <v>6</v>
      </c>
      <c r="B74" s="398" t="s">
        <v>43</v>
      </c>
      <c r="C74" s="424" t="s">
        <v>82</v>
      </c>
      <c r="D74" s="417" t="s">
        <v>45</v>
      </c>
      <c r="E74" s="405">
        <v>1</v>
      </c>
      <c r="F74" s="435">
        <v>17</v>
      </c>
      <c r="G74" s="278">
        <v>0</v>
      </c>
      <c r="H74" s="436">
        <f>F74*G74</f>
        <v>0</v>
      </c>
      <c r="I74" s="436"/>
      <c r="J74" s="436"/>
      <c r="K74" s="436"/>
      <c r="L74" s="436"/>
      <c r="M74" s="436">
        <f>H74</f>
        <v>0</v>
      </c>
    </row>
    <row r="75" spans="1:13" x14ac:dyDescent="0.35">
      <c r="A75" s="409"/>
      <c r="B75" s="410"/>
      <c r="C75" s="411" t="s">
        <v>63</v>
      </c>
      <c r="D75" s="409" t="s">
        <v>45</v>
      </c>
      <c r="E75" s="413">
        <v>1</v>
      </c>
      <c r="F75" s="413">
        <v>4.2</v>
      </c>
      <c r="G75" s="279">
        <v>0</v>
      </c>
      <c r="H75" s="408">
        <f>F75*G75</f>
        <v>0</v>
      </c>
      <c r="I75" s="408"/>
      <c r="J75" s="408"/>
      <c r="K75" s="408"/>
      <c r="L75" s="408"/>
      <c r="M75" s="408">
        <f>H75</f>
        <v>0</v>
      </c>
    </row>
    <row r="76" spans="1:13" x14ac:dyDescent="0.35">
      <c r="A76" s="409"/>
      <c r="B76" s="409"/>
      <c r="C76" s="415" t="s">
        <v>64</v>
      </c>
      <c r="D76" s="417" t="s">
        <v>66</v>
      </c>
      <c r="E76" s="409">
        <v>1.02</v>
      </c>
      <c r="F76" s="435">
        <f>E76*F75</f>
        <v>4.2840000000000007</v>
      </c>
      <c r="G76" s="408"/>
      <c r="H76" s="408"/>
      <c r="I76" s="279">
        <v>0</v>
      </c>
      <c r="J76" s="408">
        <f t="shared" ref="J76:J81" si="5">I76*F76</f>
        <v>0</v>
      </c>
      <c r="K76" s="408"/>
      <c r="L76" s="408"/>
      <c r="M76" s="408">
        <f>J76</f>
        <v>0</v>
      </c>
    </row>
    <row r="77" spans="1:13" x14ac:dyDescent="0.35">
      <c r="A77" s="409"/>
      <c r="B77" s="409"/>
      <c r="C77" s="416" t="s">
        <v>65</v>
      </c>
      <c r="D77" s="417" t="s">
        <v>66</v>
      </c>
      <c r="E77" s="409">
        <v>1.02</v>
      </c>
      <c r="F77" s="435">
        <f>E77*1</f>
        <v>1.02</v>
      </c>
      <c r="G77" s="408"/>
      <c r="H77" s="408"/>
      <c r="I77" s="279">
        <v>0</v>
      </c>
      <c r="J77" s="408">
        <f t="shared" si="5"/>
        <v>0</v>
      </c>
      <c r="K77" s="408"/>
      <c r="L77" s="408"/>
      <c r="M77" s="408">
        <f>J77</f>
        <v>0</v>
      </c>
    </row>
    <row r="78" spans="1:13" x14ac:dyDescent="0.35">
      <c r="A78" s="409"/>
      <c r="B78" s="410"/>
      <c r="C78" s="411" t="s">
        <v>68</v>
      </c>
      <c r="D78" s="412" t="s">
        <v>66</v>
      </c>
      <c r="E78" s="409">
        <v>1.02</v>
      </c>
      <c r="F78" s="408">
        <f>E78*0.3</f>
        <v>0.30599999999999999</v>
      </c>
      <c r="G78" s="408"/>
      <c r="H78" s="408"/>
      <c r="I78" s="279">
        <v>0</v>
      </c>
      <c r="J78" s="408">
        <f t="shared" si="5"/>
        <v>0</v>
      </c>
      <c r="K78" s="408"/>
      <c r="L78" s="408"/>
      <c r="M78" s="408">
        <f>J78</f>
        <v>0</v>
      </c>
    </row>
    <row r="79" spans="1:13" x14ac:dyDescent="0.35">
      <c r="A79" s="409"/>
      <c r="B79" s="410"/>
      <c r="C79" s="411" t="s">
        <v>69</v>
      </c>
      <c r="D79" s="410" t="s">
        <v>45</v>
      </c>
      <c r="E79" s="409">
        <v>1.02</v>
      </c>
      <c r="F79" s="413">
        <f>E79*F74</f>
        <v>17.34</v>
      </c>
      <c r="G79" s="414"/>
      <c r="H79" s="408"/>
      <c r="I79" s="279">
        <v>0</v>
      </c>
      <c r="J79" s="408">
        <f t="shared" si="5"/>
        <v>0</v>
      </c>
      <c r="K79" s="408"/>
      <c r="L79" s="408"/>
      <c r="M79" s="408">
        <f>J79</f>
        <v>0</v>
      </c>
    </row>
    <row r="80" spans="1:13" x14ac:dyDescent="0.35">
      <c r="A80" s="409"/>
      <c r="B80" s="409"/>
      <c r="C80" s="411" t="s">
        <v>72</v>
      </c>
      <c r="D80" s="412" t="s">
        <v>73</v>
      </c>
      <c r="E80" s="413">
        <v>1</v>
      </c>
      <c r="F80" s="413">
        <v>20</v>
      </c>
      <c r="G80" s="408"/>
      <c r="H80" s="414"/>
      <c r="I80" s="279">
        <v>0</v>
      </c>
      <c r="J80" s="408">
        <f t="shared" si="5"/>
        <v>0</v>
      </c>
      <c r="K80" s="408"/>
      <c r="L80" s="408"/>
      <c r="M80" s="408">
        <f>J79</f>
        <v>0</v>
      </c>
    </row>
    <row r="81" spans="1:13" x14ac:dyDescent="0.35">
      <c r="A81" s="409"/>
      <c r="B81" s="409"/>
      <c r="C81" s="411" t="s">
        <v>75</v>
      </c>
      <c r="D81" s="412" t="s">
        <v>29</v>
      </c>
      <c r="E81" s="413">
        <v>1</v>
      </c>
      <c r="F81" s="413">
        <f>E81*F74</f>
        <v>17</v>
      </c>
      <c r="G81" s="408"/>
      <c r="H81" s="414"/>
      <c r="I81" s="279">
        <v>0</v>
      </c>
      <c r="J81" s="408">
        <f t="shared" si="5"/>
        <v>0</v>
      </c>
      <c r="K81" s="408"/>
      <c r="L81" s="408"/>
      <c r="M81" s="408">
        <f>L81+J81</f>
        <v>0</v>
      </c>
    </row>
    <row r="82" spans="1:13" ht="15" thickBot="1" x14ac:dyDescent="0.4">
      <c r="A82" s="409"/>
      <c r="B82" s="410"/>
      <c r="C82" s="411" t="s">
        <v>76</v>
      </c>
      <c r="D82" s="412" t="s">
        <v>29</v>
      </c>
      <c r="E82" s="413">
        <v>0.3</v>
      </c>
      <c r="F82" s="413">
        <f>E82*F74</f>
        <v>5.0999999999999996</v>
      </c>
      <c r="G82" s="408"/>
      <c r="H82" s="414"/>
      <c r="I82" s="414"/>
      <c r="J82" s="408"/>
      <c r="K82" s="279">
        <v>0</v>
      </c>
      <c r="L82" s="408">
        <f>K82*F82</f>
        <v>0</v>
      </c>
      <c r="M82" s="408">
        <f>L82</f>
        <v>0</v>
      </c>
    </row>
    <row r="83" spans="1:13" ht="15" thickBot="1" x14ac:dyDescent="0.4">
      <c r="A83" s="437"/>
      <c r="B83" s="427"/>
      <c r="C83" s="428" t="s">
        <v>23</v>
      </c>
      <c r="D83" s="429"/>
      <c r="E83" s="429"/>
      <c r="F83" s="430"/>
      <c r="G83" s="431"/>
      <c r="H83" s="432">
        <f>H74+H75</f>
        <v>0</v>
      </c>
      <c r="I83" s="432"/>
      <c r="J83" s="438">
        <f>J76+J77+J78+J79+J80+J81</f>
        <v>0</v>
      </c>
      <c r="K83" s="438"/>
      <c r="L83" s="438">
        <f>L82</f>
        <v>0</v>
      </c>
      <c r="M83" s="439">
        <f>L83+J83+H83</f>
        <v>0</v>
      </c>
    </row>
    <row r="84" spans="1:13" x14ac:dyDescent="0.35">
      <c r="A84" s="409">
        <v>7</v>
      </c>
      <c r="B84" s="409" t="s">
        <v>43</v>
      </c>
      <c r="C84" s="440" t="s">
        <v>261</v>
      </c>
      <c r="D84" s="417" t="s">
        <v>45</v>
      </c>
      <c r="E84" s="405">
        <v>1</v>
      </c>
      <c r="F84" s="405">
        <v>36</v>
      </c>
      <c r="G84" s="278">
        <v>0</v>
      </c>
      <c r="H84" s="406">
        <f>F84*G84</f>
        <v>0</v>
      </c>
      <c r="I84" s="407"/>
      <c r="J84" s="408"/>
      <c r="K84" s="408"/>
      <c r="L84" s="408"/>
      <c r="M84" s="408">
        <f>H84</f>
        <v>0</v>
      </c>
    </row>
    <row r="85" spans="1:13" x14ac:dyDescent="0.35">
      <c r="A85" s="409"/>
      <c r="B85" s="441"/>
      <c r="C85" s="411" t="s">
        <v>67</v>
      </c>
      <c r="D85" s="412" t="s">
        <v>66</v>
      </c>
      <c r="E85" s="409">
        <v>1.02</v>
      </c>
      <c r="F85" s="408">
        <f>E85*4.3</f>
        <v>4.3860000000000001</v>
      </c>
      <c r="G85" s="408"/>
      <c r="H85" s="408"/>
      <c r="I85" s="279">
        <v>0</v>
      </c>
      <c r="J85" s="408">
        <f t="shared" ref="J85:J89" si="6">I85*F85</f>
        <v>0</v>
      </c>
      <c r="K85" s="408"/>
      <c r="L85" s="408"/>
      <c r="M85" s="408">
        <f>J85</f>
        <v>0</v>
      </c>
    </row>
    <row r="86" spans="1:13" x14ac:dyDescent="0.35">
      <c r="A86" s="409"/>
      <c r="B86" s="410"/>
      <c r="C86" s="411" t="s">
        <v>68</v>
      </c>
      <c r="D86" s="412" t="s">
        <v>66</v>
      </c>
      <c r="E86" s="409">
        <v>1.02</v>
      </c>
      <c r="F86" s="425">
        <f>E86*0.3</f>
        <v>0.30599999999999999</v>
      </c>
      <c r="G86" s="408"/>
      <c r="H86" s="408"/>
      <c r="I86" s="279">
        <v>0</v>
      </c>
      <c r="J86" s="408">
        <f t="shared" si="6"/>
        <v>0</v>
      </c>
      <c r="K86" s="408"/>
      <c r="L86" s="408"/>
      <c r="M86" s="408">
        <f>J86</f>
        <v>0</v>
      </c>
    </row>
    <row r="87" spans="1:13" x14ac:dyDescent="0.35">
      <c r="A87" s="409"/>
      <c r="B87" s="410"/>
      <c r="C87" s="411" t="s">
        <v>69</v>
      </c>
      <c r="D87" s="410" t="s">
        <v>45</v>
      </c>
      <c r="E87" s="408">
        <v>1.02</v>
      </c>
      <c r="F87" s="442">
        <f>E87*F84</f>
        <v>36.72</v>
      </c>
      <c r="G87" s="408"/>
      <c r="H87" s="414"/>
      <c r="I87" s="279">
        <v>0</v>
      </c>
      <c r="J87" s="408">
        <f t="shared" si="6"/>
        <v>0</v>
      </c>
      <c r="K87" s="408"/>
      <c r="L87" s="408"/>
      <c r="M87" s="408">
        <f>J87</f>
        <v>0</v>
      </c>
    </row>
    <row r="88" spans="1:13" x14ac:dyDescent="0.35">
      <c r="A88" s="409"/>
      <c r="B88" s="410"/>
      <c r="C88" s="411" t="s">
        <v>72</v>
      </c>
      <c r="D88" s="412" t="s">
        <v>73</v>
      </c>
      <c r="E88" s="413">
        <v>1</v>
      </c>
      <c r="F88" s="413">
        <v>200</v>
      </c>
      <c r="G88" s="408"/>
      <c r="H88" s="414"/>
      <c r="I88" s="279">
        <v>0</v>
      </c>
      <c r="J88" s="408">
        <f t="shared" si="6"/>
        <v>0</v>
      </c>
      <c r="K88" s="408"/>
      <c r="L88" s="408"/>
      <c r="M88" s="408">
        <f>J87</f>
        <v>0</v>
      </c>
    </row>
    <row r="89" spans="1:13" x14ac:dyDescent="0.35">
      <c r="A89" s="409"/>
      <c r="B89" s="423"/>
      <c r="C89" s="419" t="s">
        <v>74</v>
      </c>
      <c r="D89" s="420" t="s">
        <v>45</v>
      </c>
      <c r="E89" s="443">
        <v>0.03</v>
      </c>
      <c r="F89" s="421">
        <f>F84*E89</f>
        <v>1.08</v>
      </c>
      <c r="G89" s="422"/>
      <c r="H89" s="422"/>
      <c r="I89" s="297">
        <v>0</v>
      </c>
      <c r="J89" s="422">
        <f t="shared" si="6"/>
        <v>0</v>
      </c>
      <c r="K89" s="422"/>
      <c r="L89" s="422"/>
      <c r="M89" s="422">
        <f>J89++H89</f>
        <v>0</v>
      </c>
    </row>
    <row r="90" spans="1:13" x14ac:dyDescent="0.35">
      <c r="A90" s="409"/>
      <c r="B90" s="409"/>
      <c r="C90" s="411" t="s">
        <v>75</v>
      </c>
      <c r="D90" s="412" t="s">
        <v>29</v>
      </c>
      <c r="E90" s="413">
        <v>1</v>
      </c>
      <c r="F90" s="413">
        <f>E90*F84</f>
        <v>36</v>
      </c>
      <c r="G90" s="408"/>
      <c r="H90" s="414"/>
      <c r="I90" s="279">
        <v>0</v>
      </c>
      <c r="J90" s="408">
        <f>I90*F90</f>
        <v>0</v>
      </c>
      <c r="K90" s="408"/>
      <c r="L90" s="408"/>
      <c r="M90" s="408">
        <f>L90+J90</f>
        <v>0</v>
      </c>
    </row>
    <row r="91" spans="1:13" ht="15" thickBot="1" x14ac:dyDescent="0.4">
      <c r="A91" s="409"/>
      <c r="B91" s="410"/>
      <c r="C91" s="411" t="s">
        <v>76</v>
      </c>
      <c r="D91" s="412" t="s">
        <v>29</v>
      </c>
      <c r="E91" s="413">
        <v>0.3</v>
      </c>
      <c r="F91" s="413">
        <f>E91*F84</f>
        <v>10.799999999999999</v>
      </c>
      <c r="G91" s="408"/>
      <c r="H91" s="414"/>
      <c r="I91" s="414"/>
      <c r="J91" s="408"/>
      <c r="K91" s="279">
        <v>0</v>
      </c>
      <c r="L91" s="408">
        <f>K91*F91</f>
        <v>0</v>
      </c>
      <c r="M91" s="408">
        <f>L91</f>
        <v>0</v>
      </c>
    </row>
    <row r="92" spans="1:13" ht="15" thickBot="1" x14ac:dyDescent="0.4">
      <c r="A92" s="437"/>
      <c r="B92" s="427"/>
      <c r="C92" s="428" t="s">
        <v>84</v>
      </c>
      <c r="D92" s="429"/>
      <c r="E92" s="429"/>
      <c r="F92" s="430"/>
      <c r="G92" s="431"/>
      <c r="H92" s="432">
        <f>H84</f>
        <v>0</v>
      </c>
      <c r="I92" s="432"/>
      <c r="J92" s="438">
        <f>J85+J86+J87+J88+J89+J90</f>
        <v>0</v>
      </c>
      <c r="K92" s="438"/>
      <c r="L92" s="438">
        <f>L91</f>
        <v>0</v>
      </c>
      <c r="M92" s="439">
        <f>L92+J92+H92</f>
        <v>0</v>
      </c>
    </row>
    <row r="93" spans="1:13" ht="26" x14ac:dyDescent="0.35">
      <c r="A93" s="444">
        <v>8</v>
      </c>
      <c r="B93" s="398" t="s">
        <v>43</v>
      </c>
      <c r="C93" s="403" t="s">
        <v>264</v>
      </c>
      <c r="D93" s="398" t="s">
        <v>45</v>
      </c>
      <c r="E93" s="405">
        <v>1</v>
      </c>
      <c r="F93" s="405">
        <v>384</v>
      </c>
      <c r="G93" s="278">
        <v>0</v>
      </c>
      <c r="H93" s="445">
        <f>G93*F93</f>
        <v>0</v>
      </c>
      <c r="I93" s="407"/>
      <c r="J93" s="436"/>
      <c r="K93" s="436"/>
      <c r="L93" s="436"/>
      <c r="M93" s="436">
        <f>H93</f>
        <v>0</v>
      </c>
    </row>
    <row r="94" spans="1:13" ht="26" x14ac:dyDescent="0.35">
      <c r="A94" s="409"/>
      <c r="B94" s="441"/>
      <c r="C94" s="411" t="s">
        <v>262</v>
      </c>
      <c r="D94" s="412" t="s">
        <v>45</v>
      </c>
      <c r="E94" s="413">
        <v>1</v>
      </c>
      <c r="F94" s="413">
        <v>256</v>
      </c>
      <c r="G94" s="279">
        <v>0</v>
      </c>
      <c r="H94" s="408">
        <f>F94*G94</f>
        <v>0</v>
      </c>
      <c r="I94" s="408"/>
      <c r="J94" s="408"/>
      <c r="K94" s="408"/>
      <c r="L94" s="408"/>
      <c r="M94" s="408">
        <f>H94</f>
        <v>0</v>
      </c>
    </row>
    <row r="95" spans="1:13" x14ac:dyDescent="0.35">
      <c r="A95" s="409"/>
      <c r="B95" s="441"/>
      <c r="C95" s="415" t="s">
        <v>64</v>
      </c>
      <c r="D95" s="412" t="s">
        <v>66</v>
      </c>
      <c r="E95" s="409">
        <v>1.02</v>
      </c>
      <c r="F95" s="413">
        <f>E95*F94</f>
        <v>261.12</v>
      </c>
      <c r="G95" s="408"/>
      <c r="H95" s="414"/>
      <c r="I95" s="279">
        <v>0</v>
      </c>
      <c r="J95" s="408">
        <f>I95*F95</f>
        <v>0</v>
      </c>
      <c r="K95" s="408"/>
      <c r="L95" s="408"/>
      <c r="M95" s="408">
        <f>J95</f>
        <v>0</v>
      </c>
    </row>
    <row r="96" spans="1:13" x14ac:dyDescent="0.35">
      <c r="A96" s="409"/>
      <c r="B96" s="441"/>
      <c r="C96" s="411" t="s">
        <v>67</v>
      </c>
      <c r="D96" s="412" t="s">
        <v>66</v>
      </c>
      <c r="E96" s="409">
        <v>1.02</v>
      </c>
      <c r="F96" s="413">
        <f>E96*25.1</f>
        <v>25.602</v>
      </c>
      <c r="G96" s="408"/>
      <c r="H96" s="414"/>
      <c r="I96" s="279">
        <v>0</v>
      </c>
      <c r="J96" s="408">
        <f>I96*F96</f>
        <v>0</v>
      </c>
      <c r="K96" s="408"/>
      <c r="L96" s="408"/>
      <c r="M96" s="408">
        <f>J96</f>
        <v>0</v>
      </c>
    </row>
    <row r="97" spans="1:13" x14ac:dyDescent="0.35">
      <c r="A97" s="409"/>
      <c r="B97" s="441"/>
      <c r="C97" s="411" t="s">
        <v>69</v>
      </c>
      <c r="D97" s="410" t="s">
        <v>45</v>
      </c>
      <c r="E97" s="409">
        <v>1.02</v>
      </c>
      <c r="F97" s="413">
        <f>E97*F93</f>
        <v>391.68</v>
      </c>
      <c r="G97" s="414"/>
      <c r="H97" s="408"/>
      <c r="I97" s="279">
        <v>0</v>
      </c>
      <c r="J97" s="408">
        <f>I97*F97</f>
        <v>0</v>
      </c>
      <c r="K97" s="408"/>
      <c r="L97" s="408"/>
      <c r="M97" s="408">
        <f>J97</f>
        <v>0</v>
      </c>
    </row>
    <row r="98" spans="1:13" x14ac:dyDescent="0.35">
      <c r="A98" s="444"/>
      <c r="B98" s="398"/>
      <c r="C98" s="411" t="s">
        <v>263</v>
      </c>
      <c r="D98" s="412" t="s">
        <v>73</v>
      </c>
      <c r="E98" s="413">
        <v>0.1</v>
      </c>
      <c r="F98" s="413">
        <v>2700</v>
      </c>
      <c r="G98" s="408"/>
      <c r="H98" s="414"/>
      <c r="I98" s="279">
        <v>0</v>
      </c>
      <c r="J98" s="408">
        <f>I98*F98</f>
        <v>0</v>
      </c>
      <c r="K98" s="408"/>
      <c r="L98" s="408"/>
      <c r="M98" s="408">
        <f>L98+J98</f>
        <v>0</v>
      </c>
    </row>
    <row r="99" spans="1:13" x14ac:dyDescent="0.35">
      <c r="A99" s="444"/>
      <c r="B99" s="398"/>
      <c r="C99" s="411" t="s">
        <v>75</v>
      </c>
      <c r="D99" s="412" t="s">
        <v>29</v>
      </c>
      <c r="E99" s="413">
        <v>0.1</v>
      </c>
      <c r="F99" s="413">
        <f>E99*F94</f>
        <v>25.6</v>
      </c>
      <c r="G99" s="408"/>
      <c r="H99" s="414"/>
      <c r="I99" s="279">
        <v>0</v>
      </c>
      <c r="J99" s="408">
        <f>I99*F99</f>
        <v>0</v>
      </c>
      <c r="K99" s="408"/>
      <c r="L99" s="408"/>
      <c r="M99" s="408">
        <f>L99+J99</f>
        <v>0</v>
      </c>
    </row>
    <row r="100" spans="1:13" ht="15" thickBot="1" x14ac:dyDescent="0.4">
      <c r="A100" s="409"/>
      <c r="B100" s="441"/>
      <c r="C100" s="411" t="s">
        <v>76</v>
      </c>
      <c r="D100" s="412" t="s">
        <v>29</v>
      </c>
      <c r="E100" s="413">
        <v>0.3</v>
      </c>
      <c r="F100" s="413">
        <f>E100*F94</f>
        <v>76.8</v>
      </c>
      <c r="G100" s="408"/>
      <c r="H100" s="414"/>
      <c r="I100" s="414"/>
      <c r="J100" s="408"/>
      <c r="K100" s="279">
        <v>0</v>
      </c>
      <c r="L100" s="408">
        <f>K100*F100</f>
        <v>0</v>
      </c>
      <c r="M100" s="408">
        <f>L100</f>
        <v>0</v>
      </c>
    </row>
    <row r="101" spans="1:13" ht="15" thickBot="1" x14ac:dyDescent="0.4">
      <c r="A101" s="446"/>
      <c r="B101" s="447"/>
      <c r="C101" s="448" t="s">
        <v>84</v>
      </c>
      <c r="D101" s="449"/>
      <c r="E101" s="449"/>
      <c r="F101" s="450"/>
      <c r="G101" s="451"/>
      <c r="H101" s="452">
        <f>H93+H94</f>
        <v>0</v>
      </c>
      <c r="I101" s="452"/>
      <c r="J101" s="452">
        <f>J95+J96+J97+J98+J99</f>
        <v>0</v>
      </c>
      <c r="K101" s="452"/>
      <c r="L101" s="452">
        <f>L100</f>
        <v>0</v>
      </c>
      <c r="M101" s="453">
        <f>L101+J101+H101</f>
        <v>0</v>
      </c>
    </row>
    <row r="102" spans="1:13" ht="26" x14ac:dyDescent="0.35">
      <c r="A102" s="444">
        <v>9</v>
      </c>
      <c r="B102" s="398"/>
      <c r="C102" s="403" t="s">
        <v>258</v>
      </c>
      <c r="D102" s="398" t="s">
        <v>73</v>
      </c>
      <c r="E102" s="405">
        <v>1</v>
      </c>
      <c r="F102" s="405">
        <v>448</v>
      </c>
      <c r="G102" s="278">
        <v>0</v>
      </c>
      <c r="H102" s="406">
        <v>0</v>
      </c>
      <c r="I102" s="407"/>
      <c r="J102" s="436"/>
      <c r="K102" s="436"/>
      <c r="L102" s="436"/>
      <c r="M102" s="436">
        <f>H102</f>
        <v>0</v>
      </c>
    </row>
    <row r="103" spans="1:13" x14ac:dyDescent="0.35">
      <c r="A103" s="409"/>
      <c r="B103" s="454"/>
      <c r="C103" s="411" t="s">
        <v>259</v>
      </c>
      <c r="D103" s="412" t="s">
        <v>87</v>
      </c>
      <c r="E103" s="413">
        <v>1.1000000000000001</v>
      </c>
      <c r="F103" s="413">
        <f>E103*F102</f>
        <v>492.80000000000007</v>
      </c>
      <c r="G103" s="408"/>
      <c r="H103" s="414"/>
      <c r="I103" s="279">
        <v>0</v>
      </c>
      <c r="J103" s="408">
        <f>I103*F103</f>
        <v>0</v>
      </c>
      <c r="K103" s="408"/>
      <c r="L103" s="408"/>
      <c r="M103" s="408">
        <f>J103</f>
        <v>0</v>
      </c>
    </row>
    <row r="104" spans="1:13" x14ac:dyDescent="0.35">
      <c r="A104" s="409"/>
      <c r="B104" s="454"/>
      <c r="C104" s="411" t="s">
        <v>260</v>
      </c>
      <c r="D104" s="412" t="s">
        <v>87</v>
      </c>
      <c r="E104" s="409">
        <v>0.28000000000000003</v>
      </c>
      <c r="F104" s="408">
        <f>E104*F102</f>
        <v>125.44000000000001</v>
      </c>
      <c r="G104" s="408"/>
      <c r="H104" s="414"/>
      <c r="I104" s="279">
        <v>0</v>
      </c>
      <c r="J104" s="408">
        <f>I104*F104</f>
        <v>0</v>
      </c>
      <c r="K104" s="408"/>
      <c r="L104" s="408"/>
      <c r="M104" s="408">
        <f>J104</f>
        <v>0</v>
      </c>
    </row>
    <row r="105" spans="1:13" x14ac:dyDescent="0.35">
      <c r="A105" s="444"/>
      <c r="B105" s="398"/>
      <c r="C105" s="411" t="s">
        <v>75</v>
      </c>
      <c r="D105" s="412" t="s">
        <v>29</v>
      </c>
      <c r="E105" s="413">
        <v>0.1</v>
      </c>
      <c r="F105" s="413">
        <f>E105*F102</f>
        <v>44.800000000000004</v>
      </c>
      <c r="G105" s="408"/>
      <c r="H105" s="414"/>
      <c r="I105" s="279">
        <v>0</v>
      </c>
      <c r="J105" s="408">
        <f>I105*F105</f>
        <v>0</v>
      </c>
      <c r="K105" s="408"/>
      <c r="L105" s="408"/>
      <c r="M105" s="408">
        <f>L105+J105</f>
        <v>0</v>
      </c>
    </row>
    <row r="106" spans="1:13" ht="15" thickBot="1" x14ac:dyDescent="0.4">
      <c r="A106" s="409"/>
      <c r="B106" s="441"/>
      <c r="C106" s="411" t="s">
        <v>76</v>
      </c>
      <c r="D106" s="412" t="s">
        <v>29</v>
      </c>
      <c r="E106" s="408">
        <v>0.01</v>
      </c>
      <c r="F106" s="413">
        <f>E106*F102</f>
        <v>4.4800000000000004</v>
      </c>
      <c r="G106" s="408"/>
      <c r="H106" s="414"/>
      <c r="I106" s="414"/>
      <c r="J106" s="408"/>
      <c r="K106" s="279">
        <v>0</v>
      </c>
      <c r="L106" s="408">
        <f>K106*F106</f>
        <v>0</v>
      </c>
      <c r="M106" s="408">
        <f>L106</f>
        <v>0</v>
      </c>
    </row>
    <row r="107" spans="1:13" ht="15" thickBot="1" x14ac:dyDescent="0.4">
      <c r="A107" s="446"/>
      <c r="B107" s="447"/>
      <c r="C107" s="448" t="s">
        <v>84</v>
      </c>
      <c r="D107" s="449"/>
      <c r="E107" s="449"/>
      <c r="F107" s="450"/>
      <c r="G107" s="451"/>
      <c r="H107" s="452">
        <f>H102</f>
        <v>0</v>
      </c>
      <c r="I107" s="452"/>
      <c r="J107" s="452">
        <f>J103+J104+J105</f>
        <v>0</v>
      </c>
      <c r="K107" s="452"/>
      <c r="L107" s="452">
        <f>L106</f>
        <v>0</v>
      </c>
      <c r="M107" s="453">
        <f>L107+J107+H107</f>
        <v>0</v>
      </c>
    </row>
    <row r="108" spans="1:13" x14ac:dyDescent="0.35">
      <c r="A108" s="444">
        <v>10</v>
      </c>
      <c r="B108" s="398"/>
      <c r="C108" s="403" t="s">
        <v>85</v>
      </c>
      <c r="D108" s="398" t="s">
        <v>73</v>
      </c>
      <c r="E108" s="405">
        <v>1</v>
      </c>
      <c r="F108" s="405">
        <v>2700</v>
      </c>
      <c r="G108" s="278">
        <v>0</v>
      </c>
      <c r="H108" s="406">
        <f>F108*G108</f>
        <v>0</v>
      </c>
      <c r="I108" s="407"/>
      <c r="J108" s="436"/>
      <c r="K108" s="436"/>
      <c r="L108" s="436"/>
      <c r="M108" s="436">
        <f>H108</f>
        <v>0</v>
      </c>
    </row>
    <row r="109" spans="1:13" x14ac:dyDescent="0.35">
      <c r="A109" s="409"/>
      <c r="B109" s="454"/>
      <c r="C109" s="411" t="s">
        <v>86</v>
      </c>
      <c r="D109" s="412" t="s">
        <v>87</v>
      </c>
      <c r="E109" s="413">
        <v>2</v>
      </c>
      <c r="F109" s="413">
        <f>E109*F108</f>
        <v>5400</v>
      </c>
      <c r="G109" s="408"/>
      <c r="H109" s="414"/>
      <c r="I109" s="279">
        <v>0</v>
      </c>
      <c r="J109" s="408">
        <f>I109*F109</f>
        <v>0</v>
      </c>
      <c r="K109" s="408"/>
      <c r="L109" s="408"/>
      <c r="M109" s="408">
        <f>J109</f>
        <v>0</v>
      </c>
    </row>
    <row r="110" spans="1:13" x14ac:dyDescent="0.35">
      <c r="A110" s="409"/>
      <c r="B110" s="454"/>
      <c r="C110" s="411" t="s">
        <v>88</v>
      </c>
      <c r="D110" s="412" t="s">
        <v>89</v>
      </c>
      <c r="E110" s="409">
        <v>2.3E-2</v>
      </c>
      <c r="F110" s="408">
        <f>E110*F108</f>
        <v>62.1</v>
      </c>
      <c r="G110" s="408"/>
      <c r="H110" s="414"/>
      <c r="I110" s="279">
        <v>0</v>
      </c>
      <c r="J110" s="408">
        <f>I110*F110</f>
        <v>0</v>
      </c>
      <c r="K110" s="408"/>
      <c r="L110" s="408"/>
      <c r="M110" s="408">
        <f>J110</f>
        <v>0</v>
      </c>
    </row>
    <row r="111" spans="1:13" x14ac:dyDescent="0.35">
      <c r="A111" s="444"/>
      <c r="B111" s="398"/>
      <c r="C111" s="411" t="s">
        <v>75</v>
      </c>
      <c r="D111" s="412" t="s">
        <v>29</v>
      </c>
      <c r="E111" s="408">
        <v>0.05</v>
      </c>
      <c r="F111" s="413">
        <f>E111*F108</f>
        <v>135</v>
      </c>
      <c r="G111" s="408"/>
      <c r="H111" s="414"/>
      <c r="I111" s="279">
        <v>0</v>
      </c>
      <c r="J111" s="408">
        <f>I111*F111</f>
        <v>0</v>
      </c>
      <c r="K111" s="408"/>
      <c r="L111" s="408"/>
      <c r="M111" s="408">
        <f>L111+J111</f>
        <v>0</v>
      </c>
    </row>
    <row r="112" spans="1:13" ht="15" thickBot="1" x14ac:dyDescent="0.4">
      <c r="A112" s="409"/>
      <c r="B112" s="441"/>
      <c r="C112" s="411" t="s">
        <v>76</v>
      </c>
      <c r="D112" s="412" t="s">
        <v>29</v>
      </c>
      <c r="E112" s="413">
        <v>0.3</v>
      </c>
      <c r="F112" s="413">
        <f>E112*F108</f>
        <v>810</v>
      </c>
      <c r="G112" s="408"/>
      <c r="H112" s="414"/>
      <c r="I112" s="414"/>
      <c r="J112" s="408"/>
      <c r="K112" s="279">
        <v>0</v>
      </c>
      <c r="L112" s="408">
        <f>K112*F112</f>
        <v>0</v>
      </c>
      <c r="M112" s="408">
        <f>L112</f>
        <v>0</v>
      </c>
    </row>
    <row r="113" spans="1:13" ht="15" thickBot="1" x14ac:dyDescent="0.4">
      <c r="A113" s="446"/>
      <c r="B113" s="447"/>
      <c r="C113" s="448" t="s">
        <v>84</v>
      </c>
      <c r="D113" s="449"/>
      <c r="E113" s="449"/>
      <c r="F113" s="450"/>
      <c r="G113" s="451"/>
      <c r="H113" s="452">
        <f>H108</f>
        <v>0</v>
      </c>
      <c r="I113" s="452"/>
      <c r="J113" s="452">
        <f>J109+J110+J111</f>
        <v>0</v>
      </c>
      <c r="K113" s="452"/>
      <c r="L113" s="452">
        <f>L112</f>
        <v>0</v>
      </c>
      <c r="M113" s="453">
        <f>L113+J113+H113</f>
        <v>0</v>
      </c>
    </row>
    <row r="114" spans="1:13" ht="15" thickBot="1" x14ac:dyDescent="0.4">
      <c r="A114" s="455"/>
      <c r="B114" s="456"/>
      <c r="C114" s="457" t="s">
        <v>286</v>
      </c>
      <c r="D114" s="458"/>
      <c r="E114" s="459"/>
      <c r="F114" s="460"/>
      <c r="G114" s="461"/>
      <c r="H114" s="459">
        <f>H73+H83+H92+H101+H107+H113</f>
        <v>0</v>
      </c>
      <c r="I114" s="459"/>
      <c r="J114" s="459">
        <f>J73+J83+J92+J101+J107+J113</f>
        <v>0</v>
      </c>
      <c r="K114" s="459"/>
      <c r="L114" s="459">
        <f>L73+L83+L92+L101+L107+L113</f>
        <v>0</v>
      </c>
      <c r="M114" s="462">
        <f>L114+J114+H114</f>
        <v>0</v>
      </c>
    </row>
    <row r="115" spans="1:13" ht="26" x14ac:dyDescent="0.35">
      <c r="A115" s="409"/>
      <c r="B115" s="410"/>
      <c r="C115" s="415" t="s">
        <v>52</v>
      </c>
      <c r="D115" s="463">
        <v>0.05</v>
      </c>
      <c r="E115" s="409"/>
      <c r="F115" s="409"/>
      <c r="G115" s="408"/>
      <c r="H115" s="408"/>
      <c r="I115" s="408"/>
      <c r="J115" s="408"/>
      <c r="K115" s="408"/>
      <c r="L115" s="408"/>
      <c r="M115" s="408">
        <f>J114*D115</f>
        <v>0</v>
      </c>
    </row>
    <row r="116" spans="1:13" x14ac:dyDescent="0.35">
      <c r="A116" s="409"/>
      <c r="B116" s="409"/>
      <c r="C116" s="464" t="s">
        <v>23</v>
      </c>
      <c r="D116" s="463"/>
      <c r="E116" s="409"/>
      <c r="F116" s="409"/>
      <c r="G116" s="408"/>
      <c r="H116" s="408"/>
      <c r="I116" s="408"/>
      <c r="J116" s="408"/>
      <c r="K116" s="408"/>
      <c r="L116" s="408"/>
      <c r="M116" s="408">
        <f>M114+M115</f>
        <v>0</v>
      </c>
    </row>
    <row r="117" spans="1:13" x14ac:dyDescent="0.35">
      <c r="A117" s="465"/>
      <c r="B117" s="465"/>
      <c r="C117" s="466" t="s">
        <v>53</v>
      </c>
      <c r="D117" s="467">
        <v>0.1</v>
      </c>
      <c r="E117" s="465"/>
      <c r="F117" s="465"/>
      <c r="G117" s="468"/>
      <c r="H117" s="468"/>
      <c r="I117" s="468"/>
      <c r="J117" s="468"/>
      <c r="K117" s="468"/>
      <c r="L117" s="468"/>
      <c r="M117" s="468">
        <f>M116*D117</f>
        <v>0</v>
      </c>
    </row>
    <row r="118" spans="1:13" x14ac:dyDescent="0.35">
      <c r="A118" s="465"/>
      <c r="B118" s="465"/>
      <c r="C118" s="464" t="s">
        <v>23</v>
      </c>
      <c r="D118" s="465"/>
      <c r="E118" s="465"/>
      <c r="F118" s="465"/>
      <c r="G118" s="468"/>
      <c r="H118" s="468"/>
      <c r="I118" s="468"/>
      <c r="J118" s="468"/>
      <c r="K118" s="468"/>
      <c r="L118" s="468"/>
      <c r="M118" s="468">
        <f>M116+M117</f>
        <v>0</v>
      </c>
    </row>
    <row r="119" spans="1:13" x14ac:dyDescent="0.35">
      <c r="A119" s="469"/>
      <c r="B119" s="469"/>
      <c r="C119" s="469" t="s">
        <v>54</v>
      </c>
      <c r="D119" s="470">
        <v>0.08</v>
      </c>
      <c r="E119" s="469"/>
      <c r="F119" s="469"/>
      <c r="G119" s="471"/>
      <c r="H119" s="471"/>
      <c r="I119" s="471"/>
      <c r="J119" s="471"/>
      <c r="K119" s="471"/>
      <c r="L119" s="471"/>
      <c r="M119" s="472">
        <f>M118*D119</f>
        <v>0</v>
      </c>
    </row>
    <row r="120" spans="1:13" x14ac:dyDescent="0.35">
      <c r="A120" s="465"/>
      <c r="B120" s="465"/>
      <c r="C120" s="464" t="s">
        <v>23</v>
      </c>
      <c r="D120" s="465"/>
      <c r="E120" s="465"/>
      <c r="F120" s="465"/>
      <c r="G120" s="468"/>
      <c r="H120" s="468"/>
      <c r="I120" s="468"/>
      <c r="J120" s="468"/>
      <c r="K120" s="468"/>
      <c r="L120" s="468"/>
      <c r="M120" s="468">
        <f>M118+M119</f>
        <v>0</v>
      </c>
    </row>
    <row r="121" spans="1:13" x14ac:dyDescent="0.35">
      <c r="A121" s="473"/>
      <c r="B121" s="473"/>
      <c r="C121" s="474" t="s">
        <v>24</v>
      </c>
      <c r="D121" s="475">
        <v>0.03</v>
      </c>
      <c r="E121" s="434"/>
      <c r="F121" s="434"/>
      <c r="G121" s="436"/>
      <c r="H121" s="436"/>
      <c r="I121" s="436"/>
      <c r="J121" s="436"/>
      <c r="K121" s="436"/>
      <c r="L121" s="436"/>
      <c r="M121" s="436">
        <f>M120*D121</f>
        <v>0</v>
      </c>
    </row>
    <row r="122" spans="1:13" ht="15.75" customHeight="1" x14ac:dyDescent="0.35">
      <c r="A122" s="476"/>
      <c r="B122" s="476"/>
      <c r="C122" s="477" t="s">
        <v>23</v>
      </c>
      <c r="D122" s="409"/>
      <c r="E122" s="409"/>
      <c r="F122" s="409"/>
      <c r="G122" s="408"/>
      <c r="H122" s="408"/>
      <c r="I122" s="408"/>
      <c r="J122" s="408"/>
      <c r="K122" s="408"/>
      <c r="L122" s="408"/>
      <c r="M122" s="408">
        <f>M120+M121</f>
        <v>0</v>
      </c>
    </row>
    <row r="123" spans="1:13" ht="26.5" thickBot="1" x14ac:dyDescent="0.4">
      <c r="A123" s="478"/>
      <c r="B123" s="478"/>
      <c r="C123" s="479" t="s">
        <v>25</v>
      </c>
      <c r="D123" s="480">
        <v>0.18</v>
      </c>
      <c r="E123" s="481"/>
      <c r="F123" s="481"/>
      <c r="G123" s="422"/>
      <c r="H123" s="422"/>
      <c r="I123" s="422"/>
      <c r="J123" s="422"/>
      <c r="K123" s="422"/>
      <c r="L123" s="422"/>
      <c r="M123" s="422">
        <f>M122*D123</f>
        <v>0</v>
      </c>
    </row>
    <row r="124" spans="1:13" ht="15" thickBot="1" x14ac:dyDescent="0.4">
      <c r="A124" s="482"/>
      <c r="B124" s="483"/>
      <c r="C124" s="484" t="s">
        <v>26</v>
      </c>
      <c r="D124" s="485"/>
      <c r="E124" s="485"/>
      <c r="F124" s="485"/>
      <c r="G124" s="486"/>
      <c r="H124" s="486"/>
      <c r="I124" s="486"/>
      <c r="J124" s="486"/>
      <c r="K124" s="486"/>
      <c r="L124" s="486"/>
      <c r="M124" s="462">
        <f>M122+M123</f>
        <v>0</v>
      </c>
    </row>
    <row r="125" spans="1:13" x14ac:dyDescent="0.35">
      <c r="A125" s="379"/>
      <c r="B125" s="380"/>
      <c r="C125" s="381"/>
      <c r="D125" s="381"/>
      <c r="E125" s="381"/>
      <c r="F125" s="381"/>
      <c r="G125" s="382"/>
      <c r="H125" s="382"/>
      <c r="I125" s="382"/>
      <c r="J125" s="382"/>
      <c r="K125" s="382"/>
      <c r="L125" s="382"/>
      <c r="M125" s="382"/>
    </row>
    <row r="126" spans="1:13" x14ac:dyDescent="0.35">
      <c r="A126" s="366"/>
      <c r="B126" s="366"/>
      <c r="C126" s="367" t="s">
        <v>257</v>
      </c>
      <c r="D126" s="367"/>
      <c r="E126" s="367"/>
      <c r="F126" s="367"/>
      <c r="G126" s="367"/>
      <c r="H126" s="367"/>
      <c r="I126" s="367"/>
      <c r="J126" s="367"/>
      <c r="K126" s="367"/>
      <c r="L126" s="367"/>
    </row>
    <row r="127" spans="1:13" ht="35.25" customHeight="1" x14ac:dyDescent="0.35">
      <c r="A127" s="368"/>
      <c r="B127" s="368"/>
      <c r="C127" s="369" t="s">
        <v>301</v>
      </c>
      <c r="D127" s="369"/>
      <c r="E127" s="369"/>
      <c r="F127" s="369"/>
      <c r="G127" s="369"/>
      <c r="H127" s="369"/>
      <c r="I127" s="369"/>
      <c r="J127" s="369"/>
      <c r="K127" s="369"/>
      <c r="L127" s="369"/>
    </row>
    <row r="128" spans="1:13" x14ac:dyDescent="0.35">
      <c r="A128" s="370"/>
      <c r="B128" s="370"/>
      <c r="C128" s="370"/>
      <c r="D128" s="370"/>
      <c r="E128" s="370"/>
      <c r="F128" s="370"/>
      <c r="G128" s="370"/>
      <c r="H128" s="370"/>
      <c r="I128" s="370"/>
    </row>
    <row r="129" spans="1:13" x14ac:dyDescent="0.35">
      <c r="A129" s="371"/>
      <c r="B129" s="372" t="s">
        <v>2</v>
      </c>
      <c r="C129" s="372"/>
      <c r="D129" s="372"/>
      <c r="E129" s="487"/>
      <c r="H129" s="373"/>
      <c r="I129" s="373"/>
      <c r="L129" s="374">
        <f>M193</f>
        <v>0</v>
      </c>
      <c r="M129" s="375" t="s">
        <v>288</v>
      </c>
    </row>
    <row r="130" spans="1:13" x14ac:dyDescent="0.35">
      <c r="A130" s="371"/>
      <c r="B130" s="376" t="s">
        <v>283</v>
      </c>
      <c r="C130" s="376"/>
      <c r="D130" s="376"/>
      <c r="E130" s="376"/>
      <c r="F130" s="376"/>
      <c r="G130" s="377"/>
      <c r="H130" s="377"/>
      <c r="I130" s="377"/>
      <c r="J130" s="377"/>
      <c r="K130" s="377"/>
      <c r="L130" s="378"/>
      <c r="M130" s="378"/>
    </row>
    <row r="131" spans="1:13" ht="15" thickBot="1" x14ac:dyDescent="0.4">
      <c r="A131" s="379"/>
      <c r="B131" s="380"/>
      <c r="C131" s="381"/>
      <c r="D131" s="381"/>
      <c r="E131" s="381"/>
      <c r="F131" s="381"/>
      <c r="G131" s="382"/>
      <c r="H131" s="382"/>
      <c r="I131" s="382"/>
      <c r="J131" s="382"/>
      <c r="K131" s="382"/>
      <c r="L131" s="382"/>
      <c r="M131" s="382"/>
    </row>
    <row r="132" spans="1:13" ht="21.75" customHeight="1" x14ac:dyDescent="0.35">
      <c r="A132" s="383" t="s">
        <v>3</v>
      </c>
      <c r="B132" s="384" t="s">
        <v>31</v>
      </c>
      <c r="C132" s="384" t="s">
        <v>32</v>
      </c>
      <c r="D132" s="384" t="s">
        <v>33</v>
      </c>
      <c r="E132" s="384" t="s">
        <v>34</v>
      </c>
      <c r="F132" s="385" t="s">
        <v>35</v>
      </c>
      <c r="G132" s="386" t="s">
        <v>36</v>
      </c>
      <c r="H132" s="386"/>
      <c r="I132" s="386" t="s">
        <v>37</v>
      </c>
      <c r="J132" s="386"/>
      <c r="K132" s="387" t="s">
        <v>38</v>
      </c>
      <c r="L132" s="387"/>
      <c r="M132" s="388" t="s">
        <v>39</v>
      </c>
    </row>
    <row r="133" spans="1:13" ht="64.5" customHeight="1" x14ac:dyDescent="0.35">
      <c r="A133" s="389"/>
      <c r="B133" s="390"/>
      <c r="C133" s="390"/>
      <c r="D133" s="390"/>
      <c r="E133" s="390"/>
      <c r="F133" s="391"/>
      <c r="G133" s="392" t="s">
        <v>40</v>
      </c>
      <c r="H133" s="392" t="s">
        <v>41</v>
      </c>
      <c r="I133" s="392" t="s">
        <v>40</v>
      </c>
      <c r="J133" s="392" t="s">
        <v>41</v>
      </c>
      <c r="K133" s="392" t="s">
        <v>40</v>
      </c>
      <c r="L133" s="392" t="s">
        <v>41</v>
      </c>
      <c r="M133" s="393"/>
    </row>
    <row r="134" spans="1:13" ht="15" thickBot="1" x14ac:dyDescent="0.4">
      <c r="A134" s="394">
        <v>1</v>
      </c>
      <c r="B134" s="395">
        <v>2</v>
      </c>
      <c r="C134" s="395">
        <v>3</v>
      </c>
      <c r="D134" s="395">
        <v>4</v>
      </c>
      <c r="E134" s="395">
        <v>5</v>
      </c>
      <c r="F134" s="395">
        <v>6</v>
      </c>
      <c r="G134" s="395">
        <v>7</v>
      </c>
      <c r="H134" s="395">
        <v>8</v>
      </c>
      <c r="I134" s="395">
        <v>9</v>
      </c>
      <c r="J134" s="395">
        <v>10</v>
      </c>
      <c r="K134" s="395">
        <v>11</v>
      </c>
      <c r="L134" s="395">
        <v>12</v>
      </c>
      <c r="M134" s="396">
        <v>13</v>
      </c>
    </row>
    <row r="135" spans="1:13" ht="26" x14ac:dyDescent="0.35">
      <c r="A135" s="397"/>
      <c r="B135" s="398"/>
      <c r="C135" s="399" t="s">
        <v>61</v>
      </c>
      <c r="D135" s="400"/>
      <c r="E135" s="401"/>
      <c r="F135" s="401"/>
      <c r="G135" s="401"/>
      <c r="H135" s="401"/>
      <c r="I135" s="401"/>
      <c r="J135" s="402"/>
      <c r="K135" s="402"/>
      <c r="L135" s="402"/>
      <c r="M135" s="402"/>
    </row>
    <row r="136" spans="1:13" ht="26" x14ac:dyDescent="0.35">
      <c r="A136" s="397">
        <v>1</v>
      </c>
      <c r="B136" s="398" t="s">
        <v>43</v>
      </c>
      <c r="C136" s="403" t="s">
        <v>90</v>
      </c>
      <c r="D136" s="398" t="s">
        <v>45</v>
      </c>
      <c r="E136" s="405">
        <v>1</v>
      </c>
      <c r="F136" s="405">
        <v>6</v>
      </c>
      <c r="G136" s="278">
        <v>0</v>
      </c>
      <c r="H136" s="406">
        <f>G136*F136</f>
        <v>0</v>
      </c>
      <c r="I136" s="407"/>
      <c r="J136" s="408"/>
      <c r="K136" s="408"/>
      <c r="L136" s="408"/>
      <c r="M136" s="408">
        <f>H136</f>
        <v>0</v>
      </c>
    </row>
    <row r="137" spans="1:13" x14ac:dyDescent="0.35">
      <c r="A137" s="409"/>
      <c r="B137" s="410"/>
      <c r="C137" s="411" t="s">
        <v>63</v>
      </c>
      <c r="D137" s="412" t="s">
        <v>45</v>
      </c>
      <c r="E137" s="413">
        <v>1</v>
      </c>
      <c r="F137" s="413">
        <v>0.9</v>
      </c>
      <c r="G137" s="279">
        <v>0</v>
      </c>
      <c r="H137" s="408">
        <f>G137*F137</f>
        <v>0</v>
      </c>
      <c r="I137" s="414"/>
      <c r="J137" s="408"/>
      <c r="K137" s="408"/>
      <c r="L137" s="408"/>
      <c r="M137" s="408"/>
    </row>
    <row r="138" spans="1:13" x14ac:dyDescent="0.35">
      <c r="A138" s="409"/>
      <c r="B138" s="410"/>
      <c r="C138" s="415" t="s">
        <v>64</v>
      </c>
      <c r="D138" s="409" t="s">
        <v>45</v>
      </c>
      <c r="E138" s="409">
        <v>1.02</v>
      </c>
      <c r="F138" s="413">
        <f>F137*E138</f>
        <v>0.91800000000000004</v>
      </c>
      <c r="G138" s="414"/>
      <c r="H138" s="408"/>
      <c r="I138" s="279">
        <v>0</v>
      </c>
      <c r="J138" s="408">
        <f t="shared" ref="J138:J146" si="7">I138*F138</f>
        <v>0</v>
      </c>
      <c r="K138" s="408"/>
      <c r="L138" s="408"/>
      <c r="M138" s="408">
        <f>J138</f>
        <v>0</v>
      </c>
    </row>
    <row r="139" spans="1:13" x14ac:dyDescent="0.35">
      <c r="A139" s="409"/>
      <c r="B139" s="409"/>
      <c r="C139" s="416" t="s">
        <v>65</v>
      </c>
      <c r="D139" s="417" t="s">
        <v>66</v>
      </c>
      <c r="E139" s="409">
        <v>1.02</v>
      </c>
      <c r="F139" s="418">
        <f>E139*0.17</f>
        <v>0.17340000000000003</v>
      </c>
      <c r="G139" s="408"/>
      <c r="H139" s="408"/>
      <c r="I139" s="279">
        <v>0</v>
      </c>
      <c r="J139" s="408">
        <f t="shared" si="7"/>
        <v>0</v>
      </c>
      <c r="K139" s="408"/>
      <c r="L139" s="408"/>
      <c r="M139" s="408">
        <f>J139</f>
        <v>0</v>
      </c>
    </row>
    <row r="140" spans="1:13" x14ac:dyDescent="0.35">
      <c r="A140" s="409"/>
      <c r="B140" s="410"/>
      <c r="C140" s="411" t="s">
        <v>67</v>
      </c>
      <c r="D140" s="412" t="s">
        <v>66</v>
      </c>
      <c r="E140" s="409">
        <v>1.02</v>
      </c>
      <c r="F140" s="408">
        <f>E140*0.16</f>
        <v>0.16320000000000001</v>
      </c>
      <c r="G140" s="408"/>
      <c r="H140" s="414"/>
      <c r="I140" s="279">
        <v>0</v>
      </c>
      <c r="J140" s="408">
        <f t="shared" si="7"/>
        <v>0</v>
      </c>
      <c r="K140" s="408"/>
      <c r="L140" s="408"/>
      <c r="M140" s="408">
        <f>J140</f>
        <v>0</v>
      </c>
    </row>
    <row r="141" spans="1:13" x14ac:dyDescent="0.35">
      <c r="A141" s="409"/>
      <c r="B141" s="410"/>
      <c r="C141" s="411" t="s">
        <v>68</v>
      </c>
      <c r="D141" s="412" t="s">
        <v>66</v>
      </c>
      <c r="E141" s="409">
        <v>1.02</v>
      </c>
      <c r="F141" s="408">
        <f>E141*0.07</f>
        <v>7.1400000000000005E-2</v>
      </c>
      <c r="G141" s="408"/>
      <c r="H141" s="408"/>
      <c r="I141" s="279">
        <v>0</v>
      </c>
      <c r="J141" s="408">
        <f t="shared" si="7"/>
        <v>0</v>
      </c>
      <c r="K141" s="408"/>
      <c r="L141" s="408"/>
      <c r="M141" s="408">
        <f>J141</f>
        <v>0</v>
      </c>
    </row>
    <row r="142" spans="1:13" x14ac:dyDescent="0.35">
      <c r="A142" s="409"/>
      <c r="B142" s="410"/>
      <c r="C142" s="411" t="s">
        <v>69</v>
      </c>
      <c r="D142" s="410" t="s">
        <v>45</v>
      </c>
      <c r="E142" s="409">
        <v>1.02</v>
      </c>
      <c r="F142" s="413">
        <f>E142*F136</f>
        <v>6.12</v>
      </c>
      <c r="G142" s="414"/>
      <c r="H142" s="408"/>
      <c r="I142" s="279">
        <v>0</v>
      </c>
      <c r="J142" s="408">
        <f t="shared" si="7"/>
        <v>0</v>
      </c>
      <c r="K142" s="408"/>
      <c r="L142" s="408"/>
      <c r="M142" s="408">
        <f>J142</f>
        <v>0</v>
      </c>
    </row>
    <row r="143" spans="1:13" ht="26" x14ac:dyDescent="0.35">
      <c r="A143" s="409"/>
      <c r="B143" s="409"/>
      <c r="C143" s="419" t="s">
        <v>70</v>
      </c>
      <c r="D143" s="420" t="s">
        <v>71</v>
      </c>
      <c r="E143" s="421">
        <v>1</v>
      </c>
      <c r="F143" s="421">
        <v>40</v>
      </c>
      <c r="G143" s="422"/>
      <c r="H143" s="422"/>
      <c r="I143" s="297">
        <v>0</v>
      </c>
      <c r="J143" s="422">
        <f t="shared" si="7"/>
        <v>0</v>
      </c>
      <c r="K143" s="422"/>
      <c r="L143" s="422"/>
      <c r="M143" s="422">
        <f>J143++H143</f>
        <v>0</v>
      </c>
    </row>
    <row r="144" spans="1:13" x14ac:dyDescent="0.35">
      <c r="A144" s="409"/>
      <c r="B144" s="410"/>
      <c r="C144" s="411" t="s">
        <v>72</v>
      </c>
      <c r="D144" s="412" t="s">
        <v>73</v>
      </c>
      <c r="E144" s="413">
        <v>1</v>
      </c>
      <c r="F144" s="413">
        <v>22</v>
      </c>
      <c r="G144" s="408"/>
      <c r="H144" s="414"/>
      <c r="I144" s="279">
        <v>0</v>
      </c>
      <c r="J144" s="408">
        <f t="shared" si="7"/>
        <v>0</v>
      </c>
      <c r="K144" s="408"/>
      <c r="L144" s="408"/>
      <c r="M144" s="408">
        <f>J143</f>
        <v>0</v>
      </c>
    </row>
    <row r="145" spans="1:14" x14ac:dyDescent="0.35">
      <c r="A145" s="409"/>
      <c r="B145" s="423"/>
      <c r="C145" s="419" t="s">
        <v>74</v>
      </c>
      <c r="D145" s="420" t="s">
        <v>45</v>
      </c>
      <c r="E145" s="422">
        <v>0.03</v>
      </c>
      <c r="F145" s="421">
        <f>E145*F136</f>
        <v>0.18</v>
      </c>
      <c r="G145" s="422"/>
      <c r="H145" s="422"/>
      <c r="I145" s="297">
        <v>0</v>
      </c>
      <c r="J145" s="422">
        <f t="shared" si="7"/>
        <v>0</v>
      </c>
      <c r="K145" s="422"/>
      <c r="L145" s="422"/>
      <c r="M145" s="422">
        <f>J145++H145</f>
        <v>0</v>
      </c>
    </row>
    <row r="146" spans="1:14" x14ac:dyDescent="0.35">
      <c r="A146" s="409"/>
      <c r="B146" s="409"/>
      <c r="C146" s="411" t="s">
        <v>75</v>
      </c>
      <c r="D146" s="412" t="s">
        <v>29</v>
      </c>
      <c r="E146" s="413">
        <v>1</v>
      </c>
      <c r="F146" s="413">
        <f>F136*E146</f>
        <v>6</v>
      </c>
      <c r="G146" s="408"/>
      <c r="H146" s="414"/>
      <c r="I146" s="279">
        <v>0</v>
      </c>
      <c r="J146" s="408">
        <f t="shared" si="7"/>
        <v>0</v>
      </c>
      <c r="K146" s="408"/>
      <c r="L146" s="408"/>
      <c r="M146" s="408">
        <f>L146+J146</f>
        <v>0</v>
      </c>
    </row>
    <row r="147" spans="1:14" x14ac:dyDescent="0.35">
      <c r="A147" s="409"/>
      <c r="B147" s="410"/>
      <c r="C147" s="411" t="s">
        <v>76</v>
      </c>
      <c r="D147" s="412" t="s">
        <v>29</v>
      </c>
      <c r="E147" s="413">
        <v>0.3</v>
      </c>
      <c r="F147" s="413">
        <f>E147*F136</f>
        <v>1.7999999999999998</v>
      </c>
      <c r="G147" s="408"/>
      <c r="H147" s="414"/>
      <c r="I147" s="414"/>
      <c r="J147" s="408"/>
      <c r="K147" s="279">
        <v>0</v>
      </c>
      <c r="L147" s="408">
        <f>K147*F147</f>
        <v>0</v>
      </c>
      <c r="M147" s="408">
        <f>L147</f>
        <v>0</v>
      </c>
    </row>
    <row r="148" spans="1:14" ht="26" x14ac:dyDescent="0.35">
      <c r="A148" s="434">
        <v>2</v>
      </c>
      <c r="B148" s="398" t="s">
        <v>43</v>
      </c>
      <c r="C148" s="424" t="s">
        <v>82</v>
      </c>
      <c r="D148" s="417" t="s">
        <v>45</v>
      </c>
      <c r="E148" s="405">
        <v>1</v>
      </c>
      <c r="F148" s="435">
        <v>2.8</v>
      </c>
      <c r="G148" s="278">
        <v>0</v>
      </c>
      <c r="H148" s="436">
        <f>F148*G148</f>
        <v>0</v>
      </c>
      <c r="I148" s="436"/>
      <c r="J148" s="436"/>
      <c r="K148" s="436"/>
      <c r="L148" s="436"/>
      <c r="M148" s="436">
        <f>H148</f>
        <v>0</v>
      </c>
    </row>
    <row r="149" spans="1:14" x14ac:dyDescent="0.35">
      <c r="A149" s="409"/>
      <c r="B149" s="410"/>
      <c r="C149" s="411" t="s">
        <v>63</v>
      </c>
      <c r="D149" s="409" t="s">
        <v>45</v>
      </c>
      <c r="E149" s="413">
        <v>1</v>
      </c>
      <c r="F149" s="413">
        <v>0.7</v>
      </c>
      <c r="G149" s="279">
        <v>0</v>
      </c>
      <c r="H149" s="408">
        <f>F149*G149</f>
        <v>0</v>
      </c>
      <c r="I149" s="408"/>
      <c r="J149" s="408"/>
      <c r="K149" s="408"/>
      <c r="L149" s="408"/>
      <c r="M149" s="408">
        <f>H149</f>
        <v>0</v>
      </c>
    </row>
    <row r="150" spans="1:14" x14ac:dyDescent="0.35">
      <c r="A150" s="409"/>
      <c r="B150" s="409"/>
      <c r="C150" s="415" t="s">
        <v>64</v>
      </c>
      <c r="D150" s="417" t="s">
        <v>66</v>
      </c>
      <c r="E150" s="409">
        <v>1.02</v>
      </c>
      <c r="F150" s="435">
        <f>E150*F149</f>
        <v>0.71399999999999997</v>
      </c>
      <c r="G150" s="408"/>
      <c r="H150" s="408"/>
      <c r="I150" s="279">
        <v>0</v>
      </c>
      <c r="J150" s="408">
        <f t="shared" ref="J150:J155" si="8">I150*F150</f>
        <v>0</v>
      </c>
      <c r="K150" s="408"/>
      <c r="L150" s="408"/>
      <c r="M150" s="408">
        <f>J150</f>
        <v>0</v>
      </c>
      <c r="N150" s="488"/>
    </row>
    <row r="151" spans="1:14" x14ac:dyDescent="0.35">
      <c r="A151" s="409"/>
      <c r="B151" s="409"/>
      <c r="C151" s="416" t="s">
        <v>65</v>
      </c>
      <c r="D151" s="417" t="s">
        <v>66</v>
      </c>
      <c r="E151" s="409">
        <v>1.02</v>
      </c>
      <c r="F151" s="418">
        <f>E151*0.16</f>
        <v>0.16320000000000001</v>
      </c>
      <c r="G151" s="408"/>
      <c r="H151" s="408"/>
      <c r="I151" s="279">
        <v>0</v>
      </c>
      <c r="J151" s="408">
        <f t="shared" si="8"/>
        <v>0</v>
      </c>
      <c r="K151" s="408"/>
      <c r="L151" s="408"/>
      <c r="M151" s="408">
        <f>J151</f>
        <v>0</v>
      </c>
    </row>
    <row r="152" spans="1:14" x14ac:dyDescent="0.35">
      <c r="A152" s="409"/>
      <c r="B152" s="410"/>
      <c r="C152" s="411" t="s">
        <v>68</v>
      </c>
      <c r="D152" s="412" t="s">
        <v>66</v>
      </c>
      <c r="E152" s="409">
        <v>1.02</v>
      </c>
      <c r="F152" s="408">
        <f>E152*0.07</f>
        <v>7.1400000000000005E-2</v>
      </c>
      <c r="G152" s="408"/>
      <c r="H152" s="408"/>
      <c r="I152" s="279">
        <v>0</v>
      </c>
      <c r="J152" s="408">
        <f t="shared" si="8"/>
        <v>0</v>
      </c>
      <c r="K152" s="408"/>
      <c r="L152" s="408"/>
      <c r="M152" s="408">
        <f>J152</f>
        <v>0</v>
      </c>
    </row>
    <row r="153" spans="1:14" x14ac:dyDescent="0.35">
      <c r="A153" s="409"/>
      <c r="B153" s="410"/>
      <c r="C153" s="411" t="s">
        <v>69</v>
      </c>
      <c r="D153" s="410" t="s">
        <v>45</v>
      </c>
      <c r="E153" s="409">
        <v>1.02</v>
      </c>
      <c r="F153" s="413">
        <f>E153*F148</f>
        <v>2.8559999999999999</v>
      </c>
      <c r="G153" s="414"/>
      <c r="H153" s="408"/>
      <c r="I153" s="279">
        <v>0</v>
      </c>
      <c r="J153" s="408">
        <f t="shared" si="8"/>
        <v>0</v>
      </c>
      <c r="K153" s="408"/>
      <c r="L153" s="408"/>
      <c r="M153" s="408">
        <f>J153</f>
        <v>0</v>
      </c>
    </row>
    <row r="154" spans="1:14" x14ac:dyDescent="0.35">
      <c r="A154" s="409"/>
      <c r="B154" s="409"/>
      <c r="C154" s="411" t="s">
        <v>72</v>
      </c>
      <c r="D154" s="412" t="s">
        <v>73</v>
      </c>
      <c r="E154" s="413">
        <v>1</v>
      </c>
      <c r="F154" s="413">
        <v>14</v>
      </c>
      <c r="G154" s="408"/>
      <c r="H154" s="414"/>
      <c r="I154" s="279">
        <v>0</v>
      </c>
      <c r="J154" s="408">
        <f t="shared" si="8"/>
        <v>0</v>
      </c>
      <c r="K154" s="408"/>
      <c r="L154" s="408"/>
      <c r="M154" s="408">
        <f>J153</f>
        <v>0</v>
      </c>
    </row>
    <row r="155" spans="1:14" x14ac:dyDescent="0.35">
      <c r="A155" s="409"/>
      <c r="B155" s="409"/>
      <c r="C155" s="411" t="s">
        <v>75</v>
      </c>
      <c r="D155" s="412" t="s">
        <v>29</v>
      </c>
      <c r="E155" s="413">
        <v>1</v>
      </c>
      <c r="F155" s="413">
        <f>E155*F148</f>
        <v>2.8</v>
      </c>
      <c r="G155" s="408"/>
      <c r="H155" s="414"/>
      <c r="I155" s="279">
        <v>0</v>
      </c>
      <c r="J155" s="408">
        <f t="shared" si="8"/>
        <v>0</v>
      </c>
      <c r="K155" s="408"/>
      <c r="L155" s="408"/>
      <c r="M155" s="408">
        <f>L155+J155</f>
        <v>0</v>
      </c>
    </row>
    <row r="156" spans="1:14" x14ac:dyDescent="0.35">
      <c r="A156" s="409"/>
      <c r="B156" s="410"/>
      <c r="C156" s="411" t="s">
        <v>76</v>
      </c>
      <c r="D156" s="412" t="s">
        <v>29</v>
      </c>
      <c r="E156" s="413">
        <v>0.3</v>
      </c>
      <c r="F156" s="413">
        <f>E156*F148</f>
        <v>0.84</v>
      </c>
      <c r="G156" s="408"/>
      <c r="H156" s="414"/>
      <c r="I156" s="414"/>
      <c r="J156" s="408"/>
      <c r="K156" s="279">
        <v>0</v>
      </c>
      <c r="L156" s="408">
        <f>K156*F156</f>
        <v>0</v>
      </c>
      <c r="M156" s="408">
        <f>L156</f>
        <v>0</v>
      </c>
    </row>
    <row r="157" spans="1:14" ht="26" x14ac:dyDescent="0.35">
      <c r="A157" s="409">
        <v>3</v>
      </c>
      <c r="B157" s="409" t="s">
        <v>43</v>
      </c>
      <c r="C157" s="440" t="s">
        <v>83</v>
      </c>
      <c r="D157" s="417" t="s">
        <v>45</v>
      </c>
      <c r="E157" s="405">
        <v>1</v>
      </c>
      <c r="F157" s="405">
        <v>3</v>
      </c>
      <c r="G157" s="278">
        <v>0</v>
      </c>
      <c r="H157" s="406">
        <f>F157*G157</f>
        <v>0</v>
      </c>
      <c r="I157" s="407"/>
      <c r="J157" s="408"/>
      <c r="K157" s="408"/>
      <c r="L157" s="408"/>
      <c r="M157" s="408">
        <f>H157</f>
        <v>0</v>
      </c>
    </row>
    <row r="158" spans="1:14" x14ac:dyDescent="0.35">
      <c r="A158" s="409"/>
      <c r="B158" s="441"/>
      <c r="C158" s="411" t="s">
        <v>67</v>
      </c>
      <c r="D158" s="412" t="s">
        <v>66</v>
      </c>
      <c r="E158" s="409">
        <v>1.02</v>
      </c>
      <c r="F158" s="408">
        <f>E158*0.4</f>
        <v>0.40800000000000003</v>
      </c>
      <c r="G158" s="408"/>
      <c r="H158" s="408"/>
      <c r="I158" s="279">
        <v>0</v>
      </c>
      <c r="J158" s="408">
        <f t="shared" ref="J158:J163" si="9">I158*F158</f>
        <v>0</v>
      </c>
      <c r="K158" s="408"/>
      <c r="L158" s="408"/>
      <c r="M158" s="408">
        <f>J158</f>
        <v>0</v>
      </c>
    </row>
    <row r="159" spans="1:14" x14ac:dyDescent="0.35">
      <c r="A159" s="409"/>
      <c r="B159" s="410"/>
      <c r="C159" s="411" t="s">
        <v>68</v>
      </c>
      <c r="D159" s="412" t="s">
        <v>66</v>
      </c>
      <c r="E159" s="409">
        <v>1.02</v>
      </c>
      <c r="F159" s="425">
        <f>E159*0.06</f>
        <v>6.1199999999999997E-2</v>
      </c>
      <c r="G159" s="408"/>
      <c r="H159" s="408"/>
      <c r="I159" s="279">
        <v>0</v>
      </c>
      <c r="J159" s="408">
        <f t="shared" si="9"/>
        <v>0</v>
      </c>
      <c r="K159" s="408"/>
      <c r="L159" s="408"/>
      <c r="M159" s="408">
        <f>J159</f>
        <v>0</v>
      </c>
    </row>
    <row r="160" spans="1:14" x14ac:dyDescent="0.35">
      <c r="A160" s="409"/>
      <c r="B160" s="410"/>
      <c r="C160" s="411" t="s">
        <v>69</v>
      </c>
      <c r="D160" s="410" t="s">
        <v>45</v>
      </c>
      <c r="E160" s="408">
        <v>1.02</v>
      </c>
      <c r="F160" s="442">
        <f>E160*F157</f>
        <v>3.06</v>
      </c>
      <c r="G160" s="408"/>
      <c r="H160" s="414"/>
      <c r="I160" s="279">
        <v>0</v>
      </c>
      <c r="J160" s="408">
        <f t="shared" si="9"/>
        <v>0</v>
      </c>
      <c r="K160" s="408"/>
      <c r="L160" s="408"/>
      <c r="M160" s="408">
        <f>J160</f>
        <v>0</v>
      </c>
    </row>
    <row r="161" spans="1:13" x14ac:dyDescent="0.35">
      <c r="A161" s="409"/>
      <c r="B161" s="410"/>
      <c r="C161" s="411" t="s">
        <v>72</v>
      </c>
      <c r="D161" s="412" t="s">
        <v>73</v>
      </c>
      <c r="E161" s="413">
        <v>1</v>
      </c>
      <c r="F161" s="413">
        <v>20</v>
      </c>
      <c r="G161" s="408"/>
      <c r="H161" s="414"/>
      <c r="I161" s="279">
        <v>0</v>
      </c>
      <c r="J161" s="408">
        <f t="shared" si="9"/>
        <v>0</v>
      </c>
      <c r="K161" s="408"/>
      <c r="L161" s="408"/>
      <c r="M161" s="408">
        <f>J160</f>
        <v>0</v>
      </c>
    </row>
    <row r="162" spans="1:13" x14ac:dyDescent="0.35">
      <c r="A162" s="409"/>
      <c r="B162" s="423"/>
      <c r="C162" s="419" t="s">
        <v>74</v>
      </c>
      <c r="D162" s="420" t="s">
        <v>45</v>
      </c>
      <c r="E162" s="443">
        <v>0.03</v>
      </c>
      <c r="F162" s="421">
        <f>F157*E162</f>
        <v>0.09</v>
      </c>
      <c r="G162" s="422"/>
      <c r="H162" s="422"/>
      <c r="I162" s="297">
        <v>0</v>
      </c>
      <c r="J162" s="422">
        <f t="shared" si="9"/>
        <v>0</v>
      </c>
      <c r="K162" s="422"/>
      <c r="L162" s="422"/>
      <c r="M162" s="422">
        <f>J162++H162</f>
        <v>0</v>
      </c>
    </row>
    <row r="163" spans="1:13" x14ac:dyDescent="0.35">
      <c r="A163" s="409"/>
      <c r="B163" s="409"/>
      <c r="C163" s="411" t="s">
        <v>75</v>
      </c>
      <c r="D163" s="412" t="s">
        <v>29</v>
      </c>
      <c r="E163" s="413">
        <v>1</v>
      </c>
      <c r="F163" s="413">
        <f>E163*F157</f>
        <v>3</v>
      </c>
      <c r="G163" s="408"/>
      <c r="H163" s="414"/>
      <c r="I163" s="279">
        <v>0</v>
      </c>
      <c r="J163" s="408">
        <f t="shared" si="9"/>
        <v>0</v>
      </c>
      <c r="K163" s="408"/>
      <c r="L163" s="408"/>
      <c r="M163" s="408">
        <f>L163+J163</f>
        <v>0</v>
      </c>
    </row>
    <row r="164" spans="1:13" x14ac:dyDescent="0.35">
      <c r="A164" s="409"/>
      <c r="B164" s="410"/>
      <c r="C164" s="411" t="s">
        <v>76</v>
      </c>
      <c r="D164" s="412" t="s">
        <v>29</v>
      </c>
      <c r="E164" s="413">
        <v>0.3</v>
      </c>
      <c r="F164" s="413">
        <f>E164*F157</f>
        <v>0.89999999999999991</v>
      </c>
      <c r="G164" s="408"/>
      <c r="H164" s="414"/>
      <c r="I164" s="414"/>
      <c r="J164" s="408"/>
      <c r="K164" s="279">
        <v>0</v>
      </c>
      <c r="L164" s="408">
        <f>K164*F164</f>
        <v>0</v>
      </c>
      <c r="M164" s="408">
        <f>L164</f>
        <v>0</v>
      </c>
    </row>
    <row r="165" spans="1:13" ht="26" x14ac:dyDescent="0.35">
      <c r="A165" s="444">
        <v>4</v>
      </c>
      <c r="B165" s="398" t="s">
        <v>43</v>
      </c>
      <c r="C165" s="403" t="s">
        <v>258</v>
      </c>
      <c r="D165" s="398" t="s">
        <v>73</v>
      </c>
      <c r="E165" s="405">
        <v>1</v>
      </c>
      <c r="F165" s="405">
        <v>42</v>
      </c>
      <c r="G165" s="278">
        <v>0</v>
      </c>
      <c r="H165" s="406">
        <v>0</v>
      </c>
      <c r="I165" s="407"/>
      <c r="J165" s="436"/>
      <c r="K165" s="436"/>
      <c r="L165" s="436"/>
      <c r="M165" s="436">
        <f>H165</f>
        <v>0</v>
      </c>
    </row>
    <row r="166" spans="1:13" x14ac:dyDescent="0.35">
      <c r="A166" s="409"/>
      <c r="B166" s="441"/>
      <c r="C166" s="411" t="s">
        <v>259</v>
      </c>
      <c r="D166" s="412" t="s">
        <v>87</v>
      </c>
      <c r="E166" s="413">
        <v>1.1000000000000001</v>
      </c>
      <c r="F166" s="413">
        <f>E166*F165</f>
        <v>46.2</v>
      </c>
      <c r="G166" s="408"/>
      <c r="H166" s="414"/>
      <c r="I166" s="279">
        <v>0</v>
      </c>
      <c r="J166" s="408">
        <f>I166*F166</f>
        <v>0</v>
      </c>
      <c r="K166" s="408"/>
      <c r="L166" s="408"/>
      <c r="M166" s="408">
        <f>J166</f>
        <v>0</v>
      </c>
    </row>
    <row r="167" spans="1:13" x14ac:dyDescent="0.35">
      <c r="A167" s="409"/>
      <c r="B167" s="441"/>
      <c r="C167" s="411" t="s">
        <v>260</v>
      </c>
      <c r="D167" s="412" t="s">
        <v>87</v>
      </c>
      <c r="E167" s="409">
        <v>0.28000000000000003</v>
      </c>
      <c r="F167" s="408">
        <f>E167*F165</f>
        <v>11.760000000000002</v>
      </c>
      <c r="G167" s="408"/>
      <c r="H167" s="414"/>
      <c r="I167" s="279">
        <v>0</v>
      </c>
      <c r="J167" s="408">
        <f>I167*F167</f>
        <v>0</v>
      </c>
      <c r="K167" s="408"/>
      <c r="L167" s="408"/>
      <c r="M167" s="408">
        <f>J167</f>
        <v>0</v>
      </c>
    </row>
    <row r="168" spans="1:13" x14ac:dyDescent="0.35">
      <c r="A168" s="409"/>
      <c r="B168" s="441"/>
      <c r="C168" s="411" t="s">
        <v>75</v>
      </c>
      <c r="D168" s="412" t="s">
        <v>29</v>
      </c>
      <c r="E168" s="413">
        <v>0.1</v>
      </c>
      <c r="F168" s="413">
        <f>E168*F165</f>
        <v>4.2</v>
      </c>
      <c r="G168" s="408"/>
      <c r="H168" s="414"/>
      <c r="I168" s="279">
        <v>0</v>
      </c>
      <c r="J168" s="408">
        <f>I168*F168</f>
        <v>0</v>
      </c>
      <c r="K168" s="408"/>
      <c r="L168" s="408"/>
      <c r="M168" s="408">
        <f>L168+J168</f>
        <v>0</v>
      </c>
    </row>
    <row r="169" spans="1:13" x14ac:dyDescent="0.35">
      <c r="A169" s="409"/>
      <c r="B169" s="441"/>
      <c r="C169" s="411" t="s">
        <v>76</v>
      </c>
      <c r="D169" s="412" t="s">
        <v>29</v>
      </c>
      <c r="E169" s="413">
        <v>0.01</v>
      </c>
      <c r="F169" s="413">
        <f>E169*F165</f>
        <v>0.42</v>
      </c>
      <c r="G169" s="408"/>
      <c r="H169" s="414"/>
      <c r="I169" s="414"/>
      <c r="J169" s="408"/>
      <c r="K169" s="279">
        <v>0</v>
      </c>
      <c r="L169" s="408">
        <f>K169*F169</f>
        <v>0</v>
      </c>
      <c r="M169" s="408">
        <f>L169</f>
        <v>0</v>
      </c>
    </row>
    <row r="170" spans="1:13" ht="26" x14ac:dyDescent="0.35">
      <c r="A170" s="444">
        <v>5</v>
      </c>
      <c r="B170" s="398" t="s">
        <v>43</v>
      </c>
      <c r="C170" s="403" t="s">
        <v>91</v>
      </c>
      <c r="D170" s="398" t="s">
        <v>45</v>
      </c>
      <c r="E170" s="405">
        <v>1</v>
      </c>
      <c r="F170" s="405">
        <v>9.4</v>
      </c>
      <c r="G170" s="278">
        <v>0</v>
      </c>
      <c r="H170" s="445">
        <f>G170*F170</f>
        <v>0</v>
      </c>
      <c r="I170" s="407"/>
      <c r="J170" s="436"/>
      <c r="K170" s="436"/>
      <c r="L170" s="436"/>
      <c r="M170" s="436">
        <f>H170</f>
        <v>0</v>
      </c>
    </row>
    <row r="171" spans="1:13" ht="26" x14ac:dyDescent="0.35">
      <c r="A171" s="409"/>
      <c r="B171" s="441"/>
      <c r="C171" s="411" t="s">
        <v>262</v>
      </c>
      <c r="D171" s="412" t="s">
        <v>45</v>
      </c>
      <c r="E171" s="413">
        <v>1</v>
      </c>
      <c r="F171" s="413">
        <v>6.2</v>
      </c>
      <c r="G171" s="279">
        <v>0</v>
      </c>
      <c r="H171" s="408">
        <f>F171*G171</f>
        <v>0</v>
      </c>
      <c r="I171" s="408"/>
      <c r="J171" s="408"/>
      <c r="K171" s="408"/>
      <c r="L171" s="408"/>
      <c r="M171" s="408">
        <f>H171</f>
        <v>0</v>
      </c>
    </row>
    <row r="172" spans="1:13" x14ac:dyDescent="0.35">
      <c r="A172" s="409"/>
      <c r="B172" s="441"/>
      <c r="C172" s="415" t="s">
        <v>64</v>
      </c>
      <c r="D172" s="412" t="s">
        <v>66</v>
      </c>
      <c r="E172" s="409">
        <v>1.02</v>
      </c>
      <c r="F172" s="413">
        <f>E172*F171</f>
        <v>6.3240000000000007</v>
      </c>
      <c r="G172" s="408"/>
      <c r="H172" s="414"/>
      <c r="I172" s="279">
        <v>0</v>
      </c>
      <c r="J172" s="408">
        <f>I172*F172</f>
        <v>0</v>
      </c>
      <c r="K172" s="408"/>
      <c r="L172" s="408"/>
      <c r="M172" s="408">
        <f>J172</f>
        <v>0</v>
      </c>
    </row>
    <row r="173" spans="1:13" x14ac:dyDescent="0.35">
      <c r="A173" s="409"/>
      <c r="B173" s="441"/>
      <c r="C173" s="411" t="s">
        <v>67</v>
      </c>
      <c r="D173" s="412" t="s">
        <v>66</v>
      </c>
      <c r="E173" s="409">
        <v>1.02</v>
      </c>
      <c r="F173" s="413">
        <f>E173*0.6</f>
        <v>0.61199999999999999</v>
      </c>
      <c r="G173" s="408"/>
      <c r="H173" s="414"/>
      <c r="I173" s="279">
        <v>0</v>
      </c>
      <c r="J173" s="408">
        <f>I173*F173</f>
        <v>0</v>
      </c>
      <c r="K173" s="408"/>
      <c r="L173" s="408"/>
      <c r="M173" s="408">
        <f>J173</f>
        <v>0</v>
      </c>
    </row>
    <row r="174" spans="1:13" x14ac:dyDescent="0.35">
      <c r="A174" s="409"/>
      <c r="B174" s="441"/>
      <c r="C174" s="411" t="s">
        <v>69</v>
      </c>
      <c r="D174" s="410" t="s">
        <v>45</v>
      </c>
      <c r="E174" s="409">
        <v>1.02</v>
      </c>
      <c r="F174" s="413">
        <f>E174*F170</f>
        <v>9.588000000000001</v>
      </c>
      <c r="G174" s="414"/>
      <c r="H174" s="408"/>
      <c r="I174" s="279">
        <v>0</v>
      </c>
      <c r="J174" s="408">
        <f>I174*F174</f>
        <v>0</v>
      </c>
      <c r="K174" s="408"/>
      <c r="L174" s="408"/>
      <c r="M174" s="408">
        <f>J174</f>
        <v>0</v>
      </c>
    </row>
    <row r="175" spans="1:13" x14ac:dyDescent="0.35">
      <c r="A175" s="409"/>
      <c r="B175" s="441"/>
      <c r="C175" s="411" t="s">
        <v>263</v>
      </c>
      <c r="D175" s="412" t="s">
        <v>73</v>
      </c>
      <c r="E175" s="409">
        <v>1.02</v>
      </c>
      <c r="F175" s="413">
        <f>E175*0.6</f>
        <v>0.61199999999999999</v>
      </c>
      <c r="G175" s="408"/>
      <c r="H175" s="414"/>
      <c r="I175" s="279">
        <v>0</v>
      </c>
      <c r="J175" s="408">
        <f>I175*F175</f>
        <v>0</v>
      </c>
      <c r="K175" s="408"/>
      <c r="L175" s="408"/>
      <c r="M175" s="408">
        <f>J175</f>
        <v>0</v>
      </c>
    </row>
    <row r="176" spans="1:13" x14ac:dyDescent="0.35">
      <c r="A176" s="444"/>
      <c r="B176" s="398"/>
      <c r="C176" s="411" t="s">
        <v>75</v>
      </c>
      <c r="D176" s="412" t="s">
        <v>29</v>
      </c>
      <c r="E176" s="413">
        <v>0.1</v>
      </c>
      <c r="F176" s="413">
        <f>E176*F172</f>
        <v>0.63240000000000007</v>
      </c>
      <c r="G176" s="408"/>
      <c r="H176" s="414"/>
      <c r="I176" s="279">
        <v>0</v>
      </c>
      <c r="J176" s="408">
        <f>I176*F176</f>
        <v>0</v>
      </c>
      <c r="K176" s="408"/>
      <c r="L176" s="408"/>
      <c r="M176" s="408">
        <f>L176+J176</f>
        <v>0</v>
      </c>
    </row>
    <row r="177" spans="1:13" x14ac:dyDescent="0.35">
      <c r="A177" s="409"/>
      <c r="B177" s="441"/>
      <c r="C177" s="411" t="s">
        <v>76</v>
      </c>
      <c r="D177" s="412" t="s">
        <v>29</v>
      </c>
      <c r="E177" s="413">
        <v>0.3</v>
      </c>
      <c r="F177" s="413">
        <f>E177*F172</f>
        <v>1.8972000000000002</v>
      </c>
      <c r="G177" s="408"/>
      <c r="H177" s="414"/>
      <c r="I177" s="414"/>
      <c r="J177" s="408"/>
      <c r="K177" s="279">
        <v>0</v>
      </c>
      <c r="L177" s="408">
        <f>K177*F177</f>
        <v>0</v>
      </c>
      <c r="M177" s="408">
        <f>L177</f>
        <v>0</v>
      </c>
    </row>
    <row r="178" spans="1:13" x14ac:dyDescent="0.35">
      <c r="A178" s="444">
        <v>6</v>
      </c>
      <c r="B178" s="398"/>
      <c r="C178" s="403" t="s">
        <v>85</v>
      </c>
      <c r="D178" s="398" t="s">
        <v>73</v>
      </c>
      <c r="E178" s="405">
        <v>1</v>
      </c>
      <c r="F178" s="405">
        <v>62</v>
      </c>
      <c r="G178" s="278">
        <v>0</v>
      </c>
      <c r="H178" s="406">
        <f>F178*G178</f>
        <v>0</v>
      </c>
      <c r="I178" s="407"/>
      <c r="J178" s="436"/>
      <c r="K178" s="436"/>
      <c r="L178" s="436"/>
      <c r="M178" s="436">
        <f>H178</f>
        <v>0</v>
      </c>
    </row>
    <row r="179" spans="1:13" x14ac:dyDescent="0.35">
      <c r="A179" s="409"/>
      <c r="B179" s="454"/>
      <c r="C179" s="411" t="s">
        <v>86</v>
      </c>
      <c r="D179" s="412" t="s">
        <v>87</v>
      </c>
      <c r="E179" s="413">
        <v>2</v>
      </c>
      <c r="F179" s="413">
        <f>E179*F178</f>
        <v>124</v>
      </c>
      <c r="G179" s="408"/>
      <c r="H179" s="414"/>
      <c r="I179" s="279">
        <v>0</v>
      </c>
      <c r="J179" s="408">
        <f>I179*F179</f>
        <v>0</v>
      </c>
      <c r="K179" s="408"/>
      <c r="L179" s="408"/>
      <c r="M179" s="408">
        <f>J179</f>
        <v>0</v>
      </c>
    </row>
    <row r="180" spans="1:13" x14ac:dyDescent="0.35">
      <c r="A180" s="409"/>
      <c r="B180" s="454"/>
      <c r="C180" s="411" t="s">
        <v>88</v>
      </c>
      <c r="D180" s="412" t="s">
        <v>89</v>
      </c>
      <c r="E180" s="409">
        <v>2.3E-2</v>
      </c>
      <c r="F180" s="408">
        <f>E180*F178</f>
        <v>1.4259999999999999</v>
      </c>
      <c r="G180" s="408"/>
      <c r="H180" s="414"/>
      <c r="I180" s="279">
        <v>0</v>
      </c>
      <c r="J180" s="408">
        <f>I180*F180</f>
        <v>0</v>
      </c>
      <c r="K180" s="408"/>
      <c r="L180" s="408"/>
      <c r="M180" s="408">
        <f>J180</f>
        <v>0</v>
      </c>
    </row>
    <row r="181" spans="1:13" x14ac:dyDescent="0.35">
      <c r="A181" s="444"/>
      <c r="B181" s="398"/>
      <c r="C181" s="411" t="s">
        <v>75</v>
      </c>
      <c r="D181" s="412" t="s">
        <v>29</v>
      </c>
      <c r="E181" s="413">
        <v>0.08</v>
      </c>
      <c r="F181" s="413">
        <f>E181*F178</f>
        <v>4.96</v>
      </c>
      <c r="G181" s="408"/>
      <c r="H181" s="414"/>
      <c r="I181" s="279">
        <v>0</v>
      </c>
      <c r="J181" s="408">
        <f>I181*F181</f>
        <v>0</v>
      </c>
      <c r="K181" s="408"/>
      <c r="L181" s="408"/>
      <c r="M181" s="408">
        <f>L181+J181</f>
        <v>0</v>
      </c>
    </row>
    <row r="182" spans="1:13" ht="15" thickBot="1" x14ac:dyDescent="0.4">
      <c r="A182" s="409"/>
      <c r="B182" s="441"/>
      <c r="C182" s="411" t="s">
        <v>76</v>
      </c>
      <c r="D182" s="412" t="s">
        <v>29</v>
      </c>
      <c r="E182" s="413">
        <v>0.5</v>
      </c>
      <c r="F182" s="413">
        <f>E182*F178</f>
        <v>31</v>
      </c>
      <c r="G182" s="408"/>
      <c r="H182" s="414"/>
      <c r="I182" s="414"/>
      <c r="J182" s="408"/>
      <c r="K182" s="279">
        <v>0</v>
      </c>
      <c r="L182" s="408">
        <f>K182*F182</f>
        <v>0</v>
      </c>
      <c r="M182" s="408">
        <f>L182</f>
        <v>0</v>
      </c>
    </row>
    <row r="183" spans="1:13" ht="15" thickBot="1" x14ac:dyDescent="0.4">
      <c r="A183" s="455"/>
      <c r="B183" s="456"/>
      <c r="C183" s="457" t="s">
        <v>287</v>
      </c>
      <c r="D183" s="458"/>
      <c r="E183" s="459"/>
      <c r="F183" s="460"/>
      <c r="G183" s="461"/>
      <c r="H183" s="459">
        <f>H136+H137+H148+H149+H157+H165+H170+H171+H178</f>
        <v>0</v>
      </c>
      <c r="I183" s="459"/>
      <c r="J183" s="459">
        <f>J138+J139+J140+J141+J142+J143+J144+J145+J146+J150+J151+J152+J153+J154+J155+J158+J159+J160+J161+J162+J163+J166+J167+J168+J172+J173+J174+J175+J176+J179+J180+J181</f>
        <v>0</v>
      </c>
      <c r="K183" s="459"/>
      <c r="L183" s="459">
        <f>L147+L156+L164+L169+L177+L182</f>
        <v>0</v>
      </c>
      <c r="M183" s="462">
        <f>L183+J183+H183</f>
        <v>0</v>
      </c>
    </row>
    <row r="184" spans="1:13" ht="26" x14ac:dyDescent="0.35">
      <c r="A184" s="409"/>
      <c r="B184" s="410"/>
      <c r="C184" s="415" t="s">
        <v>52</v>
      </c>
      <c r="D184" s="463">
        <v>0.05</v>
      </c>
      <c r="E184" s="409"/>
      <c r="F184" s="409"/>
      <c r="G184" s="408"/>
      <c r="H184" s="408"/>
      <c r="I184" s="408"/>
      <c r="J184" s="408"/>
      <c r="K184" s="408"/>
      <c r="L184" s="408"/>
      <c r="M184" s="408">
        <f>J183*D184</f>
        <v>0</v>
      </c>
    </row>
    <row r="185" spans="1:13" x14ac:dyDescent="0.35">
      <c r="A185" s="409"/>
      <c r="B185" s="409"/>
      <c r="C185" s="464" t="s">
        <v>23</v>
      </c>
      <c r="D185" s="463"/>
      <c r="E185" s="409"/>
      <c r="F185" s="409"/>
      <c r="G185" s="408"/>
      <c r="H185" s="408"/>
      <c r="I185" s="408"/>
      <c r="J185" s="408"/>
      <c r="K185" s="408"/>
      <c r="L185" s="408"/>
      <c r="M185" s="408">
        <f>M183+M184</f>
        <v>0</v>
      </c>
    </row>
    <row r="186" spans="1:13" x14ac:dyDescent="0.35">
      <c r="A186" s="465"/>
      <c r="B186" s="465"/>
      <c r="C186" s="466" t="s">
        <v>53</v>
      </c>
      <c r="D186" s="467">
        <v>0.1</v>
      </c>
      <c r="E186" s="465"/>
      <c r="F186" s="465"/>
      <c r="G186" s="468"/>
      <c r="H186" s="468"/>
      <c r="I186" s="468"/>
      <c r="J186" s="468"/>
      <c r="K186" s="468"/>
      <c r="L186" s="468"/>
      <c r="M186" s="468">
        <f>M185*D186</f>
        <v>0</v>
      </c>
    </row>
    <row r="187" spans="1:13" x14ac:dyDescent="0.35">
      <c r="A187" s="465"/>
      <c r="B187" s="465"/>
      <c r="C187" s="464" t="s">
        <v>23</v>
      </c>
      <c r="D187" s="465"/>
      <c r="E187" s="465"/>
      <c r="F187" s="465"/>
      <c r="G187" s="468"/>
      <c r="H187" s="468"/>
      <c r="I187" s="468"/>
      <c r="J187" s="468"/>
      <c r="K187" s="468"/>
      <c r="L187" s="468"/>
      <c r="M187" s="468">
        <f>M185+M186</f>
        <v>0</v>
      </c>
    </row>
    <row r="188" spans="1:13" x14ac:dyDescent="0.35">
      <c r="A188" s="469"/>
      <c r="B188" s="469"/>
      <c r="C188" s="469" t="s">
        <v>54</v>
      </c>
      <c r="D188" s="470">
        <v>0.08</v>
      </c>
      <c r="E188" s="469"/>
      <c r="F188" s="469"/>
      <c r="G188" s="471"/>
      <c r="H188" s="471"/>
      <c r="I188" s="471"/>
      <c r="J188" s="471"/>
      <c r="K188" s="471"/>
      <c r="L188" s="471"/>
      <c r="M188" s="472">
        <f>M187*D188</f>
        <v>0</v>
      </c>
    </row>
    <row r="189" spans="1:13" x14ac:dyDescent="0.35">
      <c r="A189" s="465"/>
      <c r="B189" s="465"/>
      <c r="C189" s="464" t="s">
        <v>23</v>
      </c>
      <c r="D189" s="465"/>
      <c r="E189" s="465"/>
      <c r="F189" s="465"/>
      <c r="G189" s="468"/>
      <c r="H189" s="468"/>
      <c r="I189" s="468"/>
      <c r="J189" s="468"/>
      <c r="K189" s="468"/>
      <c r="L189" s="468"/>
      <c r="M189" s="468">
        <f>M187+M188</f>
        <v>0</v>
      </c>
    </row>
    <row r="190" spans="1:13" x14ac:dyDescent="0.35">
      <c r="B190" s="473"/>
      <c r="C190" s="474" t="s">
        <v>24</v>
      </c>
      <c r="D190" s="475">
        <v>0.03</v>
      </c>
      <c r="E190" s="434"/>
      <c r="F190" s="434"/>
      <c r="G190" s="436"/>
      <c r="H190" s="436"/>
      <c r="I190" s="436"/>
      <c r="J190" s="436"/>
      <c r="K190" s="436"/>
      <c r="L190" s="436"/>
      <c r="M190" s="436">
        <f>M189*D190</f>
        <v>0</v>
      </c>
    </row>
    <row r="191" spans="1:13" x14ac:dyDescent="0.35">
      <c r="A191" s="476"/>
      <c r="B191" s="476"/>
      <c r="C191" s="477" t="s">
        <v>23</v>
      </c>
      <c r="D191" s="409"/>
      <c r="E191" s="409"/>
      <c r="F191" s="409"/>
      <c r="G191" s="408"/>
      <c r="H191" s="408"/>
      <c r="I191" s="408"/>
      <c r="J191" s="408"/>
      <c r="K191" s="408"/>
      <c r="L191" s="408"/>
      <c r="M191" s="408">
        <f>M189+M190</f>
        <v>0</v>
      </c>
    </row>
    <row r="192" spans="1:13" ht="26.5" thickBot="1" x14ac:dyDescent="0.4">
      <c r="A192" s="478"/>
      <c r="B192" s="473"/>
      <c r="C192" s="479" t="s">
        <v>25</v>
      </c>
      <c r="D192" s="480">
        <v>0.18</v>
      </c>
      <c r="E192" s="481"/>
      <c r="F192" s="481"/>
      <c r="G192" s="422"/>
      <c r="H192" s="422"/>
      <c r="I192" s="422"/>
      <c r="J192" s="422"/>
      <c r="K192" s="422"/>
      <c r="L192" s="422"/>
      <c r="M192" s="422">
        <f>M191*D192</f>
        <v>0</v>
      </c>
    </row>
    <row r="193" spans="1:13" ht="15" thickBot="1" x14ac:dyDescent="0.4">
      <c r="A193" s="482"/>
      <c r="B193" s="483"/>
      <c r="C193" s="484" t="s">
        <v>26</v>
      </c>
      <c r="D193" s="485"/>
      <c r="E193" s="485"/>
      <c r="F193" s="485"/>
      <c r="G193" s="486"/>
      <c r="H193" s="486"/>
      <c r="I193" s="486"/>
      <c r="J193" s="486"/>
      <c r="K193" s="486"/>
      <c r="L193" s="486"/>
      <c r="M193" s="462">
        <f t="shared" ref="M193" si="10">M191+M192</f>
        <v>0</v>
      </c>
    </row>
  </sheetData>
  <sheetProtection algorithmName="SHA-512" hashValue="gMstHdWlNSEcPcyBOhY39uhTghTs0Ekp5Ze+/51kHT2T9evglwpN3yqtGIyInEec9vzL5ee5KBEZ0QUiqU54+w==" saltValue="KGw2HHy636mb3uMRogDLVw==" spinCount="100000" sheet="1" objects="1" scenarios="1"/>
  <mergeCells count="29">
    <mergeCell ref="M9:M10"/>
    <mergeCell ref="F9:F10"/>
    <mergeCell ref="B1:L1"/>
    <mergeCell ref="D3:K3"/>
    <mergeCell ref="C4:L4"/>
    <mergeCell ref="B6:E6"/>
    <mergeCell ref="B7:F7"/>
    <mergeCell ref="A9:A10"/>
    <mergeCell ref="B9:B10"/>
    <mergeCell ref="C9:C10"/>
    <mergeCell ref="D9:D10"/>
    <mergeCell ref="E9:E10"/>
    <mergeCell ref="C127:L127"/>
    <mergeCell ref="C126:L126"/>
    <mergeCell ref="G9:H9"/>
    <mergeCell ref="I9:J9"/>
    <mergeCell ref="K9:L9"/>
    <mergeCell ref="K132:L132"/>
    <mergeCell ref="M132:M133"/>
    <mergeCell ref="G132:H132"/>
    <mergeCell ref="I132:J132"/>
    <mergeCell ref="F132:F133"/>
    <mergeCell ref="B129:D129"/>
    <mergeCell ref="B130:F130"/>
    <mergeCell ref="C132:C133"/>
    <mergeCell ref="B132:B133"/>
    <mergeCell ref="A132:A133"/>
    <mergeCell ref="E132:E133"/>
    <mergeCell ref="D132:D133"/>
  </mergeCells>
  <pageMargins left="0.7" right="0.45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296DA-3C50-43AE-9FC4-3DB49C1C88CE}">
  <dimension ref="A1:M70"/>
  <sheetViews>
    <sheetView topLeftCell="A56" zoomScale="70" zoomScaleNormal="70" workbookViewId="0">
      <selection activeCell="F68" sqref="F68"/>
    </sheetView>
  </sheetViews>
  <sheetFormatPr defaultRowHeight="14.5" x14ac:dyDescent="0.35"/>
  <cols>
    <col min="1" max="1" width="3.81640625" customWidth="1"/>
    <col min="2" max="2" width="4.81640625" customWidth="1"/>
    <col min="3" max="3" width="29.81640625" customWidth="1"/>
    <col min="4" max="4" width="7.453125" customWidth="1"/>
    <col min="5" max="5" width="7.26953125" customWidth="1"/>
    <col min="6" max="6" width="8.1796875" customWidth="1"/>
    <col min="7" max="7" width="7.26953125" customWidth="1"/>
    <col min="8" max="8" width="12" customWidth="1"/>
    <col min="9" max="9" width="8.26953125" customWidth="1"/>
    <col min="10" max="10" width="11.54296875" customWidth="1"/>
    <col min="11" max="11" width="8.453125" customWidth="1"/>
    <col min="12" max="12" width="11.1796875" customWidth="1"/>
    <col min="13" max="13" width="11.7265625" customWidth="1"/>
  </cols>
  <sheetData>
    <row r="1" spans="1:13" ht="30" customHeight="1" x14ac:dyDescent="0.35">
      <c r="A1" s="1"/>
      <c r="B1" s="327" t="s">
        <v>92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</row>
    <row r="2" spans="1:13" x14ac:dyDescent="0.35">
      <c r="A2" s="9"/>
      <c r="B2" s="9"/>
      <c r="C2" s="9"/>
      <c r="D2" s="9"/>
      <c r="E2" s="9"/>
      <c r="F2" s="9"/>
      <c r="G2" s="9"/>
      <c r="H2" s="9"/>
      <c r="I2" s="9"/>
    </row>
    <row r="3" spans="1:13" x14ac:dyDescent="0.35">
      <c r="A3" s="10"/>
      <c r="B3" s="336" t="s">
        <v>14</v>
      </c>
      <c r="C3" s="336"/>
      <c r="D3" s="336"/>
      <c r="E3" s="336"/>
      <c r="F3" s="336"/>
      <c r="G3" s="336"/>
      <c r="H3" s="336"/>
      <c r="I3" s="336"/>
      <c r="J3" s="336"/>
      <c r="K3" s="336"/>
    </row>
    <row r="4" spans="1:13" x14ac:dyDescent="0.35">
      <c r="A4" s="11"/>
      <c r="B4" s="335" t="s">
        <v>15</v>
      </c>
      <c r="C4" s="335"/>
      <c r="D4" s="335"/>
      <c r="E4" s="335"/>
      <c r="F4" s="335"/>
      <c r="G4" s="335"/>
      <c r="H4" s="335"/>
      <c r="I4" s="335"/>
      <c r="J4" s="335"/>
      <c r="K4" s="335"/>
      <c r="L4" s="11"/>
      <c r="M4" s="11"/>
    </row>
    <row r="5" spans="1:13" x14ac:dyDescent="0.35">
      <c r="A5" s="11"/>
      <c r="B5" s="11"/>
      <c r="C5" s="11"/>
      <c r="D5" s="11"/>
      <c r="E5" s="11"/>
      <c r="F5" s="11"/>
      <c r="G5" s="11"/>
      <c r="H5" s="11"/>
      <c r="I5" s="11"/>
    </row>
    <row r="6" spans="1:13" x14ac:dyDescent="0.35">
      <c r="A6" s="12"/>
      <c r="B6" s="12"/>
      <c r="C6" s="12"/>
      <c r="D6" s="12"/>
      <c r="E6" s="12"/>
      <c r="F6" s="12"/>
      <c r="G6" s="12"/>
      <c r="H6" s="12"/>
      <c r="I6" s="12"/>
    </row>
    <row r="7" spans="1:13" x14ac:dyDescent="0.35">
      <c r="A7" s="13"/>
      <c r="B7" s="328" t="s">
        <v>2</v>
      </c>
      <c r="C7" s="328"/>
      <c r="D7" s="328"/>
      <c r="E7" s="328"/>
      <c r="F7" s="328"/>
      <c r="H7" s="14"/>
      <c r="I7" s="14"/>
      <c r="L7" s="15">
        <f>M26</f>
        <v>0</v>
      </c>
      <c r="M7" s="124" t="s">
        <v>288</v>
      </c>
    </row>
    <row r="8" spans="1:13" x14ac:dyDescent="0.35">
      <c r="A8" s="13"/>
      <c r="B8" s="329" t="s">
        <v>282</v>
      </c>
      <c r="C8" s="329"/>
      <c r="D8" s="329"/>
      <c r="E8" s="329"/>
      <c r="F8" s="329"/>
      <c r="G8" s="2"/>
      <c r="H8" s="2"/>
      <c r="I8" s="2"/>
      <c r="J8" s="2"/>
      <c r="K8" s="2"/>
      <c r="L8" s="70"/>
      <c r="M8" s="70"/>
    </row>
    <row r="9" spans="1:13" ht="15" thickBot="1" x14ac:dyDescent="0.4">
      <c r="A9" s="18"/>
      <c r="B9" s="19"/>
      <c r="C9" s="20"/>
      <c r="D9" s="20"/>
      <c r="E9" s="20"/>
      <c r="F9" s="20"/>
      <c r="G9" s="71"/>
      <c r="H9" s="71"/>
      <c r="I9" s="71"/>
      <c r="J9" s="71"/>
      <c r="K9" s="71"/>
      <c r="L9" s="71"/>
      <c r="M9" s="71"/>
    </row>
    <row r="10" spans="1:13" ht="20.25" customHeight="1" x14ac:dyDescent="0.35">
      <c r="A10" s="341" t="s">
        <v>3</v>
      </c>
      <c r="B10" s="333" t="s">
        <v>31</v>
      </c>
      <c r="C10" s="333" t="s">
        <v>32</v>
      </c>
      <c r="D10" s="333" t="s">
        <v>33</v>
      </c>
      <c r="E10" s="333" t="s">
        <v>34</v>
      </c>
      <c r="F10" s="338" t="s">
        <v>35</v>
      </c>
      <c r="G10" s="337" t="s">
        <v>36</v>
      </c>
      <c r="H10" s="337"/>
      <c r="I10" s="337" t="s">
        <v>37</v>
      </c>
      <c r="J10" s="337"/>
      <c r="K10" s="321" t="s">
        <v>38</v>
      </c>
      <c r="L10" s="321"/>
      <c r="M10" s="322" t="s">
        <v>39</v>
      </c>
    </row>
    <row r="11" spans="1:13" ht="48.75" customHeight="1" x14ac:dyDescent="0.35">
      <c r="A11" s="340"/>
      <c r="B11" s="334"/>
      <c r="C11" s="334"/>
      <c r="D11" s="334"/>
      <c r="E11" s="334"/>
      <c r="F11" s="339"/>
      <c r="G11" s="137" t="s">
        <v>40</v>
      </c>
      <c r="H11" s="137" t="s">
        <v>41</v>
      </c>
      <c r="I11" s="137" t="s">
        <v>40</v>
      </c>
      <c r="J11" s="137" t="s">
        <v>41</v>
      </c>
      <c r="K11" s="137" t="s">
        <v>40</v>
      </c>
      <c r="L11" s="137" t="s">
        <v>41</v>
      </c>
      <c r="M11" s="323"/>
    </row>
    <row r="12" spans="1:13" x14ac:dyDescent="0.35">
      <c r="A12" s="232">
        <v>1</v>
      </c>
      <c r="B12" s="219">
        <v>2</v>
      </c>
      <c r="C12" s="219">
        <v>3</v>
      </c>
      <c r="D12" s="219">
        <v>4</v>
      </c>
      <c r="E12" s="219">
        <v>5</v>
      </c>
      <c r="F12" s="219">
        <v>6</v>
      </c>
      <c r="G12" s="219">
        <v>7</v>
      </c>
      <c r="H12" s="219">
        <v>8</v>
      </c>
      <c r="I12" s="219">
        <v>9</v>
      </c>
      <c r="J12" s="219">
        <v>10</v>
      </c>
      <c r="K12" s="219">
        <v>11</v>
      </c>
      <c r="L12" s="219">
        <v>12</v>
      </c>
      <c r="M12" s="233">
        <v>13</v>
      </c>
    </row>
    <row r="13" spans="1:13" ht="42" customHeight="1" thickBot="1" x14ac:dyDescent="0.4">
      <c r="A13" s="234"/>
      <c r="B13" s="235"/>
      <c r="C13" s="236" t="s">
        <v>93</v>
      </c>
      <c r="D13" s="235" t="s">
        <v>73</v>
      </c>
      <c r="E13" s="237"/>
      <c r="F13" s="143">
        <v>4000</v>
      </c>
      <c r="G13" s="296">
        <v>0</v>
      </c>
      <c r="H13" s="290">
        <f>G13*F13</f>
        <v>0</v>
      </c>
      <c r="I13" s="296">
        <v>0</v>
      </c>
      <c r="J13" s="291">
        <f>I13*F13</f>
        <v>0</v>
      </c>
      <c r="K13" s="292"/>
      <c r="L13" s="292"/>
      <c r="M13" s="293">
        <f>J13+H13</f>
        <v>0</v>
      </c>
    </row>
    <row r="14" spans="1:13" ht="26" x14ac:dyDescent="0.35">
      <c r="A14" s="25">
        <v>1</v>
      </c>
      <c r="B14" s="32" t="s">
        <v>43</v>
      </c>
      <c r="C14" s="72" t="s">
        <v>94</v>
      </c>
      <c r="D14" s="32" t="s">
        <v>95</v>
      </c>
      <c r="E14" s="32"/>
      <c r="F14" s="112"/>
      <c r="G14" s="244"/>
      <c r="H14" s="244"/>
      <c r="I14" s="244"/>
      <c r="J14" s="182"/>
      <c r="K14" s="182"/>
      <c r="L14" s="182"/>
      <c r="M14" s="182"/>
    </row>
    <row r="15" spans="1:13" x14ac:dyDescent="0.35">
      <c r="A15" s="113"/>
      <c r="B15" s="38"/>
      <c r="C15" s="47" t="s">
        <v>96</v>
      </c>
      <c r="D15" s="75" t="s">
        <v>29</v>
      </c>
      <c r="E15" s="37">
        <v>1</v>
      </c>
      <c r="F15" s="8">
        <f>F13*E15</f>
        <v>4000</v>
      </c>
      <c r="G15" s="279">
        <v>0</v>
      </c>
      <c r="H15" s="42">
        <f>F15*G15</f>
        <v>0</v>
      </c>
      <c r="I15" s="42"/>
      <c r="J15" s="42"/>
      <c r="K15" s="279">
        <v>0</v>
      </c>
      <c r="L15" s="42">
        <f>K15*F15</f>
        <v>0</v>
      </c>
      <c r="M15" s="42">
        <f>L15+H15</f>
        <v>0</v>
      </c>
    </row>
    <row r="16" spans="1:13" x14ac:dyDescent="0.35">
      <c r="A16" s="46"/>
      <c r="B16" s="44"/>
      <c r="C16" s="80" t="s">
        <v>97</v>
      </c>
      <c r="D16" s="81" t="s">
        <v>29</v>
      </c>
      <c r="E16" s="82">
        <v>1</v>
      </c>
      <c r="F16" s="85">
        <f>F13*E16</f>
        <v>4000</v>
      </c>
      <c r="G16" s="87"/>
      <c r="H16" s="246"/>
      <c r="I16" s="246"/>
      <c r="J16" s="87"/>
      <c r="K16" s="297">
        <v>0</v>
      </c>
      <c r="L16" s="87">
        <f>K16*F16</f>
        <v>0</v>
      </c>
      <c r="M16" s="87">
        <f>L16</f>
        <v>0</v>
      </c>
    </row>
    <row r="17" spans="1:13" x14ac:dyDescent="0.35">
      <c r="A17" s="46"/>
      <c r="B17" s="44"/>
      <c r="C17" s="77" t="s">
        <v>98</v>
      </c>
      <c r="D17" s="46" t="s">
        <v>29</v>
      </c>
      <c r="E17" s="37">
        <v>1</v>
      </c>
      <c r="F17" s="8">
        <v>60</v>
      </c>
      <c r="G17" s="42"/>
      <c r="H17" s="245"/>
      <c r="I17" s="245"/>
      <c r="J17" s="245"/>
      <c r="K17" s="279">
        <v>0</v>
      </c>
      <c r="L17" s="42">
        <f>K17*F17</f>
        <v>0</v>
      </c>
      <c r="M17" s="42">
        <f>L17</f>
        <v>0</v>
      </c>
    </row>
    <row r="18" spans="1:13" x14ac:dyDescent="0.35">
      <c r="A18" s="46"/>
      <c r="B18" s="44"/>
      <c r="C18" s="39" t="s">
        <v>75</v>
      </c>
      <c r="D18" s="79" t="s">
        <v>29</v>
      </c>
      <c r="E18" s="100">
        <v>0.5</v>
      </c>
      <c r="F18" s="6">
        <f>E18*F13</f>
        <v>2000</v>
      </c>
      <c r="G18" s="182"/>
      <c r="H18" s="247"/>
      <c r="I18" s="298">
        <v>0</v>
      </c>
      <c r="J18" s="182">
        <f>I18*F18</f>
        <v>0</v>
      </c>
      <c r="K18" s="182"/>
      <c r="L18" s="182"/>
      <c r="M18" s="182">
        <f>L18+J18</f>
        <v>0</v>
      </c>
    </row>
    <row r="19" spans="1:13" ht="15" thickBot="1" x14ac:dyDescent="0.4">
      <c r="A19" s="83"/>
      <c r="B19" s="83"/>
      <c r="C19" s="114"/>
      <c r="D19" s="115"/>
      <c r="E19" s="116"/>
      <c r="F19" s="117"/>
      <c r="G19" s="87"/>
      <c r="H19" s="87"/>
      <c r="I19" s="87"/>
      <c r="J19" s="87"/>
      <c r="K19" s="87"/>
      <c r="L19" s="87"/>
      <c r="M19" s="87"/>
    </row>
    <row r="20" spans="1:13" ht="15" thickBot="1" x14ac:dyDescent="0.4">
      <c r="A20" s="108"/>
      <c r="B20" s="130"/>
      <c r="C20" s="131" t="s">
        <v>99</v>
      </c>
      <c r="D20" s="109"/>
      <c r="E20" s="109"/>
      <c r="F20" s="132"/>
      <c r="G20" s="214"/>
      <c r="H20" s="238">
        <f>H13</f>
        <v>0</v>
      </c>
      <c r="I20" s="238"/>
      <c r="J20" s="238">
        <f>J13+J18</f>
        <v>0</v>
      </c>
      <c r="K20" s="238"/>
      <c r="L20" s="238">
        <f>L15+L16+L17</f>
        <v>0</v>
      </c>
      <c r="M20" s="287">
        <f>L20+J20+H20</f>
        <v>0</v>
      </c>
    </row>
    <row r="21" spans="1:13" ht="26" x14ac:dyDescent="0.35">
      <c r="A21" s="4"/>
      <c r="B21" s="4"/>
      <c r="C21" s="77" t="s">
        <v>100</v>
      </c>
      <c r="D21" s="105"/>
      <c r="E21" s="46"/>
      <c r="F21" s="46"/>
      <c r="G21" s="42"/>
      <c r="H21" s="42"/>
      <c r="I21" s="42"/>
      <c r="J21" s="42"/>
      <c r="K21" s="42"/>
      <c r="L21" s="42"/>
      <c r="M21" s="42">
        <v>0</v>
      </c>
    </row>
    <row r="22" spans="1:13" x14ac:dyDescent="0.35">
      <c r="A22" s="118"/>
      <c r="B22" s="119"/>
      <c r="C22" s="64" t="s">
        <v>23</v>
      </c>
      <c r="D22" s="105"/>
      <c r="E22" s="46"/>
      <c r="F22" s="46"/>
      <c r="G22" s="42"/>
      <c r="H22" s="42"/>
      <c r="I22" s="42"/>
      <c r="J22" s="42"/>
      <c r="K22" s="42"/>
      <c r="L22" s="42"/>
      <c r="M22" s="42">
        <f>M20+M21</f>
        <v>0</v>
      </c>
    </row>
    <row r="23" spans="1:13" x14ac:dyDescent="0.35">
      <c r="A23" s="49"/>
      <c r="B23" s="49"/>
      <c r="C23" s="66" t="s">
        <v>101</v>
      </c>
      <c r="D23" s="105">
        <v>0.05</v>
      </c>
      <c r="E23" s="49"/>
      <c r="F23" s="49"/>
      <c r="G23" s="141"/>
      <c r="H23" s="141"/>
      <c r="I23" s="141"/>
      <c r="J23" s="141"/>
      <c r="K23" s="141"/>
      <c r="L23" s="141"/>
      <c r="M23" s="141">
        <f>M22*D23</f>
        <v>0</v>
      </c>
    </row>
    <row r="24" spans="1:13" x14ac:dyDescent="0.35">
      <c r="A24" s="120"/>
      <c r="B24" s="4"/>
      <c r="C24" s="64" t="s">
        <v>23</v>
      </c>
      <c r="D24" s="49"/>
      <c r="E24" s="49"/>
      <c r="F24" s="49"/>
      <c r="G24" s="141"/>
      <c r="H24" s="141"/>
      <c r="I24" s="141"/>
      <c r="J24" s="141"/>
      <c r="K24" s="141"/>
      <c r="L24" s="141"/>
      <c r="M24" s="141">
        <f>M22+M23</f>
        <v>0</v>
      </c>
    </row>
    <row r="25" spans="1:13" x14ac:dyDescent="0.35">
      <c r="A25" s="121"/>
      <c r="B25" s="122"/>
      <c r="C25" s="106" t="s">
        <v>102</v>
      </c>
      <c r="D25" s="123">
        <v>0.05</v>
      </c>
      <c r="E25" s="83"/>
      <c r="F25" s="83"/>
      <c r="G25" s="87"/>
      <c r="H25" s="87"/>
      <c r="I25" s="87"/>
      <c r="J25" s="87"/>
      <c r="K25" s="87"/>
      <c r="L25" s="87"/>
      <c r="M25" s="87">
        <f>M24*D25</f>
        <v>0</v>
      </c>
    </row>
    <row r="26" spans="1:13" x14ac:dyDescent="0.35">
      <c r="A26" s="49"/>
      <c r="B26" s="49"/>
      <c r="C26" s="218" t="s">
        <v>23</v>
      </c>
      <c r="D26" s="49"/>
      <c r="E26" s="49"/>
      <c r="F26" s="49"/>
      <c r="G26" s="141"/>
      <c r="H26" s="141"/>
      <c r="I26" s="141"/>
      <c r="J26" s="141"/>
      <c r="K26" s="141"/>
      <c r="L26" s="141"/>
      <c r="M26" s="141">
        <f>M24+M25</f>
        <v>0</v>
      </c>
    </row>
    <row r="27" spans="1:13" x14ac:dyDescent="0.35">
      <c r="B27" s="30"/>
      <c r="C27" s="33" t="s">
        <v>24</v>
      </c>
      <c r="D27" s="177">
        <v>0.03</v>
      </c>
      <c r="E27" s="95"/>
      <c r="F27" s="95"/>
      <c r="G27" s="182"/>
      <c r="H27" s="182"/>
      <c r="I27" s="182"/>
      <c r="J27" s="182"/>
      <c r="K27" s="182"/>
      <c r="L27" s="182"/>
      <c r="M27" s="182">
        <f>M26*D27</f>
        <v>0</v>
      </c>
    </row>
    <row r="28" spans="1:13" x14ac:dyDescent="0.35">
      <c r="A28" s="169"/>
      <c r="B28" s="169"/>
      <c r="C28" s="203" t="s">
        <v>23</v>
      </c>
      <c r="D28" s="46"/>
      <c r="E28" s="46"/>
      <c r="F28" s="46"/>
      <c r="G28" s="42"/>
      <c r="H28" s="42"/>
      <c r="I28" s="42"/>
      <c r="J28" s="42"/>
      <c r="K28" s="42"/>
      <c r="L28" s="42"/>
      <c r="M28" s="42">
        <f>M26+M27</f>
        <v>0</v>
      </c>
    </row>
    <row r="29" spans="1:13" ht="26.5" thickBot="1" x14ac:dyDescent="0.4">
      <c r="A29" s="119"/>
      <c r="B29" s="30"/>
      <c r="C29" s="128" t="s">
        <v>25</v>
      </c>
      <c r="D29" s="123">
        <v>0.18</v>
      </c>
      <c r="E29" s="83"/>
      <c r="F29" s="83"/>
      <c r="G29" s="87"/>
      <c r="H29" s="87"/>
      <c r="I29" s="87"/>
      <c r="J29" s="87"/>
      <c r="K29" s="87"/>
      <c r="L29" s="87"/>
      <c r="M29" s="87">
        <f>M28*D29</f>
        <v>0</v>
      </c>
    </row>
    <row r="30" spans="1:13" ht="15" thickBot="1" x14ac:dyDescent="0.4">
      <c r="A30" s="212"/>
      <c r="B30" s="223"/>
      <c r="C30" s="110" t="s">
        <v>26</v>
      </c>
      <c r="D30" s="109"/>
      <c r="E30" s="109"/>
      <c r="F30" s="109"/>
      <c r="G30" s="214"/>
      <c r="H30" s="214"/>
      <c r="I30" s="214"/>
      <c r="J30" s="214"/>
      <c r="K30" s="214"/>
      <c r="L30" s="214"/>
      <c r="M30" s="287">
        <f t="shared" ref="M30" si="0">M28+M29</f>
        <v>0</v>
      </c>
    </row>
    <row r="31" spans="1:13" x14ac:dyDescent="0.35">
      <c r="A31" s="11"/>
      <c r="B31" s="11"/>
      <c r="C31" s="11"/>
      <c r="D31" s="11"/>
      <c r="E31" s="11"/>
      <c r="F31" s="11"/>
      <c r="G31" s="11"/>
      <c r="H31" s="11"/>
      <c r="I31" s="11"/>
    </row>
    <row r="32" spans="1:13" x14ac:dyDescent="0.35">
      <c r="A32" s="13"/>
      <c r="B32" s="329"/>
      <c r="C32" s="329"/>
      <c r="D32" s="329"/>
      <c r="E32" s="329"/>
      <c r="F32" s="329"/>
      <c r="G32" s="2"/>
      <c r="H32" s="2"/>
      <c r="I32" s="2"/>
      <c r="J32" s="2"/>
      <c r="K32" s="2"/>
      <c r="L32" s="70"/>
      <c r="M32" s="70"/>
    </row>
    <row r="33" spans="1:13" x14ac:dyDescent="0.35">
      <c r="A33" s="10"/>
      <c r="B33" s="336" t="s">
        <v>103</v>
      </c>
      <c r="C33" s="336"/>
      <c r="D33" s="336"/>
      <c r="E33" s="336"/>
      <c r="F33" s="336"/>
      <c r="G33" s="336"/>
      <c r="H33" s="336"/>
      <c r="I33" s="336"/>
      <c r="J33" s="336"/>
      <c r="K33" s="336"/>
    </row>
    <row r="34" spans="1:13" x14ac:dyDescent="0.35">
      <c r="A34" s="11"/>
      <c r="B34" s="335" t="s">
        <v>302</v>
      </c>
      <c r="C34" s="335"/>
      <c r="D34" s="335"/>
      <c r="E34" s="335"/>
      <c r="F34" s="335"/>
      <c r="G34" s="335"/>
      <c r="H34" s="335"/>
      <c r="I34" s="335"/>
      <c r="J34" s="335"/>
      <c r="K34" s="335"/>
      <c r="L34" s="11"/>
      <c r="M34" s="11"/>
    </row>
    <row r="35" spans="1:13" x14ac:dyDescent="0.35">
      <c r="A35" s="11"/>
      <c r="B35" s="11"/>
      <c r="C35" s="11"/>
      <c r="D35" s="11"/>
      <c r="E35" s="11"/>
      <c r="F35" s="11"/>
      <c r="G35" s="11"/>
      <c r="H35" s="11"/>
      <c r="I35" s="11"/>
    </row>
    <row r="36" spans="1:13" ht="15.75" customHeight="1" x14ac:dyDescent="0.35">
      <c r="A36" s="12"/>
      <c r="B36" s="12"/>
      <c r="C36" s="12"/>
      <c r="D36" s="12"/>
      <c r="E36" s="12"/>
      <c r="F36" s="12"/>
      <c r="G36" s="12"/>
      <c r="H36" s="12"/>
      <c r="I36" s="12"/>
    </row>
    <row r="37" spans="1:13" x14ac:dyDescent="0.35">
      <c r="A37" s="13"/>
      <c r="B37" s="328" t="s">
        <v>2</v>
      </c>
      <c r="C37" s="328"/>
      <c r="D37" s="328"/>
      <c r="E37" s="328"/>
      <c r="F37" s="328"/>
      <c r="H37" s="14"/>
      <c r="I37" s="14"/>
      <c r="L37" s="15">
        <f>M70</f>
        <v>0</v>
      </c>
      <c r="M37" t="s">
        <v>288</v>
      </c>
    </row>
    <row r="38" spans="1:13" x14ac:dyDescent="0.35">
      <c r="A38" s="13"/>
      <c r="B38" s="329" t="s">
        <v>283</v>
      </c>
      <c r="C38" s="329"/>
      <c r="D38" s="329"/>
      <c r="E38" s="329"/>
      <c r="F38" s="329"/>
      <c r="G38" s="2"/>
      <c r="H38" s="2"/>
      <c r="I38" s="2"/>
      <c r="J38" s="2"/>
      <c r="K38" s="2"/>
      <c r="L38" s="70"/>
      <c r="M38" s="70"/>
    </row>
    <row r="39" spans="1:13" ht="15" thickBot="1" x14ac:dyDescent="0.4">
      <c r="A39" s="18"/>
      <c r="B39" s="19"/>
      <c r="C39" s="20"/>
      <c r="D39" s="20"/>
      <c r="E39" s="20"/>
      <c r="F39" s="20"/>
      <c r="G39" s="71"/>
      <c r="H39" s="71"/>
      <c r="I39" s="71"/>
      <c r="J39" s="71"/>
      <c r="K39" s="71"/>
      <c r="L39" s="71"/>
      <c r="M39" s="71"/>
    </row>
    <row r="40" spans="1:13" x14ac:dyDescent="0.35">
      <c r="A40" s="341" t="s">
        <v>3</v>
      </c>
      <c r="B40" s="333" t="s">
        <v>31</v>
      </c>
      <c r="C40" s="333" t="s">
        <v>32</v>
      </c>
      <c r="D40" s="333" t="s">
        <v>33</v>
      </c>
      <c r="E40" s="333" t="s">
        <v>34</v>
      </c>
      <c r="F40" s="338" t="s">
        <v>35</v>
      </c>
      <c r="G40" s="337" t="s">
        <v>36</v>
      </c>
      <c r="H40" s="337"/>
      <c r="I40" s="344" t="s">
        <v>37</v>
      </c>
      <c r="J40" s="345"/>
      <c r="K40" s="346" t="s">
        <v>38</v>
      </c>
      <c r="L40" s="347"/>
      <c r="M40" s="342" t="s">
        <v>39</v>
      </c>
    </row>
    <row r="41" spans="1:13" ht="64.5" customHeight="1" x14ac:dyDescent="0.35">
      <c r="A41" s="340"/>
      <c r="B41" s="334"/>
      <c r="C41" s="334"/>
      <c r="D41" s="334"/>
      <c r="E41" s="334"/>
      <c r="F41" s="339"/>
      <c r="G41" s="137" t="s">
        <v>40</v>
      </c>
      <c r="H41" s="137" t="s">
        <v>41</v>
      </c>
      <c r="I41" s="137" t="s">
        <v>40</v>
      </c>
      <c r="J41" s="137" t="s">
        <v>41</v>
      </c>
      <c r="K41" s="137" t="s">
        <v>40</v>
      </c>
      <c r="L41" s="137" t="s">
        <v>41</v>
      </c>
      <c r="M41" s="343"/>
    </row>
    <row r="42" spans="1:13" ht="18" customHeight="1" thickBot="1" x14ac:dyDescent="0.4">
      <c r="A42" s="220">
        <v>1</v>
      </c>
      <c r="B42" s="221">
        <v>2</v>
      </c>
      <c r="C42" s="221">
        <v>3</v>
      </c>
      <c r="D42" s="221">
        <v>4</v>
      </c>
      <c r="E42" s="221">
        <v>5</v>
      </c>
      <c r="F42" s="221">
        <v>6</v>
      </c>
      <c r="G42" s="221">
        <v>7</v>
      </c>
      <c r="H42" s="221">
        <v>8</v>
      </c>
      <c r="I42" s="221">
        <v>9</v>
      </c>
      <c r="J42" s="221">
        <v>10</v>
      </c>
      <c r="K42" s="221">
        <v>11</v>
      </c>
      <c r="L42" s="221">
        <v>12</v>
      </c>
      <c r="M42" s="222">
        <v>13</v>
      </c>
    </row>
    <row r="43" spans="1:13" x14ac:dyDescent="0.35">
      <c r="A43" s="25"/>
      <c r="B43" s="32"/>
      <c r="C43" s="27" t="s">
        <v>104</v>
      </c>
      <c r="D43" s="32"/>
      <c r="E43" s="111"/>
      <c r="F43" s="73"/>
      <c r="G43" s="61"/>
      <c r="H43" s="61"/>
      <c r="I43" s="125"/>
      <c r="J43" s="60"/>
      <c r="K43" s="60"/>
      <c r="L43" s="60"/>
      <c r="M43" s="63"/>
    </row>
    <row r="44" spans="1:13" ht="26" x14ac:dyDescent="0.35">
      <c r="A44" s="25">
        <v>1</v>
      </c>
      <c r="B44" s="32" t="s">
        <v>43</v>
      </c>
      <c r="C44" s="72" t="s">
        <v>105</v>
      </c>
      <c r="D44" s="32" t="s">
        <v>73</v>
      </c>
      <c r="E44" s="36">
        <v>1</v>
      </c>
      <c r="F44" s="25">
        <v>62</v>
      </c>
      <c r="G44" s="278">
        <v>0</v>
      </c>
      <c r="H44" s="35">
        <f>G44*F44</f>
        <v>0</v>
      </c>
      <c r="I44" s="244"/>
      <c r="J44" s="42"/>
      <c r="K44" s="42"/>
      <c r="L44" s="42"/>
      <c r="M44" s="42">
        <f>H44</f>
        <v>0</v>
      </c>
    </row>
    <row r="45" spans="1:13" x14ac:dyDescent="0.35">
      <c r="A45" s="113"/>
      <c r="B45" s="38"/>
      <c r="C45" s="47" t="s">
        <v>106</v>
      </c>
      <c r="D45" s="75" t="s">
        <v>95</v>
      </c>
      <c r="E45" s="37">
        <v>1</v>
      </c>
      <c r="F45" s="8">
        <v>42</v>
      </c>
      <c r="G45" s="42"/>
      <c r="H45" s="245"/>
      <c r="I45" s="279">
        <v>0</v>
      </c>
      <c r="J45" s="42">
        <f t="shared" ref="J45:J50" si="1">I45*F45</f>
        <v>0</v>
      </c>
      <c r="K45" s="42"/>
      <c r="L45" s="42"/>
      <c r="M45" s="42">
        <f>J45</f>
        <v>0</v>
      </c>
    </row>
    <row r="46" spans="1:13" x14ac:dyDescent="0.35">
      <c r="A46" s="46"/>
      <c r="B46" s="44"/>
      <c r="C46" s="47" t="s">
        <v>107</v>
      </c>
      <c r="D46" s="75" t="s">
        <v>95</v>
      </c>
      <c r="E46" s="82">
        <v>1</v>
      </c>
      <c r="F46" s="85">
        <v>72</v>
      </c>
      <c r="G46" s="87"/>
      <c r="H46" s="246"/>
      <c r="I46" s="297">
        <v>0</v>
      </c>
      <c r="J46" s="87">
        <f t="shared" si="1"/>
        <v>0</v>
      </c>
      <c r="K46" s="87"/>
      <c r="L46" s="87"/>
      <c r="M46" s="87">
        <f>J46</f>
        <v>0</v>
      </c>
    </row>
    <row r="47" spans="1:13" x14ac:dyDescent="0.35">
      <c r="A47" s="46"/>
      <c r="B47" s="44"/>
      <c r="C47" s="47" t="s">
        <v>108</v>
      </c>
      <c r="D47" s="75" t="s">
        <v>95</v>
      </c>
      <c r="E47" s="37">
        <v>1</v>
      </c>
      <c r="F47" s="8">
        <v>48</v>
      </c>
      <c r="G47" s="42"/>
      <c r="H47" s="245"/>
      <c r="I47" s="279">
        <v>0</v>
      </c>
      <c r="J47" s="42">
        <f t="shared" si="1"/>
        <v>0</v>
      </c>
      <c r="K47" s="42"/>
      <c r="L47" s="42"/>
      <c r="M47" s="42">
        <f>J47</f>
        <v>0</v>
      </c>
    </row>
    <row r="48" spans="1:13" x14ac:dyDescent="0.35">
      <c r="A48" s="46"/>
      <c r="B48" s="46"/>
      <c r="C48" s="47" t="s">
        <v>109</v>
      </c>
      <c r="D48" s="75" t="s">
        <v>95</v>
      </c>
      <c r="E48" s="139">
        <v>1</v>
      </c>
      <c r="F48" s="127">
        <v>18</v>
      </c>
      <c r="G48" s="42"/>
      <c r="H48" s="42"/>
      <c r="I48" s="279">
        <v>0</v>
      </c>
      <c r="J48" s="42">
        <f t="shared" si="1"/>
        <v>0</v>
      </c>
      <c r="K48" s="42"/>
      <c r="L48" s="42"/>
      <c r="M48" s="42">
        <f>J48</f>
        <v>0</v>
      </c>
    </row>
    <row r="49" spans="1:13" ht="26" x14ac:dyDescent="0.35">
      <c r="A49" s="46"/>
      <c r="B49" s="46"/>
      <c r="C49" s="47" t="s">
        <v>110</v>
      </c>
      <c r="D49" s="45" t="s">
        <v>71</v>
      </c>
      <c r="E49" s="139">
        <v>1</v>
      </c>
      <c r="F49" s="127">
        <v>10</v>
      </c>
      <c r="G49" s="42"/>
      <c r="H49" s="42"/>
      <c r="I49" s="279">
        <v>0</v>
      </c>
      <c r="J49" s="42">
        <f t="shared" si="1"/>
        <v>0</v>
      </c>
      <c r="K49" s="42"/>
      <c r="L49" s="42"/>
      <c r="M49" s="42"/>
    </row>
    <row r="50" spans="1:13" x14ac:dyDescent="0.35">
      <c r="A50" s="46"/>
      <c r="B50" s="44"/>
      <c r="C50" s="39" t="s">
        <v>75</v>
      </c>
      <c r="D50" s="79" t="s">
        <v>29</v>
      </c>
      <c r="E50" s="100">
        <v>0.5</v>
      </c>
      <c r="F50" s="6">
        <f>F45*E50</f>
        <v>21</v>
      </c>
      <c r="G50" s="182"/>
      <c r="H50" s="247"/>
      <c r="I50" s="298">
        <v>0</v>
      </c>
      <c r="J50" s="182">
        <f t="shared" si="1"/>
        <v>0</v>
      </c>
      <c r="K50" s="182"/>
      <c r="L50" s="182"/>
      <c r="M50" s="182">
        <f>L50+J50</f>
        <v>0</v>
      </c>
    </row>
    <row r="51" spans="1:13" x14ac:dyDescent="0.35">
      <c r="A51" s="122"/>
      <c r="B51" s="122"/>
      <c r="C51" s="128" t="s">
        <v>76</v>
      </c>
      <c r="D51" s="123" t="s">
        <v>29</v>
      </c>
      <c r="E51" s="83">
        <v>0.5</v>
      </c>
      <c r="F51" s="83">
        <f>E51*F45</f>
        <v>21</v>
      </c>
      <c r="G51" s="87"/>
      <c r="H51" s="87"/>
      <c r="I51" s="87"/>
      <c r="J51" s="87"/>
      <c r="K51" s="297">
        <v>0</v>
      </c>
      <c r="L51" s="87">
        <f>K51*F51</f>
        <v>0</v>
      </c>
      <c r="M51" s="87"/>
    </row>
    <row r="52" spans="1:13" x14ac:dyDescent="0.35">
      <c r="A52" s="134"/>
      <c r="B52" s="44"/>
      <c r="C52" s="135" t="s">
        <v>121</v>
      </c>
      <c r="D52" s="44"/>
      <c r="E52" s="136"/>
      <c r="F52" s="137"/>
      <c r="G52" s="294"/>
      <c r="H52" s="294"/>
      <c r="I52" s="295"/>
      <c r="J52" s="141"/>
      <c r="K52" s="141"/>
      <c r="L52" s="141"/>
      <c r="M52" s="141"/>
    </row>
    <row r="53" spans="1:13" ht="26" x14ac:dyDescent="0.35">
      <c r="A53" s="25">
        <v>2</v>
      </c>
      <c r="B53" s="32" t="s">
        <v>43</v>
      </c>
      <c r="C53" s="72" t="s">
        <v>105</v>
      </c>
      <c r="D53" s="32" t="s">
        <v>73</v>
      </c>
      <c r="E53" s="36">
        <v>1</v>
      </c>
      <c r="F53" s="96">
        <v>4</v>
      </c>
      <c r="G53" s="278">
        <v>0</v>
      </c>
      <c r="H53" s="35">
        <f>G53*F53</f>
        <v>0</v>
      </c>
      <c r="I53" s="244"/>
      <c r="J53" s="42"/>
      <c r="K53" s="42"/>
      <c r="L53" s="42"/>
      <c r="M53" s="42">
        <f>H53</f>
        <v>0</v>
      </c>
    </row>
    <row r="54" spans="1:13" x14ac:dyDescent="0.35">
      <c r="A54" s="113"/>
      <c r="B54" s="38"/>
      <c r="C54" s="47" t="s">
        <v>106</v>
      </c>
      <c r="D54" s="75" t="s">
        <v>95</v>
      </c>
      <c r="E54" s="37">
        <v>1</v>
      </c>
      <c r="F54" s="37">
        <v>18</v>
      </c>
      <c r="G54" s="42"/>
      <c r="H54" s="245"/>
      <c r="I54" s="279">
        <v>0</v>
      </c>
      <c r="J54" s="42">
        <f>I54*F54</f>
        <v>0</v>
      </c>
      <c r="K54" s="42"/>
      <c r="L54" s="42"/>
      <c r="M54" s="42">
        <f>J54</f>
        <v>0</v>
      </c>
    </row>
    <row r="55" spans="1:13" x14ac:dyDescent="0.35">
      <c r="A55" s="46"/>
      <c r="B55" s="44"/>
      <c r="C55" s="47" t="s">
        <v>109</v>
      </c>
      <c r="D55" s="75" t="s">
        <v>95</v>
      </c>
      <c r="E55" s="139">
        <v>1</v>
      </c>
      <c r="F55" s="127">
        <v>12</v>
      </c>
      <c r="G55" s="42"/>
      <c r="H55" s="42"/>
      <c r="I55" s="279">
        <v>0</v>
      </c>
      <c r="J55" s="42">
        <f>I55*F55</f>
        <v>0</v>
      </c>
      <c r="K55" s="42"/>
      <c r="L55" s="42"/>
      <c r="M55" s="42">
        <f>J55</f>
        <v>0</v>
      </c>
    </row>
    <row r="56" spans="1:13" x14ac:dyDescent="0.35">
      <c r="A56" s="46"/>
      <c r="B56" s="44"/>
      <c r="C56" s="47" t="s">
        <v>122</v>
      </c>
      <c r="D56" s="75" t="s">
        <v>95</v>
      </c>
      <c r="E56" s="37">
        <v>1</v>
      </c>
      <c r="F56" s="37">
        <v>12</v>
      </c>
      <c r="G56" s="42"/>
      <c r="H56" s="245"/>
      <c r="I56" s="279">
        <v>0</v>
      </c>
      <c r="J56" s="42">
        <f>I56*F56</f>
        <v>0</v>
      </c>
      <c r="K56" s="42"/>
      <c r="L56" s="42"/>
      <c r="M56" s="42">
        <f>J56</f>
        <v>0</v>
      </c>
    </row>
    <row r="57" spans="1:13" ht="26" x14ac:dyDescent="0.35">
      <c r="A57" s="46"/>
      <c r="B57" s="46"/>
      <c r="C57" s="47" t="s">
        <v>123</v>
      </c>
      <c r="D57" s="45" t="s">
        <v>73</v>
      </c>
      <c r="E57" s="139">
        <v>1</v>
      </c>
      <c r="F57" s="127">
        <v>4</v>
      </c>
      <c r="G57" s="42"/>
      <c r="H57" s="42"/>
      <c r="I57" s="279">
        <v>0</v>
      </c>
      <c r="J57" s="42">
        <f>I57*F57</f>
        <v>0</v>
      </c>
      <c r="K57" s="42"/>
      <c r="L57" s="42"/>
      <c r="M57" s="42">
        <f>J57</f>
        <v>0</v>
      </c>
    </row>
    <row r="58" spans="1:13" x14ac:dyDescent="0.35">
      <c r="A58" s="46"/>
      <c r="B58" s="44"/>
      <c r="C58" s="39" t="s">
        <v>75</v>
      </c>
      <c r="D58" s="79" t="s">
        <v>29</v>
      </c>
      <c r="E58" s="100">
        <v>2</v>
      </c>
      <c r="F58" s="100">
        <f>E58*F53</f>
        <v>8</v>
      </c>
      <c r="G58" s="182"/>
      <c r="H58" s="247"/>
      <c r="I58" s="298">
        <v>0</v>
      </c>
      <c r="J58" s="182">
        <f>I58*F58</f>
        <v>0</v>
      </c>
      <c r="K58" s="182"/>
      <c r="L58" s="182"/>
      <c r="M58" s="182">
        <f>L58+J58</f>
        <v>0</v>
      </c>
    </row>
    <row r="59" spans="1:13" ht="15" thickBot="1" x14ac:dyDescent="0.4">
      <c r="A59" s="122"/>
      <c r="B59" s="122"/>
      <c r="C59" s="128" t="s">
        <v>76</v>
      </c>
      <c r="D59" s="123" t="s">
        <v>29</v>
      </c>
      <c r="E59" s="82">
        <v>1</v>
      </c>
      <c r="F59" s="82">
        <f>E59*F53</f>
        <v>4</v>
      </c>
      <c r="G59" s="87"/>
      <c r="H59" s="87"/>
      <c r="I59" s="87"/>
      <c r="J59" s="87"/>
      <c r="K59" s="297">
        <v>0</v>
      </c>
      <c r="L59" s="87">
        <f>K59*F59</f>
        <v>0</v>
      </c>
      <c r="M59" s="87"/>
    </row>
    <row r="60" spans="1:13" ht="15" thickBot="1" x14ac:dyDescent="0.4">
      <c r="A60" s="108"/>
      <c r="B60" s="130"/>
      <c r="C60" s="131" t="s">
        <v>99</v>
      </c>
      <c r="D60" s="109"/>
      <c r="E60" s="109"/>
      <c r="F60" s="132"/>
      <c r="G60" s="214"/>
      <c r="H60" s="238">
        <f>H53</f>
        <v>0</v>
      </c>
      <c r="I60" s="238"/>
      <c r="J60" s="238">
        <f>J54+J55+J56+J57+J58</f>
        <v>0</v>
      </c>
      <c r="K60" s="238"/>
      <c r="L60" s="238">
        <f>L59</f>
        <v>0</v>
      </c>
      <c r="M60" s="287">
        <f>L60+J60+H60</f>
        <v>0</v>
      </c>
    </row>
    <row r="61" spans="1:13" ht="26" x14ac:dyDescent="0.35">
      <c r="A61" s="4"/>
      <c r="B61" s="4"/>
      <c r="C61" s="77" t="s">
        <v>111</v>
      </c>
      <c r="D61" s="105">
        <v>0.05</v>
      </c>
      <c r="E61" s="46"/>
      <c r="F61" s="46"/>
      <c r="G61" s="42"/>
      <c r="H61" s="42"/>
      <c r="I61" s="42"/>
      <c r="J61" s="42"/>
      <c r="K61" s="42"/>
      <c r="L61" s="42"/>
      <c r="M61" s="42">
        <f>J60*D61</f>
        <v>0</v>
      </c>
    </row>
    <row r="62" spans="1:13" x14ac:dyDescent="0.35">
      <c r="A62" s="118"/>
      <c r="B62" s="119"/>
      <c r="C62" s="64" t="s">
        <v>23</v>
      </c>
      <c r="D62" s="105"/>
      <c r="E62" s="46"/>
      <c r="F62" s="46"/>
      <c r="G62" s="42"/>
      <c r="H62" s="42"/>
      <c r="I62" s="42"/>
      <c r="J62" s="42"/>
      <c r="K62" s="42"/>
      <c r="L62" s="42"/>
      <c r="M62" s="42">
        <f>M60+M61</f>
        <v>0</v>
      </c>
    </row>
    <row r="63" spans="1:13" x14ac:dyDescent="0.35">
      <c r="A63" s="49"/>
      <c r="B63" s="49"/>
      <c r="C63" s="66" t="s">
        <v>53</v>
      </c>
      <c r="D63" s="105">
        <v>0.1</v>
      </c>
      <c r="E63" s="49"/>
      <c r="F63" s="49"/>
      <c r="G63" s="141"/>
      <c r="H63" s="141"/>
      <c r="I63" s="141"/>
      <c r="J63" s="141"/>
      <c r="K63" s="141"/>
      <c r="L63" s="141"/>
      <c r="M63" s="141">
        <f>M62*D63</f>
        <v>0</v>
      </c>
    </row>
    <row r="64" spans="1:13" x14ac:dyDescent="0.35">
      <c r="A64" s="120"/>
      <c r="B64" s="4"/>
      <c r="C64" s="64" t="s">
        <v>23</v>
      </c>
      <c r="D64" s="49"/>
      <c r="E64" s="49"/>
      <c r="F64" s="49"/>
      <c r="G64" s="141"/>
      <c r="H64" s="141"/>
      <c r="I64" s="141"/>
      <c r="J64" s="141"/>
      <c r="K64" s="141"/>
      <c r="L64" s="141"/>
      <c r="M64" s="141">
        <f>M62+M63</f>
        <v>0</v>
      </c>
    </row>
    <row r="65" spans="1:13" x14ac:dyDescent="0.35">
      <c r="A65" s="121"/>
      <c r="B65" s="122"/>
      <c r="C65" s="106" t="s">
        <v>54</v>
      </c>
      <c r="D65" s="123">
        <v>0.08</v>
      </c>
      <c r="E65" s="83"/>
      <c r="F65" s="83"/>
      <c r="G65" s="87"/>
      <c r="H65" s="87"/>
      <c r="I65" s="87"/>
      <c r="J65" s="87"/>
      <c r="K65" s="87"/>
      <c r="L65" s="87"/>
      <c r="M65" s="87">
        <f>M64*D65</f>
        <v>0</v>
      </c>
    </row>
    <row r="66" spans="1:13" x14ac:dyDescent="0.35">
      <c r="A66" s="49"/>
      <c r="B66" s="49"/>
      <c r="C66" s="218" t="s">
        <v>23</v>
      </c>
      <c r="D66" s="49"/>
      <c r="E66" s="49"/>
      <c r="F66" s="49"/>
      <c r="G66" s="141"/>
      <c r="H66" s="141"/>
      <c r="I66" s="141"/>
      <c r="J66" s="141"/>
      <c r="K66" s="141"/>
      <c r="L66" s="141"/>
      <c r="M66" s="141">
        <f>M64+M65</f>
        <v>0</v>
      </c>
    </row>
    <row r="67" spans="1:13" x14ac:dyDescent="0.35">
      <c r="B67" s="30"/>
      <c r="C67" s="33" t="s">
        <v>24</v>
      </c>
      <c r="D67" s="177">
        <v>0.03</v>
      </c>
      <c r="E67" s="95"/>
      <c r="F67" s="95"/>
      <c r="G67" s="182"/>
      <c r="H67" s="182"/>
      <c r="I67" s="182"/>
      <c r="J67" s="182"/>
      <c r="K67" s="182"/>
      <c r="L67" s="182"/>
      <c r="M67" s="182">
        <f>M66*D67</f>
        <v>0</v>
      </c>
    </row>
    <row r="68" spans="1:13" x14ac:dyDescent="0.35">
      <c r="A68" s="169"/>
      <c r="B68" s="169"/>
      <c r="C68" s="203" t="s">
        <v>23</v>
      </c>
      <c r="D68" s="46"/>
      <c r="E68" s="46"/>
      <c r="F68" s="46"/>
      <c r="G68" s="42"/>
      <c r="H68" s="42"/>
      <c r="I68" s="42"/>
      <c r="J68" s="42"/>
      <c r="K68" s="42"/>
      <c r="L68" s="42"/>
      <c r="M68" s="42">
        <f>M66+M67</f>
        <v>0</v>
      </c>
    </row>
    <row r="69" spans="1:13" ht="26.5" thickBot="1" x14ac:dyDescent="0.4">
      <c r="A69" s="119"/>
      <c r="B69" s="30"/>
      <c r="C69" s="128" t="s">
        <v>25</v>
      </c>
      <c r="D69" s="123">
        <v>0.18</v>
      </c>
      <c r="E69" s="83"/>
      <c r="F69" s="83"/>
      <c r="G69" s="87"/>
      <c r="H69" s="87"/>
      <c r="I69" s="87"/>
      <c r="J69" s="87"/>
      <c r="K69" s="87"/>
      <c r="L69" s="87"/>
      <c r="M69" s="87">
        <f>M68*D69</f>
        <v>0</v>
      </c>
    </row>
    <row r="70" spans="1:13" ht="15" thickBot="1" x14ac:dyDescent="0.4">
      <c r="A70" s="212"/>
      <c r="B70" s="223"/>
      <c r="C70" s="110" t="s">
        <v>26</v>
      </c>
      <c r="D70" s="109"/>
      <c r="E70" s="109"/>
      <c r="F70" s="109"/>
      <c r="G70" s="214"/>
      <c r="H70" s="214"/>
      <c r="I70" s="214"/>
      <c r="J70" s="214"/>
      <c r="K70" s="214"/>
      <c r="L70" s="214"/>
      <c r="M70" s="287">
        <f t="shared" ref="M70" si="2">M68+M69</f>
        <v>0</v>
      </c>
    </row>
  </sheetData>
  <sheetProtection algorithmName="SHA-512" hashValue="+UhLrjzLPCDAboRCy4cMem3Sb8a24Zx1prPXVMS8hJIb8D2bUCwZgHMj2feoYa+tqpmNnHYDIzTv9YzPiTlpJw==" saltValue="ViYlbN96r7lb5Net5P8V5w==" spinCount="100000" sheet="1" objects="1" scenarios="1"/>
  <mergeCells count="30">
    <mergeCell ref="M10:M11"/>
    <mergeCell ref="B32:F32"/>
    <mergeCell ref="F10:F11"/>
    <mergeCell ref="B1:L1"/>
    <mergeCell ref="B3:K3"/>
    <mergeCell ref="B4:K4"/>
    <mergeCell ref="B7:F7"/>
    <mergeCell ref="B8:F8"/>
    <mergeCell ref="G10:H10"/>
    <mergeCell ref="I10:J10"/>
    <mergeCell ref="K10:L10"/>
    <mergeCell ref="A10:A11"/>
    <mergeCell ref="B10:B11"/>
    <mergeCell ref="C10:C11"/>
    <mergeCell ref="D10:D11"/>
    <mergeCell ref="E10:E11"/>
    <mergeCell ref="A40:A41"/>
    <mergeCell ref="B40:B41"/>
    <mergeCell ref="C40:C41"/>
    <mergeCell ref="D40:D41"/>
    <mergeCell ref="E40:E41"/>
    <mergeCell ref="M40:M41"/>
    <mergeCell ref="B38:F38"/>
    <mergeCell ref="B37:F37"/>
    <mergeCell ref="B34:K34"/>
    <mergeCell ref="B33:K33"/>
    <mergeCell ref="F40:F41"/>
    <mergeCell ref="G40:H40"/>
    <mergeCell ref="I40:J40"/>
    <mergeCell ref="K40:L40"/>
  </mergeCells>
  <conditionalFormatting sqref="D24 D26">
    <cfRule type="top10" dxfId="9" priority="5" percent="1" rank="10"/>
  </conditionalFormatting>
  <conditionalFormatting sqref="D50:D51">
    <cfRule type="top10" dxfId="8" priority="4" percent="1" rank="10"/>
  </conditionalFormatting>
  <conditionalFormatting sqref="D56:D57">
    <cfRule type="top10" dxfId="7" priority="2" percent="1" rank="10"/>
  </conditionalFormatting>
  <conditionalFormatting sqref="D58 D60">
    <cfRule type="top10" dxfId="6" priority="3" percent="1" rank="10"/>
  </conditionalFormatting>
  <conditionalFormatting sqref="D64 D66">
    <cfRule type="top10" dxfId="5" priority="1" percent="1" rank="10"/>
  </conditionalFormatting>
  <pageMargins left="0.95" right="0.45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BE258-0880-482C-97FB-F8515FE98DA4}">
  <dimension ref="A2:N65"/>
  <sheetViews>
    <sheetView topLeftCell="A51" zoomScale="70" zoomScaleNormal="70" workbookViewId="0">
      <selection activeCell="B64" sqref="B64"/>
    </sheetView>
  </sheetViews>
  <sheetFormatPr defaultRowHeight="14.5" x14ac:dyDescent="0.35"/>
  <cols>
    <col min="1" max="1" width="3.81640625" customWidth="1"/>
    <col min="2" max="2" width="4" customWidth="1"/>
    <col min="3" max="3" width="30.1796875" customWidth="1"/>
    <col min="4" max="4" width="6.81640625" customWidth="1"/>
    <col min="5" max="5" width="6.26953125" customWidth="1"/>
    <col min="6" max="6" width="9.7265625" customWidth="1"/>
    <col min="7" max="7" width="6.81640625" customWidth="1"/>
    <col min="8" max="8" width="9.453125" customWidth="1"/>
    <col min="9" max="9" width="6.81640625" customWidth="1"/>
    <col min="10" max="10" width="10.26953125" customWidth="1"/>
    <col min="11" max="11" width="6.453125" customWidth="1"/>
    <col min="12" max="12" width="9.26953125" customWidth="1"/>
    <col min="13" max="13" width="11.81640625" customWidth="1"/>
  </cols>
  <sheetData>
    <row r="2" spans="1:13" ht="27.75" customHeight="1" x14ac:dyDescent="0.35">
      <c r="A2" s="1"/>
      <c r="B2" s="327" t="s">
        <v>0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13" x14ac:dyDescent="0.35">
      <c r="A3" s="9"/>
      <c r="B3" s="9"/>
      <c r="C3" s="9"/>
      <c r="D3" s="9"/>
      <c r="E3" s="9"/>
      <c r="F3" s="9"/>
      <c r="G3" s="9"/>
      <c r="H3" s="9"/>
      <c r="I3" s="9"/>
    </row>
    <row r="4" spans="1:13" x14ac:dyDescent="0.35">
      <c r="A4" s="10"/>
      <c r="B4" s="336" t="s">
        <v>16</v>
      </c>
      <c r="C4" s="336"/>
      <c r="D4" s="336"/>
      <c r="E4" s="336"/>
      <c r="F4" s="336"/>
      <c r="G4" s="336"/>
      <c r="H4" s="336"/>
      <c r="I4" s="336"/>
      <c r="J4" s="336"/>
      <c r="K4" s="336"/>
    </row>
    <row r="5" spans="1:13" x14ac:dyDescent="0.35">
      <c r="A5" s="11"/>
      <c r="B5" s="335" t="s">
        <v>112</v>
      </c>
      <c r="C5" s="335"/>
      <c r="D5" s="335"/>
      <c r="E5" s="335"/>
      <c r="F5" s="335"/>
      <c r="G5" s="335"/>
      <c r="H5" s="335"/>
      <c r="I5" s="335"/>
      <c r="J5" s="335"/>
      <c r="K5" s="335"/>
      <c r="L5" s="11"/>
    </row>
    <row r="6" spans="1:13" x14ac:dyDescent="0.35">
      <c r="A6" s="11"/>
      <c r="B6" s="11"/>
      <c r="C6" s="11"/>
      <c r="D6" s="11"/>
      <c r="E6" s="11"/>
      <c r="F6" s="11"/>
      <c r="G6" s="11"/>
      <c r="H6" s="11"/>
      <c r="I6" s="11"/>
    </row>
    <row r="7" spans="1:13" x14ac:dyDescent="0.35">
      <c r="A7" s="13"/>
      <c r="B7" s="328" t="s">
        <v>2</v>
      </c>
      <c r="C7" s="328"/>
      <c r="D7" s="328"/>
      <c r="E7" s="328"/>
      <c r="F7" s="328"/>
      <c r="H7" s="14"/>
      <c r="I7" s="14"/>
      <c r="L7" s="15">
        <f>M35</f>
        <v>0</v>
      </c>
      <c r="M7" t="s">
        <v>288</v>
      </c>
    </row>
    <row r="8" spans="1:13" x14ac:dyDescent="0.35">
      <c r="A8" s="13"/>
      <c r="B8" s="329" t="s">
        <v>220</v>
      </c>
      <c r="C8" s="329"/>
      <c r="D8" s="329"/>
      <c r="E8" s="329"/>
      <c r="F8" s="329"/>
      <c r="G8" s="2"/>
      <c r="H8" s="2"/>
      <c r="I8" s="2"/>
      <c r="J8" s="2"/>
      <c r="K8" s="2"/>
      <c r="L8" s="70"/>
    </row>
    <row r="9" spans="1:13" ht="15" thickBot="1" x14ac:dyDescent="0.4">
      <c r="A9" s="18"/>
      <c r="B9" s="19"/>
      <c r="C9" s="20"/>
      <c r="D9" s="20"/>
      <c r="E9" s="20"/>
      <c r="F9" s="20"/>
      <c r="G9" s="71"/>
      <c r="H9" s="71"/>
      <c r="I9" s="71"/>
      <c r="J9" s="71"/>
      <c r="K9" s="71"/>
      <c r="L9" s="71"/>
    </row>
    <row r="10" spans="1:13" ht="21.75" customHeight="1" x14ac:dyDescent="0.35">
      <c r="A10" s="331" t="s">
        <v>3</v>
      </c>
      <c r="B10" s="333" t="s">
        <v>31</v>
      </c>
      <c r="C10" s="333" t="s">
        <v>32</v>
      </c>
      <c r="D10" s="333" t="s">
        <v>33</v>
      </c>
      <c r="E10" s="333" t="s">
        <v>34</v>
      </c>
      <c r="F10" s="338" t="s">
        <v>35</v>
      </c>
      <c r="G10" s="337" t="s">
        <v>36</v>
      </c>
      <c r="H10" s="337"/>
      <c r="I10" s="337" t="s">
        <v>37</v>
      </c>
      <c r="J10" s="337"/>
      <c r="K10" s="321" t="s">
        <v>38</v>
      </c>
      <c r="L10" s="321"/>
      <c r="M10" s="322" t="s">
        <v>39</v>
      </c>
    </row>
    <row r="11" spans="1:13" ht="58.5" customHeight="1" x14ac:dyDescent="0.35">
      <c r="A11" s="340"/>
      <c r="B11" s="334"/>
      <c r="C11" s="334"/>
      <c r="D11" s="334"/>
      <c r="E11" s="334"/>
      <c r="F11" s="339"/>
      <c r="G11" s="137" t="s">
        <v>40</v>
      </c>
      <c r="H11" s="137" t="s">
        <v>41</v>
      </c>
      <c r="I11" s="137" t="s">
        <v>40</v>
      </c>
      <c r="J11" s="137" t="s">
        <v>41</v>
      </c>
      <c r="K11" s="137" t="s">
        <v>40</v>
      </c>
      <c r="L11" s="137" t="s">
        <v>41</v>
      </c>
      <c r="M11" s="323"/>
    </row>
    <row r="12" spans="1:13" ht="15" thickBot="1" x14ac:dyDescent="0.4">
      <c r="A12" s="220">
        <v>1</v>
      </c>
      <c r="B12" s="221">
        <v>2</v>
      </c>
      <c r="C12" s="221">
        <v>3</v>
      </c>
      <c r="D12" s="221">
        <v>4</v>
      </c>
      <c r="E12" s="221">
        <v>5</v>
      </c>
      <c r="F12" s="221">
        <v>6</v>
      </c>
      <c r="G12" s="240">
        <v>7</v>
      </c>
      <c r="H12" s="240">
        <v>8</v>
      </c>
      <c r="I12" s="240">
        <v>9</v>
      </c>
      <c r="J12" s="240">
        <v>10</v>
      </c>
      <c r="K12" s="240">
        <v>11</v>
      </c>
      <c r="L12" s="240">
        <v>12</v>
      </c>
      <c r="M12" s="241">
        <v>13</v>
      </c>
    </row>
    <row r="13" spans="1:13" x14ac:dyDescent="0.35">
      <c r="A13" s="25"/>
      <c r="B13" s="26"/>
      <c r="C13" s="27" t="s">
        <v>113</v>
      </c>
      <c r="D13" s="28"/>
      <c r="E13" s="29"/>
      <c r="F13" s="29"/>
      <c r="G13" s="29"/>
      <c r="H13" s="29"/>
      <c r="I13" s="29"/>
      <c r="J13" s="30"/>
      <c r="K13" s="30"/>
      <c r="L13" s="30"/>
      <c r="M13" s="30"/>
    </row>
    <row r="14" spans="1:13" ht="39" x14ac:dyDescent="0.35">
      <c r="A14" s="31">
        <v>1</v>
      </c>
      <c r="B14" s="32" t="s">
        <v>43</v>
      </c>
      <c r="C14" s="72" t="s">
        <v>314</v>
      </c>
      <c r="D14" s="32" t="s">
        <v>73</v>
      </c>
      <c r="E14" s="36">
        <v>1</v>
      </c>
      <c r="F14" s="32">
        <v>1456</v>
      </c>
      <c r="G14" s="299"/>
      <c r="H14" s="36">
        <f>G14*F14</f>
        <v>0</v>
      </c>
      <c r="I14" s="36"/>
      <c r="J14" s="37"/>
      <c r="K14" s="37"/>
      <c r="L14" s="37"/>
      <c r="M14" s="8">
        <f>L14+H14</f>
        <v>0</v>
      </c>
    </row>
    <row r="15" spans="1:13" ht="26" x14ac:dyDescent="0.35">
      <c r="A15" s="26"/>
      <c r="B15" s="38"/>
      <c r="C15" s="47" t="s">
        <v>315</v>
      </c>
      <c r="D15" s="45" t="s">
        <v>73</v>
      </c>
      <c r="E15" s="37">
        <v>1</v>
      </c>
      <c r="F15" s="8">
        <v>596</v>
      </c>
      <c r="G15" s="37"/>
      <c r="H15" s="37"/>
      <c r="I15" s="300">
        <v>0</v>
      </c>
      <c r="J15" s="37">
        <f>I15*F15</f>
        <v>0</v>
      </c>
      <c r="K15" s="37"/>
      <c r="L15" s="37"/>
      <c r="M15" s="8">
        <f>L15+J15+H15</f>
        <v>0</v>
      </c>
    </row>
    <row r="16" spans="1:13" x14ac:dyDescent="0.35">
      <c r="A16" s="26"/>
      <c r="B16" s="38"/>
      <c r="C16" s="47" t="s">
        <v>114</v>
      </c>
      <c r="D16" s="45" t="s">
        <v>73</v>
      </c>
      <c r="E16" s="37">
        <v>1</v>
      </c>
      <c r="F16" s="8">
        <v>860</v>
      </c>
      <c r="G16" s="37"/>
      <c r="H16" s="37"/>
      <c r="I16" s="300">
        <v>0</v>
      </c>
      <c r="J16" s="37">
        <f>I16*F16</f>
        <v>0</v>
      </c>
      <c r="K16" s="37"/>
      <c r="L16" s="37"/>
      <c r="M16" s="8">
        <f>L16+J16+H16</f>
        <v>0</v>
      </c>
    </row>
    <row r="17" spans="1:14" x14ac:dyDescent="0.35">
      <c r="A17" s="43"/>
      <c r="B17" s="32"/>
      <c r="C17" s="47" t="s">
        <v>75</v>
      </c>
      <c r="D17" s="75" t="s">
        <v>29</v>
      </c>
      <c r="E17" s="37">
        <v>0.3</v>
      </c>
      <c r="F17" s="8">
        <f>E17*(F15+F16)</f>
        <v>436.8</v>
      </c>
      <c r="G17" s="37"/>
      <c r="H17" s="78"/>
      <c r="I17" s="300">
        <v>0</v>
      </c>
      <c r="J17" s="37">
        <f>I17*F17</f>
        <v>0</v>
      </c>
      <c r="K17" s="37"/>
      <c r="L17" s="37"/>
      <c r="M17" s="8">
        <f>J17</f>
        <v>0</v>
      </c>
    </row>
    <row r="18" spans="1:14" x14ac:dyDescent="0.35">
      <c r="A18" s="46"/>
      <c r="B18" s="129"/>
      <c r="C18" s="47" t="s">
        <v>98</v>
      </c>
      <c r="D18" s="75" t="s">
        <v>115</v>
      </c>
      <c r="E18" s="37">
        <v>1</v>
      </c>
      <c r="F18" s="8">
        <v>40</v>
      </c>
      <c r="G18" s="37"/>
      <c r="H18" s="78"/>
      <c r="I18" s="78"/>
      <c r="J18" s="37"/>
      <c r="K18" s="301">
        <v>0</v>
      </c>
      <c r="L18" s="82">
        <f>K18*F18</f>
        <v>0</v>
      </c>
      <c r="M18" s="85">
        <f>L18</f>
        <v>0</v>
      </c>
    </row>
    <row r="19" spans="1:14" x14ac:dyDescent="0.35">
      <c r="A19" s="95"/>
      <c r="B19" s="32"/>
      <c r="C19" s="33" t="s">
        <v>116</v>
      </c>
      <c r="D19" s="32" t="s">
        <v>73</v>
      </c>
      <c r="E19" s="36">
        <v>1</v>
      </c>
      <c r="F19" s="32">
        <f>E19*F15</f>
        <v>596</v>
      </c>
      <c r="G19" s="74"/>
      <c r="H19" s="74"/>
      <c r="I19" s="36"/>
      <c r="J19" s="100"/>
      <c r="K19" s="300">
        <v>0</v>
      </c>
      <c r="L19" s="37">
        <f>K19*F15</f>
        <v>0</v>
      </c>
      <c r="M19" s="46">
        <f>L19+H19</f>
        <v>0</v>
      </c>
      <c r="N19" s="225"/>
    </row>
    <row r="20" spans="1:14" ht="26" x14ac:dyDescent="0.35">
      <c r="A20" s="95">
        <v>2</v>
      </c>
      <c r="B20" s="32" t="s">
        <v>43</v>
      </c>
      <c r="C20" s="72" t="s">
        <v>117</v>
      </c>
      <c r="D20" s="32" t="s">
        <v>73</v>
      </c>
      <c r="E20" s="36">
        <v>1</v>
      </c>
      <c r="F20" s="32">
        <v>2637</v>
      </c>
      <c r="G20" s="299">
        <v>0</v>
      </c>
      <c r="H20" s="36">
        <f>G20*F20</f>
        <v>0</v>
      </c>
      <c r="I20" s="36"/>
      <c r="J20" s="100"/>
      <c r="K20" s="37"/>
      <c r="L20" s="37"/>
      <c r="M20" s="8">
        <f>L20+H20</f>
        <v>0</v>
      </c>
    </row>
    <row r="21" spans="1:14" ht="26" x14ac:dyDescent="0.35">
      <c r="A21" s="46"/>
      <c r="B21" s="38"/>
      <c r="C21" s="47" t="s">
        <v>315</v>
      </c>
      <c r="D21" s="45" t="s">
        <v>73</v>
      </c>
      <c r="E21" s="37">
        <v>1</v>
      </c>
      <c r="F21" s="8">
        <f>F20*E21</f>
        <v>2637</v>
      </c>
      <c r="G21" s="37"/>
      <c r="H21" s="37"/>
      <c r="I21" s="300">
        <v>0</v>
      </c>
      <c r="J21" s="37">
        <f>I21*F21</f>
        <v>0</v>
      </c>
      <c r="K21" s="37"/>
      <c r="L21" s="37"/>
      <c r="M21" s="8">
        <f>L21+J21+H21</f>
        <v>0</v>
      </c>
    </row>
    <row r="22" spans="1:14" ht="39" x14ac:dyDescent="0.35">
      <c r="A22" s="46"/>
      <c r="B22" s="44"/>
      <c r="C22" s="47" t="s">
        <v>118</v>
      </c>
      <c r="D22" s="75" t="s">
        <v>95</v>
      </c>
      <c r="E22" s="37">
        <v>0.5</v>
      </c>
      <c r="F22" s="8">
        <f>E22*(F14+F20)</f>
        <v>2046.5</v>
      </c>
      <c r="G22" s="300">
        <v>0</v>
      </c>
      <c r="H22" s="37">
        <f>F22*G22</f>
        <v>0</v>
      </c>
      <c r="I22" s="300">
        <v>0</v>
      </c>
      <c r="J22" s="37">
        <f>I22*F22</f>
        <v>0</v>
      </c>
      <c r="K22" s="300">
        <v>0</v>
      </c>
      <c r="L22" s="37">
        <f>F22*K22</f>
        <v>0</v>
      </c>
      <c r="M22" s="8">
        <f>L22+J22+H22</f>
        <v>0</v>
      </c>
    </row>
    <row r="23" spans="1:14" x14ac:dyDescent="0.35">
      <c r="A23" s="46"/>
      <c r="B23" s="46"/>
      <c r="C23" s="47" t="s">
        <v>75</v>
      </c>
      <c r="D23" s="75" t="s">
        <v>29</v>
      </c>
      <c r="E23" s="37">
        <v>0.2</v>
      </c>
      <c r="F23" s="8">
        <f>E23*F20</f>
        <v>527.4</v>
      </c>
      <c r="G23" s="37"/>
      <c r="H23" s="78"/>
      <c r="I23" s="300">
        <v>0</v>
      </c>
      <c r="J23" s="37">
        <f>I23*F23</f>
        <v>0</v>
      </c>
      <c r="K23" s="37"/>
      <c r="L23" s="37"/>
      <c r="M23" s="8">
        <f>J23</f>
        <v>0</v>
      </c>
    </row>
    <row r="24" spans="1:14" ht="15" thickBot="1" x14ac:dyDescent="0.4">
      <c r="A24" s="83"/>
      <c r="B24" s="86"/>
      <c r="C24" s="80" t="s">
        <v>98</v>
      </c>
      <c r="D24" s="81" t="s">
        <v>115</v>
      </c>
      <c r="E24" s="82">
        <v>1</v>
      </c>
      <c r="F24" s="85">
        <v>40</v>
      </c>
      <c r="G24" s="82"/>
      <c r="H24" s="243"/>
      <c r="I24" s="243"/>
      <c r="J24" s="82"/>
      <c r="K24" s="301">
        <v>0</v>
      </c>
      <c r="L24" s="82">
        <f>K24*F24</f>
        <v>0</v>
      </c>
      <c r="M24" s="85">
        <f>L24</f>
        <v>0</v>
      </c>
    </row>
    <row r="25" spans="1:14" ht="15" thickBot="1" x14ac:dyDescent="0.4">
      <c r="A25" s="108"/>
      <c r="B25" s="130"/>
      <c r="C25" s="131" t="s">
        <v>119</v>
      </c>
      <c r="D25" s="109"/>
      <c r="E25" s="109"/>
      <c r="F25" s="132"/>
      <c r="G25" s="109"/>
      <c r="H25" s="133">
        <f>H14+H20+H22</f>
        <v>0</v>
      </c>
      <c r="I25" s="133"/>
      <c r="J25" s="133">
        <f>J15+J16+J17+J21+J22+J23</f>
        <v>0</v>
      </c>
      <c r="K25" s="133"/>
      <c r="L25" s="133">
        <f>L18+L19+L22+L24</f>
        <v>0</v>
      </c>
      <c r="M25" s="5">
        <f>L25+J25+H25</f>
        <v>0</v>
      </c>
    </row>
    <row r="26" spans="1:14" ht="26" x14ac:dyDescent="0.35">
      <c r="A26" s="4"/>
      <c r="B26" s="4"/>
      <c r="C26" s="77" t="s">
        <v>111</v>
      </c>
      <c r="D26" s="105">
        <v>0.05</v>
      </c>
      <c r="E26" s="46"/>
      <c r="F26" s="46"/>
      <c r="G26" s="46"/>
      <c r="H26" s="46"/>
      <c r="I26" s="46"/>
      <c r="J26" s="46"/>
      <c r="K26" s="46"/>
      <c r="L26" s="46"/>
      <c r="M26" s="8">
        <f>J25*D26</f>
        <v>0</v>
      </c>
    </row>
    <row r="27" spans="1:14" x14ac:dyDescent="0.35">
      <c r="A27" s="118"/>
      <c r="B27" s="119"/>
      <c r="C27" s="64" t="s">
        <v>23</v>
      </c>
      <c r="D27" s="105"/>
      <c r="E27" s="46"/>
      <c r="F27" s="46"/>
      <c r="G27" s="46"/>
      <c r="H27" s="46"/>
      <c r="I27" s="46"/>
      <c r="J27" s="46"/>
      <c r="K27" s="46"/>
      <c r="L27" s="46"/>
      <c r="M27" s="8">
        <f>M25+M26</f>
        <v>0</v>
      </c>
    </row>
    <row r="28" spans="1:14" x14ac:dyDescent="0.35">
      <c r="A28" s="49"/>
      <c r="B28" s="49"/>
      <c r="C28" s="66" t="s">
        <v>101</v>
      </c>
      <c r="D28" s="105">
        <v>0.05</v>
      </c>
      <c r="E28" s="49"/>
      <c r="F28" s="49"/>
      <c r="G28" s="49"/>
      <c r="H28" s="49"/>
      <c r="I28" s="49"/>
      <c r="J28" s="49"/>
      <c r="K28" s="49"/>
      <c r="L28" s="49"/>
      <c r="M28" s="52">
        <f>M27*D28</f>
        <v>0</v>
      </c>
    </row>
    <row r="29" spans="1:14" x14ac:dyDescent="0.35">
      <c r="A29" s="120"/>
      <c r="B29" s="4"/>
      <c r="C29" s="64" t="s">
        <v>23</v>
      </c>
      <c r="D29" s="49"/>
      <c r="E29" s="49"/>
      <c r="F29" s="49"/>
      <c r="G29" s="49"/>
      <c r="H29" s="49"/>
      <c r="I29" s="49"/>
      <c r="J29" s="49"/>
      <c r="K29" s="49"/>
      <c r="L29" s="49"/>
      <c r="M29" s="52">
        <f>M27+M28</f>
        <v>0</v>
      </c>
    </row>
    <row r="30" spans="1:14" x14ac:dyDescent="0.35">
      <c r="A30" s="121"/>
      <c r="B30" s="122"/>
      <c r="C30" s="106" t="s">
        <v>102</v>
      </c>
      <c r="D30" s="123">
        <v>0.05</v>
      </c>
      <c r="E30" s="83"/>
      <c r="F30" s="83"/>
      <c r="G30" s="83"/>
      <c r="H30" s="83"/>
      <c r="I30" s="83"/>
      <c r="J30" s="83"/>
      <c r="K30" s="83"/>
      <c r="L30" s="83"/>
      <c r="M30" s="85">
        <f>M29*D30</f>
        <v>0</v>
      </c>
    </row>
    <row r="31" spans="1:14" x14ac:dyDescent="0.35">
      <c r="A31" s="49"/>
      <c r="B31" s="49"/>
      <c r="C31" s="64" t="s">
        <v>23</v>
      </c>
      <c r="D31" s="49"/>
      <c r="E31" s="49"/>
      <c r="F31" s="49"/>
      <c r="G31" s="49"/>
      <c r="H31" s="49"/>
      <c r="I31" s="49"/>
      <c r="J31" s="49"/>
      <c r="K31" s="49"/>
      <c r="L31" s="49"/>
      <c r="M31" s="52">
        <f>M29+M30</f>
        <v>0</v>
      </c>
    </row>
    <row r="32" spans="1:14" x14ac:dyDescent="0.35">
      <c r="B32" s="30"/>
      <c r="C32" s="33" t="s">
        <v>24</v>
      </c>
      <c r="D32" s="177">
        <v>0.03</v>
      </c>
      <c r="E32" s="95"/>
      <c r="F32" s="95"/>
      <c r="G32" s="95"/>
      <c r="H32" s="95"/>
      <c r="I32" s="95"/>
      <c r="J32" s="95"/>
      <c r="K32" s="95"/>
      <c r="L32" s="95"/>
      <c r="M32" s="6">
        <f>M31*D32</f>
        <v>0</v>
      </c>
    </row>
    <row r="33" spans="1:13" x14ac:dyDescent="0.35">
      <c r="A33" s="169"/>
      <c r="B33" s="169"/>
      <c r="C33" s="203" t="s">
        <v>23</v>
      </c>
      <c r="D33" s="46"/>
      <c r="E33" s="46"/>
      <c r="F33" s="46"/>
      <c r="G33" s="46"/>
      <c r="H33" s="46"/>
      <c r="I33" s="46"/>
      <c r="J33" s="46"/>
      <c r="K33" s="46"/>
      <c r="L33" s="46"/>
      <c r="M33" s="8">
        <f>M31+M32</f>
        <v>0</v>
      </c>
    </row>
    <row r="34" spans="1:13" ht="26.5" thickBot="1" x14ac:dyDescent="0.4">
      <c r="A34" s="119"/>
      <c r="B34" s="30"/>
      <c r="C34" s="128" t="s">
        <v>25</v>
      </c>
      <c r="D34" s="123">
        <v>0.18</v>
      </c>
      <c r="E34" s="83"/>
      <c r="F34" s="83"/>
      <c r="G34" s="83"/>
      <c r="H34" s="83"/>
      <c r="I34" s="83"/>
      <c r="J34" s="83"/>
      <c r="K34" s="83"/>
      <c r="L34" s="83"/>
      <c r="M34" s="85">
        <f>M33*D34</f>
        <v>0</v>
      </c>
    </row>
    <row r="35" spans="1:13" ht="15" thickBot="1" x14ac:dyDescent="0.4">
      <c r="A35" s="212"/>
      <c r="B35" s="223"/>
      <c r="C35" s="110" t="s">
        <v>26</v>
      </c>
      <c r="D35" s="109"/>
      <c r="E35" s="109"/>
      <c r="F35" s="109"/>
      <c r="G35" s="109"/>
      <c r="H35" s="109"/>
      <c r="I35" s="109"/>
      <c r="J35" s="109"/>
      <c r="K35" s="109"/>
      <c r="L35" s="109"/>
      <c r="M35" s="5">
        <f t="shared" ref="M35" si="0">M33+M34</f>
        <v>0</v>
      </c>
    </row>
    <row r="37" spans="1:13" ht="15" customHeight="1" x14ac:dyDescent="0.35">
      <c r="A37" s="336" t="s">
        <v>120</v>
      </c>
      <c r="B37" s="336"/>
      <c r="C37" s="336"/>
      <c r="D37" s="336"/>
      <c r="E37" s="336"/>
      <c r="F37" s="336"/>
      <c r="G37" s="336"/>
      <c r="H37" s="336"/>
      <c r="I37" s="336"/>
      <c r="J37" s="336"/>
      <c r="K37" s="336"/>
      <c r="L37" s="336"/>
    </row>
    <row r="38" spans="1:13" x14ac:dyDescent="0.35">
      <c r="A38" s="11"/>
      <c r="B38" s="335" t="s">
        <v>299</v>
      </c>
      <c r="C38" s="335"/>
      <c r="D38" s="335"/>
      <c r="E38" s="335"/>
      <c r="F38" s="335"/>
      <c r="G38" s="335"/>
      <c r="H38" s="335"/>
      <c r="I38" s="335"/>
      <c r="J38" s="335"/>
      <c r="K38" s="335"/>
      <c r="L38" s="335"/>
    </row>
    <row r="39" spans="1:13" x14ac:dyDescent="0.35">
      <c r="A39" s="11"/>
      <c r="B39" s="11"/>
      <c r="C39" s="11"/>
      <c r="D39" s="11"/>
      <c r="E39" s="11"/>
      <c r="F39" s="11"/>
      <c r="G39" s="11"/>
      <c r="H39" s="11"/>
      <c r="I39" s="11"/>
    </row>
    <row r="40" spans="1:13" x14ac:dyDescent="0.35">
      <c r="A40" s="13"/>
      <c r="B40" s="204" t="s">
        <v>2</v>
      </c>
      <c r="C40" s="204"/>
      <c r="D40" s="204"/>
      <c r="E40" s="204"/>
      <c r="F40" s="204"/>
      <c r="H40" s="14"/>
      <c r="I40" s="14"/>
      <c r="L40" s="15">
        <f>M65</f>
        <v>0</v>
      </c>
      <c r="M40" t="s">
        <v>288</v>
      </c>
    </row>
    <row r="41" spans="1:13" x14ac:dyDescent="0.35">
      <c r="A41" s="13"/>
      <c r="B41" s="205" t="s">
        <v>284</v>
      </c>
      <c r="C41" s="205"/>
      <c r="D41" s="205"/>
      <c r="E41" s="205"/>
      <c r="F41" s="205"/>
      <c r="G41" s="2"/>
      <c r="H41" s="2"/>
      <c r="I41" s="2"/>
      <c r="J41" s="2"/>
      <c r="K41" s="2"/>
      <c r="L41" s="70"/>
    </row>
    <row r="42" spans="1:13" ht="15" customHeight="1" thickBot="1" x14ac:dyDescent="0.4">
      <c r="A42" s="18"/>
      <c r="B42" s="19"/>
      <c r="C42" s="20"/>
      <c r="D42" s="20"/>
      <c r="E42" s="20"/>
      <c r="F42" s="20"/>
      <c r="G42" s="71"/>
      <c r="H42" s="71"/>
      <c r="I42" s="71"/>
      <c r="J42" s="71"/>
      <c r="K42" s="71"/>
      <c r="L42" s="71"/>
    </row>
    <row r="43" spans="1:13" ht="55.5" customHeight="1" x14ac:dyDescent="0.35">
      <c r="A43" s="331" t="s">
        <v>3</v>
      </c>
      <c r="B43" s="333" t="s">
        <v>31</v>
      </c>
      <c r="C43" s="333" t="s">
        <v>32</v>
      </c>
      <c r="D43" s="333" t="s">
        <v>33</v>
      </c>
      <c r="E43" s="333" t="s">
        <v>34</v>
      </c>
      <c r="F43" s="338" t="s">
        <v>35</v>
      </c>
      <c r="G43" s="337" t="s">
        <v>36</v>
      </c>
      <c r="H43" s="337"/>
      <c r="I43" s="337" t="s">
        <v>37</v>
      </c>
      <c r="J43" s="337"/>
      <c r="K43" s="321" t="s">
        <v>38</v>
      </c>
      <c r="L43" s="321"/>
      <c r="M43" s="322" t="s">
        <v>39</v>
      </c>
    </row>
    <row r="44" spans="1:13" ht="26" x14ac:dyDescent="0.35">
      <c r="A44" s="340"/>
      <c r="B44" s="334"/>
      <c r="C44" s="334"/>
      <c r="D44" s="334"/>
      <c r="E44" s="334"/>
      <c r="F44" s="339"/>
      <c r="G44" s="137" t="s">
        <v>40</v>
      </c>
      <c r="H44" s="137" t="s">
        <v>41</v>
      </c>
      <c r="I44" s="137" t="s">
        <v>40</v>
      </c>
      <c r="J44" s="137" t="s">
        <v>41</v>
      </c>
      <c r="K44" s="137" t="s">
        <v>40</v>
      </c>
      <c r="L44" s="137" t="s">
        <v>41</v>
      </c>
      <c r="M44" s="323"/>
    </row>
    <row r="45" spans="1:13" ht="15" thickBot="1" x14ac:dyDescent="0.4">
      <c r="A45" s="220">
        <v>1</v>
      </c>
      <c r="B45" s="221">
        <v>2</v>
      </c>
      <c r="C45" s="221">
        <v>3</v>
      </c>
      <c r="D45" s="221">
        <v>4</v>
      </c>
      <c r="E45" s="221">
        <v>5</v>
      </c>
      <c r="F45" s="221">
        <v>6</v>
      </c>
      <c r="G45" s="240">
        <v>7</v>
      </c>
      <c r="H45" s="240">
        <v>8</v>
      </c>
      <c r="I45" s="240">
        <v>9</v>
      </c>
      <c r="J45" s="240">
        <v>10</v>
      </c>
      <c r="K45" s="240">
        <v>11</v>
      </c>
      <c r="L45" s="240">
        <v>12</v>
      </c>
      <c r="M45" s="241">
        <v>13</v>
      </c>
    </row>
    <row r="46" spans="1:13" ht="36" customHeight="1" x14ac:dyDescent="0.35">
      <c r="A46" s="25"/>
      <c r="B46" s="26"/>
      <c r="C46" s="27" t="s">
        <v>113</v>
      </c>
      <c r="D46" s="28"/>
      <c r="E46" s="29"/>
      <c r="F46" s="29"/>
      <c r="G46" s="29"/>
      <c r="H46" s="29"/>
      <c r="I46" s="29"/>
      <c r="J46" s="30"/>
      <c r="K46" s="30"/>
      <c r="L46" s="30"/>
      <c r="M46" s="30"/>
    </row>
    <row r="47" spans="1:13" ht="26" x14ac:dyDescent="0.35">
      <c r="A47" s="31">
        <v>1</v>
      </c>
      <c r="B47" s="32" t="s">
        <v>43</v>
      </c>
      <c r="C47" s="72" t="s">
        <v>316</v>
      </c>
      <c r="D47" s="32" t="s">
        <v>73</v>
      </c>
      <c r="E47" s="36">
        <v>1</v>
      </c>
      <c r="F47" s="32">
        <v>98</v>
      </c>
      <c r="G47" s="299">
        <v>0</v>
      </c>
      <c r="H47" s="36">
        <f>G47*F47</f>
        <v>0</v>
      </c>
      <c r="I47" s="36"/>
      <c r="J47" s="37"/>
      <c r="K47" s="37"/>
      <c r="L47" s="37"/>
      <c r="M47" s="37">
        <f>L47+H47</f>
        <v>0</v>
      </c>
    </row>
    <row r="48" spans="1:13" ht="26" x14ac:dyDescent="0.35">
      <c r="A48" s="26"/>
      <c r="B48" s="38"/>
      <c r="C48" s="47" t="s">
        <v>315</v>
      </c>
      <c r="D48" s="45" t="s">
        <v>73</v>
      </c>
      <c r="E48" s="37">
        <v>1</v>
      </c>
      <c r="F48" s="8">
        <v>23</v>
      </c>
      <c r="G48" s="37"/>
      <c r="H48" s="37"/>
      <c r="I48" s="300">
        <v>0</v>
      </c>
      <c r="J48" s="37">
        <f>I48*F48</f>
        <v>0</v>
      </c>
      <c r="K48" s="37"/>
      <c r="L48" s="37"/>
      <c r="M48" s="37">
        <f>L48+J48+H48</f>
        <v>0</v>
      </c>
    </row>
    <row r="49" spans="1:13" x14ac:dyDescent="0.35">
      <c r="A49" s="26"/>
      <c r="B49" s="38"/>
      <c r="C49" s="47" t="s">
        <v>114</v>
      </c>
      <c r="D49" s="45" t="s">
        <v>73</v>
      </c>
      <c r="E49" s="37">
        <v>1</v>
      </c>
      <c r="F49" s="8">
        <v>75</v>
      </c>
      <c r="G49" s="37"/>
      <c r="H49" s="37"/>
      <c r="I49" s="300">
        <v>0</v>
      </c>
      <c r="J49" s="37">
        <f>I49*F49</f>
        <v>0</v>
      </c>
      <c r="K49" s="37"/>
      <c r="L49" s="37"/>
      <c r="M49" s="37">
        <f>L49+J49+H49</f>
        <v>0</v>
      </c>
    </row>
    <row r="50" spans="1:13" x14ac:dyDescent="0.35">
      <c r="A50" s="43"/>
      <c r="B50" s="32"/>
      <c r="C50" s="47" t="s">
        <v>75</v>
      </c>
      <c r="D50" s="75" t="s">
        <v>29</v>
      </c>
      <c r="E50" s="37">
        <v>0.3</v>
      </c>
      <c r="F50" s="8">
        <f>E50*(F48+F49)</f>
        <v>29.4</v>
      </c>
      <c r="G50" s="37"/>
      <c r="H50" s="78"/>
      <c r="I50" s="300">
        <v>0</v>
      </c>
      <c r="J50" s="37">
        <f>I50*F50</f>
        <v>0</v>
      </c>
      <c r="K50" s="37"/>
      <c r="L50" s="37"/>
      <c r="M50" s="37">
        <f>J50</f>
        <v>0</v>
      </c>
    </row>
    <row r="51" spans="1:13" ht="26" x14ac:dyDescent="0.35">
      <c r="A51" s="95">
        <v>2</v>
      </c>
      <c r="B51" s="32" t="s">
        <v>43</v>
      </c>
      <c r="C51" s="72" t="s">
        <v>117</v>
      </c>
      <c r="D51" s="32" t="s">
        <v>73</v>
      </c>
      <c r="E51" s="36">
        <v>1</v>
      </c>
      <c r="F51" s="32">
        <v>64</v>
      </c>
      <c r="G51" s="299">
        <v>0</v>
      </c>
      <c r="H51" s="36">
        <v>0</v>
      </c>
      <c r="I51" s="36"/>
      <c r="J51" s="100"/>
      <c r="K51" s="37"/>
      <c r="L51" s="37"/>
      <c r="M51" s="37">
        <f>L51+H51</f>
        <v>0</v>
      </c>
    </row>
    <row r="52" spans="1:13" ht="26" x14ac:dyDescent="0.35">
      <c r="A52" s="46"/>
      <c r="B52" s="38"/>
      <c r="C52" s="47" t="s">
        <v>315</v>
      </c>
      <c r="D52" s="45" t="s">
        <v>73</v>
      </c>
      <c r="E52" s="37">
        <v>1</v>
      </c>
      <c r="F52" s="8">
        <f>F51*E52</f>
        <v>64</v>
      </c>
      <c r="G52" s="37"/>
      <c r="H52" s="37"/>
      <c r="I52" s="300">
        <v>0</v>
      </c>
      <c r="J52" s="37">
        <f>I52*F52</f>
        <v>0</v>
      </c>
      <c r="K52" s="37"/>
      <c r="L52" s="37"/>
      <c r="M52" s="37">
        <f>L52+J52+H52</f>
        <v>0</v>
      </c>
    </row>
    <row r="53" spans="1:13" ht="39" x14ac:dyDescent="0.35">
      <c r="A53" s="46"/>
      <c r="B53" s="44"/>
      <c r="C53" s="47" t="s">
        <v>118</v>
      </c>
      <c r="D53" s="75" t="s">
        <v>95</v>
      </c>
      <c r="E53" s="37">
        <v>0.7</v>
      </c>
      <c r="F53" s="8">
        <f>E53*F51</f>
        <v>44.8</v>
      </c>
      <c r="G53" s="300">
        <v>0</v>
      </c>
      <c r="H53" s="37">
        <f>F53*G53</f>
        <v>0</v>
      </c>
      <c r="I53" s="300">
        <v>0</v>
      </c>
      <c r="J53" s="37">
        <f>I53*F53</f>
        <v>0</v>
      </c>
      <c r="K53" s="300">
        <v>0</v>
      </c>
      <c r="L53" s="37">
        <f>F53*K53</f>
        <v>0</v>
      </c>
      <c r="M53" s="37">
        <f>L53+J53+H53</f>
        <v>0</v>
      </c>
    </row>
    <row r="54" spans="1:13" ht="15" thickBot="1" x14ac:dyDescent="0.4">
      <c r="A54" s="46"/>
      <c r="B54" s="46"/>
      <c r="C54" s="47" t="s">
        <v>75</v>
      </c>
      <c r="D54" s="75" t="s">
        <v>29</v>
      </c>
      <c r="E54" s="37">
        <v>0.2</v>
      </c>
      <c r="F54" s="8">
        <f>E54*F51</f>
        <v>12.8</v>
      </c>
      <c r="G54" s="37"/>
      <c r="H54" s="78"/>
      <c r="I54" s="300">
        <v>0</v>
      </c>
      <c r="J54" s="37">
        <f>I54*F54</f>
        <v>0</v>
      </c>
      <c r="K54" s="37"/>
      <c r="L54" s="37"/>
      <c r="M54" s="37">
        <f>J54</f>
        <v>0</v>
      </c>
    </row>
    <row r="55" spans="1:13" ht="15" thickBot="1" x14ac:dyDescent="0.4">
      <c r="A55" s="108"/>
      <c r="B55" s="130"/>
      <c r="C55" s="131" t="s">
        <v>119</v>
      </c>
      <c r="D55" s="109"/>
      <c r="E55" s="109"/>
      <c r="F55" s="132"/>
      <c r="G55" s="109"/>
      <c r="H55" s="133">
        <f>H47+H51+H53</f>
        <v>0</v>
      </c>
      <c r="I55" s="133"/>
      <c r="J55" s="133">
        <f>J48+J49+J50+J52+J53+J54</f>
        <v>0</v>
      </c>
      <c r="K55" s="133"/>
      <c r="L55" s="133">
        <f>L53</f>
        <v>0</v>
      </c>
      <c r="M55" s="5">
        <f>L55+J55+H55</f>
        <v>0</v>
      </c>
    </row>
    <row r="56" spans="1:13" ht="26" x14ac:dyDescent="0.35">
      <c r="A56" s="4"/>
      <c r="B56" s="4"/>
      <c r="C56" s="77" t="s">
        <v>111</v>
      </c>
      <c r="D56" s="105">
        <v>0.05</v>
      </c>
      <c r="E56" s="46"/>
      <c r="F56" s="46"/>
      <c r="G56" s="46"/>
      <c r="H56" s="46"/>
      <c r="I56" s="46"/>
      <c r="J56" s="46"/>
      <c r="K56" s="46"/>
      <c r="L56" s="46"/>
      <c r="M56" s="8">
        <f>J55*D56</f>
        <v>0</v>
      </c>
    </row>
    <row r="57" spans="1:13" x14ac:dyDescent="0.35">
      <c r="A57" s="118"/>
      <c r="B57" s="119"/>
      <c r="C57" s="64" t="s">
        <v>23</v>
      </c>
      <c r="D57" s="105"/>
      <c r="E57" s="46"/>
      <c r="F57" s="46"/>
      <c r="G57" s="46"/>
      <c r="H57" s="46"/>
      <c r="I57" s="46"/>
      <c r="J57" s="46"/>
      <c r="K57" s="46"/>
      <c r="L57" s="46"/>
      <c r="M57" s="8">
        <f>M55+M56</f>
        <v>0</v>
      </c>
    </row>
    <row r="58" spans="1:13" x14ac:dyDescent="0.35">
      <c r="A58" s="49"/>
      <c r="B58" s="49"/>
      <c r="C58" s="66" t="s">
        <v>101</v>
      </c>
      <c r="D58" s="105">
        <v>0.05</v>
      </c>
      <c r="E58" s="49"/>
      <c r="F58" s="49"/>
      <c r="G58" s="49"/>
      <c r="H58" s="49"/>
      <c r="I58" s="49"/>
      <c r="J58" s="49"/>
      <c r="K58" s="49"/>
      <c r="L58" s="49"/>
      <c r="M58" s="52">
        <f>M57*D58</f>
        <v>0</v>
      </c>
    </row>
    <row r="59" spans="1:13" x14ac:dyDescent="0.35">
      <c r="A59" s="120"/>
      <c r="B59" s="4"/>
      <c r="C59" s="64" t="s">
        <v>23</v>
      </c>
      <c r="D59" s="49"/>
      <c r="E59" s="49"/>
      <c r="F59" s="49"/>
      <c r="G59" s="49"/>
      <c r="H59" s="49"/>
      <c r="I59" s="49"/>
      <c r="J59" s="49"/>
      <c r="K59" s="49"/>
      <c r="L59" s="49"/>
      <c r="M59" s="52">
        <f>M57+M58</f>
        <v>0</v>
      </c>
    </row>
    <row r="60" spans="1:13" x14ac:dyDescent="0.35">
      <c r="A60" s="121"/>
      <c r="B60" s="122"/>
      <c r="C60" s="106" t="s">
        <v>102</v>
      </c>
      <c r="D60" s="123">
        <v>0.05</v>
      </c>
      <c r="E60" s="83"/>
      <c r="F60" s="83"/>
      <c r="G60" s="83"/>
      <c r="H60" s="83"/>
      <c r="I60" s="83"/>
      <c r="J60" s="83"/>
      <c r="K60" s="83"/>
      <c r="L60" s="83"/>
      <c r="M60" s="85">
        <f>M59*D60</f>
        <v>0</v>
      </c>
    </row>
    <row r="61" spans="1:13" x14ac:dyDescent="0.35">
      <c r="A61" s="49"/>
      <c r="B61" s="49"/>
      <c r="C61" s="64" t="s">
        <v>23</v>
      </c>
      <c r="D61" s="49"/>
      <c r="E61" s="49"/>
      <c r="F61" s="49"/>
      <c r="G61" s="49"/>
      <c r="H61" s="49"/>
      <c r="I61" s="49"/>
      <c r="J61" s="49"/>
      <c r="K61" s="49"/>
      <c r="L61" s="49"/>
      <c r="M61" s="52">
        <f>M59+M60</f>
        <v>0</v>
      </c>
    </row>
    <row r="62" spans="1:13" x14ac:dyDescent="0.35">
      <c r="B62" s="30"/>
      <c r="C62" s="33" t="s">
        <v>24</v>
      </c>
      <c r="D62" s="177">
        <v>0.03</v>
      </c>
      <c r="E62" s="95"/>
      <c r="F62" s="95"/>
      <c r="G62" s="95"/>
      <c r="H62" s="95"/>
      <c r="I62" s="95"/>
      <c r="J62" s="95"/>
      <c r="K62" s="95"/>
      <c r="L62" s="95"/>
      <c r="M62" s="6">
        <f>M61*D62</f>
        <v>0</v>
      </c>
    </row>
    <row r="63" spans="1:13" x14ac:dyDescent="0.35">
      <c r="A63" s="169"/>
      <c r="B63" s="169"/>
      <c r="C63" s="203" t="s">
        <v>23</v>
      </c>
      <c r="D63" s="46"/>
      <c r="E63" s="46"/>
      <c r="F63" s="46"/>
      <c r="G63" s="46"/>
      <c r="H63" s="46"/>
      <c r="I63" s="46"/>
      <c r="J63" s="46"/>
      <c r="K63" s="46"/>
      <c r="L63" s="46"/>
      <c r="M63" s="8">
        <f>M61+M62</f>
        <v>0</v>
      </c>
    </row>
    <row r="64" spans="1:13" ht="26.5" thickBot="1" x14ac:dyDescent="0.4">
      <c r="A64" s="119"/>
      <c r="B64" s="30"/>
      <c r="C64" s="128" t="s">
        <v>25</v>
      </c>
      <c r="D64" s="123">
        <v>0.18</v>
      </c>
      <c r="E64" s="83"/>
      <c r="F64" s="83"/>
      <c r="G64" s="83"/>
      <c r="H64" s="83"/>
      <c r="I64" s="83"/>
      <c r="J64" s="83"/>
      <c r="K64" s="83"/>
      <c r="L64" s="83"/>
      <c r="M64" s="85">
        <f>M63*D64</f>
        <v>0</v>
      </c>
    </row>
    <row r="65" spans="1:13" ht="15" thickBot="1" x14ac:dyDescent="0.4">
      <c r="A65" s="212"/>
      <c r="B65" s="223"/>
      <c r="C65" s="110" t="s">
        <v>26</v>
      </c>
      <c r="D65" s="109"/>
      <c r="E65" s="109"/>
      <c r="F65" s="109"/>
      <c r="G65" s="109"/>
      <c r="H65" s="109"/>
      <c r="I65" s="109"/>
      <c r="J65" s="109"/>
      <c r="K65" s="109"/>
      <c r="L65" s="109"/>
      <c r="M65" s="5">
        <f t="shared" ref="M65" si="1">M63+M64</f>
        <v>0</v>
      </c>
    </row>
  </sheetData>
  <sheetProtection algorithmName="SHA-512" hashValue="OIILfOUK5MDC947x3pVc48TCHlRxaTjtP7BXB9serDbUTNUT5JOHhDrrguzaNaDuXDD9Xe/oOac71BXHmeB+PA==" saltValue="lQXSvhEVeyeKVqhs1vFeHQ==" spinCount="100000" sheet="1" objects="1" scenarios="1"/>
  <mergeCells count="27">
    <mergeCell ref="M10:M11"/>
    <mergeCell ref="F10:F11"/>
    <mergeCell ref="B2:L2"/>
    <mergeCell ref="B4:K4"/>
    <mergeCell ref="B5:K5"/>
    <mergeCell ref="B7:F7"/>
    <mergeCell ref="B8:F8"/>
    <mergeCell ref="G10:H10"/>
    <mergeCell ref="I10:J10"/>
    <mergeCell ref="K10:L10"/>
    <mergeCell ref="A10:A11"/>
    <mergeCell ref="B10:B11"/>
    <mergeCell ref="C10:C11"/>
    <mergeCell ref="D10:D11"/>
    <mergeCell ref="E10:E11"/>
    <mergeCell ref="M43:M44"/>
    <mergeCell ref="A37:L37"/>
    <mergeCell ref="B38:L38"/>
    <mergeCell ref="A43:A44"/>
    <mergeCell ref="B43:B44"/>
    <mergeCell ref="C43:C44"/>
    <mergeCell ref="D43:D44"/>
    <mergeCell ref="E43:E44"/>
    <mergeCell ref="F43:F44"/>
    <mergeCell ref="G43:H43"/>
    <mergeCell ref="I43:J43"/>
    <mergeCell ref="K43:L43"/>
  </mergeCells>
  <conditionalFormatting sqref="D29">
    <cfRule type="top10" dxfId="4" priority="3" percent="1" rank="10"/>
  </conditionalFormatting>
  <conditionalFormatting sqref="D31">
    <cfRule type="top10" dxfId="3" priority="5" percent="1" rank="10"/>
  </conditionalFormatting>
  <conditionalFormatting sqref="D59">
    <cfRule type="top10" dxfId="2" priority="1" percent="1" rank="10"/>
  </conditionalFormatting>
  <conditionalFormatting sqref="D61">
    <cfRule type="top10" dxfId="1" priority="2" percent="1" rank="10"/>
  </conditionalFormatting>
  <pageMargins left="1.2" right="0.45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2B71D-961E-416B-A2CC-0BC14B75A6FA}">
  <dimension ref="A1:N47"/>
  <sheetViews>
    <sheetView zoomScale="80" zoomScaleNormal="80" workbookViewId="0">
      <selection activeCell="J14" sqref="J14"/>
    </sheetView>
  </sheetViews>
  <sheetFormatPr defaultRowHeight="14.5" x14ac:dyDescent="0.35"/>
  <cols>
    <col min="1" max="1" width="3.54296875" customWidth="1"/>
    <col min="2" max="2" width="4.453125" customWidth="1"/>
    <col min="3" max="3" width="33.26953125" customWidth="1"/>
    <col min="4" max="4" width="6.81640625" customWidth="1"/>
    <col min="5" max="5" width="9.26953125" customWidth="1"/>
    <col min="6" max="6" width="8.54296875" customWidth="1"/>
    <col min="7" max="7" width="6.54296875" customWidth="1"/>
    <col min="8" max="8" width="8.54296875" customWidth="1"/>
    <col min="9" max="9" width="7.26953125" customWidth="1"/>
    <col min="10" max="10" width="10.7265625" customWidth="1"/>
    <col min="11" max="11" width="6.81640625" customWidth="1"/>
    <col min="12" max="12" width="9.453125" customWidth="1"/>
    <col min="13" max="13" width="11.81640625" customWidth="1"/>
  </cols>
  <sheetData>
    <row r="1" spans="1:14" ht="30" customHeight="1" x14ac:dyDescent="0.35">
      <c r="A1" s="1"/>
      <c r="B1" s="348" t="s">
        <v>92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</row>
    <row r="2" spans="1:14" x14ac:dyDescent="0.35">
      <c r="A2" s="9"/>
      <c r="B2" s="9"/>
      <c r="C2" s="9"/>
      <c r="D2" s="9"/>
      <c r="E2" s="9"/>
      <c r="F2" s="9"/>
      <c r="G2" s="9"/>
      <c r="H2" s="9"/>
      <c r="I2" s="9"/>
    </row>
    <row r="3" spans="1:14" x14ac:dyDescent="0.35">
      <c r="A3" s="10"/>
      <c r="B3" s="10"/>
      <c r="C3" s="336" t="s">
        <v>17</v>
      </c>
      <c r="D3" s="336"/>
      <c r="E3" s="336"/>
      <c r="F3" s="336"/>
      <c r="G3" s="336"/>
      <c r="H3" s="336"/>
      <c r="I3" s="336"/>
      <c r="J3" s="336"/>
      <c r="K3" s="336"/>
      <c r="L3" s="336"/>
    </row>
    <row r="4" spans="1:14" x14ac:dyDescent="0.35">
      <c r="A4" s="11"/>
      <c r="B4" s="11"/>
      <c r="C4" s="335" t="s">
        <v>129</v>
      </c>
      <c r="D4" s="335"/>
      <c r="E4" s="335"/>
      <c r="F4" s="335"/>
      <c r="G4" s="335"/>
      <c r="H4" s="335"/>
      <c r="I4" s="335"/>
      <c r="J4" s="335"/>
      <c r="K4" s="335"/>
      <c r="L4" s="335"/>
    </row>
    <row r="5" spans="1:14" x14ac:dyDescent="0.35">
      <c r="A5" s="12"/>
      <c r="B5" s="12"/>
      <c r="C5" s="12"/>
      <c r="D5" s="12"/>
      <c r="E5" s="12"/>
      <c r="F5" s="12"/>
      <c r="G5" s="12"/>
      <c r="H5" s="12"/>
      <c r="I5" s="12"/>
    </row>
    <row r="6" spans="1:14" x14ac:dyDescent="0.35">
      <c r="A6" s="13"/>
      <c r="B6" s="328" t="s">
        <v>2</v>
      </c>
      <c r="C6" s="328"/>
      <c r="D6" s="328"/>
      <c r="E6" s="328"/>
      <c r="H6" s="14"/>
      <c r="I6" s="14"/>
      <c r="K6" s="349">
        <f>M47</f>
        <v>0</v>
      </c>
      <c r="L6" s="349"/>
      <c r="M6" s="124" t="s">
        <v>288</v>
      </c>
    </row>
    <row r="7" spans="1:14" x14ac:dyDescent="0.35">
      <c r="A7" s="13"/>
      <c r="B7" s="329" t="s">
        <v>280</v>
      </c>
      <c r="C7" s="329"/>
      <c r="D7" s="329"/>
      <c r="E7" s="329"/>
      <c r="F7" s="329"/>
      <c r="G7" s="2"/>
      <c r="H7" s="2"/>
      <c r="I7" s="2"/>
      <c r="J7" s="2"/>
      <c r="K7" s="2"/>
      <c r="L7" s="70"/>
      <c r="M7" s="70"/>
    </row>
    <row r="8" spans="1:14" ht="15" thickBot="1" x14ac:dyDescent="0.4">
      <c r="A8" s="18"/>
      <c r="B8" s="19"/>
      <c r="C8" s="20"/>
      <c r="D8" s="20"/>
      <c r="E8" s="20"/>
      <c r="F8" s="20"/>
      <c r="G8" s="71"/>
      <c r="H8" s="71"/>
      <c r="I8" s="71"/>
      <c r="J8" s="71"/>
      <c r="K8" s="71"/>
      <c r="L8" s="71"/>
      <c r="M8" s="71"/>
    </row>
    <row r="9" spans="1:14" ht="30.75" customHeight="1" x14ac:dyDescent="0.35">
      <c r="A9" s="341" t="s">
        <v>3</v>
      </c>
      <c r="B9" s="333" t="s">
        <v>31</v>
      </c>
      <c r="C9" s="333" t="s">
        <v>32</v>
      </c>
      <c r="D9" s="333" t="s">
        <v>33</v>
      </c>
      <c r="E9" s="333" t="s">
        <v>34</v>
      </c>
      <c r="F9" s="338" t="s">
        <v>35</v>
      </c>
      <c r="G9" s="337" t="s">
        <v>36</v>
      </c>
      <c r="H9" s="337"/>
      <c r="I9" s="337" t="s">
        <v>37</v>
      </c>
      <c r="J9" s="337"/>
      <c r="K9" s="321" t="s">
        <v>38</v>
      </c>
      <c r="L9" s="321"/>
      <c r="M9" s="322" t="s">
        <v>39</v>
      </c>
    </row>
    <row r="10" spans="1:14" ht="63" customHeight="1" x14ac:dyDescent="0.35">
      <c r="A10" s="340"/>
      <c r="B10" s="334"/>
      <c r="C10" s="334"/>
      <c r="D10" s="334"/>
      <c r="E10" s="334"/>
      <c r="F10" s="339"/>
      <c r="G10" s="137" t="s">
        <v>40</v>
      </c>
      <c r="H10" s="137" t="s">
        <v>41</v>
      </c>
      <c r="I10" s="137" t="s">
        <v>40</v>
      </c>
      <c r="J10" s="137" t="s">
        <v>41</v>
      </c>
      <c r="K10" s="137" t="s">
        <v>40</v>
      </c>
      <c r="L10" s="137" t="s">
        <v>41</v>
      </c>
      <c r="M10" s="323"/>
    </row>
    <row r="11" spans="1:14" ht="15" thickBot="1" x14ac:dyDescent="0.4">
      <c r="A11" s="220">
        <v>1</v>
      </c>
      <c r="B11" s="221">
        <v>2</v>
      </c>
      <c r="C11" s="221">
        <v>3</v>
      </c>
      <c r="D11" s="221">
        <v>4</v>
      </c>
      <c r="E11" s="221">
        <v>5</v>
      </c>
      <c r="F11" s="221">
        <v>6</v>
      </c>
      <c r="G11" s="221">
        <v>7</v>
      </c>
      <c r="H11" s="221">
        <v>8</v>
      </c>
      <c r="I11" s="221">
        <v>9</v>
      </c>
      <c r="J11" s="221">
        <v>10</v>
      </c>
      <c r="K11" s="221">
        <v>11</v>
      </c>
      <c r="L11" s="221">
        <v>12</v>
      </c>
      <c r="M11" s="222">
        <v>13</v>
      </c>
    </row>
    <row r="12" spans="1:14" x14ac:dyDescent="0.35">
      <c r="A12" s="95">
        <v>1</v>
      </c>
      <c r="B12" s="32" t="s">
        <v>43</v>
      </c>
      <c r="C12" s="88" t="s">
        <v>124</v>
      </c>
      <c r="D12" s="79"/>
      <c r="E12" s="36"/>
      <c r="F12" s="96"/>
      <c r="G12" s="100"/>
      <c r="H12" s="100"/>
      <c r="I12" s="100"/>
      <c r="J12" s="100"/>
      <c r="K12" s="95"/>
      <c r="L12" s="95"/>
      <c r="M12" s="100"/>
    </row>
    <row r="13" spans="1:14" x14ac:dyDescent="0.35">
      <c r="A13" s="46"/>
      <c r="B13" s="44"/>
      <c r="C13" s="142" t="s">
        <v>305</v>
      </c>
      <c r="D13" s="46" t="s">
        <v>73</v>
      </c>
      <c r="E13" s="37">
        <v>1</v>
      </c>
      <c r="F13" s="37">
        <v>32</v>
      </c>
      <c r="G13" s="279">
        <v>0</v>
      </c>
      <c r="H13" s="42">
        <f t="shared" ref="H13:H21" si="0">G13*F13</f>
        <v>0</v>
      </c>
      <c r="I13" s="279">
        <v>0</v>
      </c>
      <c r="J13" s="42">
        <f t="shared" ref="J13:J22" si="1">I13*F13</f>
        <v>0</v>
      </c>
      <c r="K13" s="42"/>
      <c r="L13" s="42"/>
      <c r="M13" s="42">
        <f t="shared" ref="M13:M21" si="2">J13+H13</f>
        <v>0</v>
      </c>
    </row>
    <row r="14" spans="1:14" ht="27.75" customHeight="1" x14ac:dyDescent="0.35">
      <c r="A14" s="46"/>
      <c r="B14" s="46"/>
      <c r="C14" s="77" t="s">
        <v>306</v>
      </c>
      <c r="D14" s="79" t="s">
        <v>73</v>
      </c>
      <c r="E14" s="37">
        <v>1</v>
      </c>
      <c r="F14" s="96">
        <v>32</v>
      </c>
      <c r="G14" s="279">
        <v>0</v>
      </c>
      <c r="H14" s="42">
        <f t="shared" si="0"/>
        <v>0</v>
      </c>
      <c r="I14" s="279">
        <v>0</v>
      </c>
      <c r="J14" s="42">
        <f t="shared" si="1"/>
        <v>0</v>
      </c>
      <c r="K14" s="42"/>
      <c r="L14" s="42"/>
      <c r="M14" s="42">
        <f t="shared" si="2"/>
        <v>0</v>
      </c>
    </row>
    <row r="15" spans="1:14" x14ac:dyDescent="0.35">
      <c r="A15" s="46"/>
      <c r="B15" s="44"/>
      <c r="C15" s="142" t="s">
        <v>307</v>
      </c>
      <c r="D15" s="46" t="s">
        <v>73</v>
      </c>
      <c r="E15" s="37">
        <v>1</v>
      </c>
      <c r="F15" s="37">
        <v>12</v>
      </c>
      <c r="G15" s="279">
        <v>0</v>
      </c>
      <c r="H15" s="42">
        <f t="shared" si="0"/>
        <v>0</v>
      </c>
      <c r="I15" s="279">
        <v>0</v>
      </c>
      <c r="J15" s="42">
        <f t="shared" si="1"/>
        <v>0</v>
      </c>
      <c r="K15" s="42"/>
      <c r="L15" s="42"/>
      <c r="M15" s="42">
        <f t="shared" si="2"/>
        <v>0</v>
      </c>
    </row>
    <row r="16" spans="1:14" x14ac:dyDescent="0.35">
      <c r="A16" s="46"/>
      <c r="B16" s="46"/>
      <c r="C16" s="77" t="s">
        <v>308</v>
      </c>
      <c r="D16" s="79" t="s">
        <v>73</v>
      </c>
      <c r="E16" s="37">
        <v>1</v>
      </c>
      <c r="F16" s="96">
        <v>8.8000000000000007</v>
      </c>
      <c r="G16" s="279">
        <v>0</v>
      </c>
      <c r="H16" s="42">
        <f t="shared" si="0"/>
        <v>0</v>
      </c>
      <c r="I16" s="279">
        <v>0</v>
      </c>
      <c r="J16" s="42">
        <f t="shared" si="1"/>
        <v>0</v>
      </c>
      <c r="K16" s="42"/>
      <c r="L16" s="42"/>
      <c r="M16" s="42">
        <f t="shared" si="2"/>
        <v>0</v>
      </c>
      <c r="N16" s="225"/>
    </row>
    <row r="17" spans="1:13" x14ac:dyDescent="0.35">
      <c r="A17" s="46"/>
      <c r="B17" s="46"/>
      <c r="C17" s="39" t="s">
        <v>309</v>
      </c>
      <c r="D17" s="79" t="s">
        <v>73</v>
      </c>
      <c r="E17" s="37">
        <v>1</v>
      </c>
      <c r="F17" s="96">
        <v>9.9</v>
      </c>
      <c r="G17" s="279">
        <v>0</v>
      </c>
      <c r="H17" s="42">
        <f t="shared" si="0"/>
        <v>0</v>
      </c>
      <c r="I17" s="279">
        <v>0</v>
      </c>
      <c r="J17" s="42">
        <f t="shared" si="1"/>
        <v>0</v>
      </c>
      <c r="K17" s="42"/>
      <c r="L17" s="42"/>
      <c r="M17" s="42">
        <f t="shared" si="2"/>
        <v>0</v>
      </c>
    </row>
    <row r="18" spans="1:13" ht="26" x14ac:dyDescent="0.35">
      <c r="A18" s="46"/>
      <c r="B18" s="46"/>
      <c r="C18" s="39" t="s">
        <v>310</v>
      </c>
      <c r="D18" s="79" t="s">
        <v>73</v>
      </c>
      <c r="E18" s="37">
        <v>1</v>
      </c>
      <c r="F18" s="96">
        <v>9.9</v>
      </c>
      <c r="G18" s="279">
        <v>0</v>
      </c>
      <c r="H18" s="42">
        <f t="shared" si="0"/>
        <v>0</v>
      </c>
      <c r="I18" s="279">
        <v>0</v>
      </c>
      <c r="J18" s="42">
        <f t="shared" si="1"/>
        <v>0</v>
      </c>
      <c r="K18" s="42"/>
      <c r="L18" s="42"/>
      <c r="M18" s="42">
        <f t="shared" si="2"/>
        <v>0</v>
      </c>
    </row>
    <row r="19" spans="1:13" ht="26" x14ac:dyDescent="0.35">
      <c r="A19" s="46"/>
      <c r="B19" s="44"/>
      <c r="C19" s="77" t="s">
        <v>311</v>
      </c>
      <c r="D19" s="75" t="s">
        <v>73</v>
      </c>
      <c r="E19" s="37">
        <v>1</v>
      </c>
      <c r="F19" s="37">
        <v>48</v>
      </c>
      <c r="G19" s="279">
        <v>0</v>
      </c>
      <c r="H19" s="42">
        <f t="shared" si="0"/>
        <v>0</v>
      </c>
      <c r="I19" s="279">
        <v>0</v>
      </c>
      <c r="J19" s="42">
        <f t="shared" si="1"/>
        <v>0</v>
      </c>
      <c r="K19" s="42"/>
      <c r="L19" s="42"/>
      <c r="M19" s="42">
        <f t="shared" si="2"/>
        <v>0</v>
      </c>
    </row>
    <row r="20" spans="1:13" ht="26" x14ac:dyDescent="0.35">
      <c r="A20" s="46"/>
      <c r="B20" s="44"/>
      <c r="C20" s="77" t="s">
        <v>312</v>
      </c>
      <c r="D20" s="75" t="s">
        <v>73</v>
      </c>
      <c r="E20" s="37">
        <v>1</v>
      </c>
      <c r="F20" s="37">
        <v>4.5</v>
      </c>
      <c r="G20" s="279">
        <v>0</v>
      </c>
      <c r="H20" s="42">
        <f t="shared" si="0"/>
        <v>0</v>
      </c>
      <c r="I20" s="279">
        <v>0</v>
      </c>
      <c r="J20" s="42">
        <f t="shared" si="1"/>
        <v>0</v>
      </c>
      <c r="K20" s="42"/>
      <c r="L20" s="42"/>
      <c r="M20" s="42">
        <f t="shared" si="2"/>
        <v>0</v>
      </c>
    </row>
    <row r="21" spans="1:13" ht="26" x14ac:dyDescent="0.35">
      <c r="A21" s="46"/>
      <c r="B21" s="44"/>
      <c r="C21" s="77" t="s">
        <v>313</v>
      </c>
      <c r="D21" s="75" t="s">
        <v>73</v>
      </c>
      <c r="E21" s="37">
        <v>1</v>
      </c>
      <c r="F21" s="37">
        <v>2</v>
      </c>
      <c r="G21" s="279">
        <v>0</v>
      </c>
      <c r="H21" s="42">
        <f t="shared" si="0"/>
        <v>0</v>
      </c>
      <c r="I21" s="279">
        <v>0</v>
      </c>
      <c r="J21" s="42">
        <f t="shared" si="1"/>
        <v>0</v>
      </c>
      <c r="K21" s="42"/>
      <c r="L21" s="42"/>
      <c r="M21" s="42">
        <f t="shared" si="2"/>
        <v>0</v>
      </c>
    </row>
    <row r="22" spans="1:13" x14ac:dyDescent="0.35">
      <c r="A22" s="46"/>
      <c r="B22" s="44"/>
      <c r="C22" s="47" t="s">
        <v>75</v>
      </c>
      <c r="D22" s="75" t="s">
        <v>29</v>
      </c>
      <c r="E22" s="37">
        <v>0.3</v>
      </c>
      <c r="F22" s="37">
        <f>E22*(F13+F14+F15+F16+F17+F18+F19+F20+F21)</f>
        <v>47.730000000000004</v>
      </c>
      <c r="G22" s="42"/>
      <c r="H22" s="245"/>
      <c r="I22" s="279">
        <v>0</v>
      </c>
      <c r="J22" s="42">
        <f t="shared" si="1"/>
        <v>0</v>
      </c>
      <c r="K22" s="42"/>
      <c r="L22" s="42"/>
      <c r="M22" s="42">
        <f>L22+J22</f>
        <v>0</v>
      </c>
    </row>
    <row r="23" spans="1:13" ht="15" thickBot="1" x14ac:dyDescent="0.4">
      <c r="A23" s="46"/>
      <c r="B23" s="44"/>
      <c r="C23" s="47" t="s">
        <v>76</v>
      </c>
      <c r="D23" s="75" t="s">
        <v>29</v>
      </c>
      <c r="E23" s="37">
        <v>0.2</v>
      </c>
      <c r="F23" s="37">
        <f>E23*(F13+F14+F15+F16+F17+F18+F19+F20+F21)</f>
        <v>31.820000000000007</v>
      </c>
      <c r="G23" s="42"/>
      <c r="H23" s="245"/>
      <c r="I23" s="245"/>
      <c r="J23" s="42"/>
      <c r="K23" s="279">
        <v>0</v>
      </c>
      <c r="L23" s="42">
        <f>K23*F23</f>
        <v>0</v>
      </c>
      <c r="M23" s="42">
        <f>L23</f>
        <v>0</v>
      </c>
    </row>
    <row r="24" spans="1:13" ht="15" thickBot="1" x14ac:dyDescent="0.4">
      <c r="A24" s="46"/>
      <c r="B24" s="91"/>
      <c r="C24" s="92" t="s">
        <v>99</v>
      </c>
      <c r="D24" s="93"/>
      <c r="E24" s="93"/>
      <c r="F24" s="94"/>
      <c r="G24" s="281"/>
      <c r="H24" s="282">
        <f>H13+H14+H15+H16+H17+H18+H19+H20+H21</f>
        <v>0</v>
      </c>
      <c r="I24" s="282"/>
      <c r="J24" s="284">
        <f>J13+J14+J15+J16+J17+J18+J19+J20+J21+J22</f>
        <v>0</v>
      </c>
      <c r="K24" s="284"/>
      <c r="L24" s="284">
        <f>L23</f>
        <v>0</v>
      </c>
      <c r="M24" s="285">
        <f>L24+J24+H24</f>
        <v>0</v>
      </c>
    </row>
    <row r="25" spans="1:13" ht="26" x14ac:dyDescent="0.35">
      <c r="A25" s="46">
        <v>2</v>
      </c>
      <c r="B25" s="44" t="s">
        <v>43</v>
      </c>
      <c r="C25" s="140" t="s">
        <v>265</v>
      </c>
      <c r="D25" s="46" t="s">
        <v>73</v>
      </c>
      <c r="E25" s="37">
        <v>1</v>
      </c>
      <c r="F25" s="51">
        <v>2150</v>
      </c>
      <c r="G25" s="279">
        <v>0</v>
      </c>
      <c r="H25" s="42">
        <f>G25*F25</f>
        <v>0</v>
      </c>
      <c r="I25" s="245"/>
      <c r="J25" s="42"/>
      <c r="K25" s="42"/>
      <c r="L25" s="42"/>
      <c r="M25" s="42">
        <f>H25</f>
        <v>0</v>
      </c>
    </row>
    <row r="26" spans="1:13" x14ac:dyDescent="0.35">
      <c r="A26" s="83"/>
      <c r="B26" s="86"/>
      <c r="C26" s="77" t="s">
        <v>125</v>
      </c>
      <c r="D26" s="46" t="s">
        <v>87</v>
      </c>
      <c r="E26" s="46">
        <v>0.5</v>
      </c>
      <c r="F26" s="37">
        <f>F25*E26</f>
        <v>1075</v>
      </c>
      <c r="G26" s="42"/>
      <c r="H26" s="42"/>
      <c r="I26" s="279">
        <v>0</v>
      </c>
      <c r="J26" s="42">
        <f>I26*F26</f>
        <v>0</v>
      </c>
      <c r="K26" s="42"/>
      <c r="L26" s="42"/>
      <c r="M26" s="42">
        <f>J26</f>
        <v>0</v>
      </c>
    </row>
    <row r="27" spans="1:13" x14ac:dyDescent="0.35">
      <c r="A27" s="46"/>
      <c r="B27" s="46"/>
      <c r="C27" s="77" t="s">
        <v>126</v>
      </c>
      <c r="D27" s="46" t="s">
        <v>87</v>
      </c>
      <c r="E27" s="46">
        <v>0.25</v>
      </c>
      <c r="F27" s="37">
        <f>F25*E27</f>
        <v>537.5</v>
      </c>
      <c r="G27" s="42"/>
      <c r="H27" s="42"/>
      <c r="I27" s="279">
        <v>0</v>
      </c>
      <c r="J27" s="42">
        <f>I27*F27</f>
        <v>0</v>
      </c>
      <c r="K27" s="42"/>
      <c r="L27" s="42"/>
      <c r="M27" s="42">
        <f>J27</f>
        <v>0</v>
      </c>
    </row>
    <row r="28" spans="1:13" x14ac:dyDescent="0.35">
      <c r="A28" s="46"/>
      <c r="B28" s="44"/>
      <c r="C28" s="77" t="s">
        <v>127</v>
      </c>
      <c r="D28" s="46" t="s">
        <v>87</v>
      </c>
      <c r="E28" s="141">
        <v>0.65</v>
      </c>
      <c r="F28" s="37">
        <f>E28*F25</f>
        <v>1397.5</v>
      </c>
      <c r="G28" s="42"/>
      <c r="H28" s="42"/>
      <c r="I28" s="279">
        <v>0</v>
      </c>
      <c r="J28" s="42">
        <f>I28*F28</f>
        <v>0</v>
      </c>
      <c r="K28" s="42"/>
      <c r="L28" s="42"/>
      <c r="M28" s="42">
        <f>J28</f>
        <v>0</v>
      </c>
    </row>
    <row r="29" spans="1:13" x14ac:dyDescent="0.35">
      <c r="A29" s="46"/>
      <c r="B29" s="44"/>
      <c r="C29" s="47" t="s">
        <v>75</v>
      </c>
      <c r="D29" s="75" t="s">
        <v>29</v>
      </c>
      <c r="E29" s="42">
        <v>0.03</v>
      </c>
      <c r="F29" s="37">
        <f>F25*E29</f>
        <v>64.5</v>
      </c>
      <c r="G29" s="42"/>
      <c r="H29" s="245"/>
      <c r="I29" s="279">
        <v>0</v>
      </c>
      <c r="J29" s="42">
        <f>I29*F29</f>
        <v>0</v>
      </c>
      <c r="K29" s="42"/>
      <c r="L29" s="42"/>
      <c r="M29" s="42">
        <f>L29+J29</f>
        <v>0</v>
      </c>
    </row>
    <row r="30" spans="1:13" ht="15" thickBot="1" x14ac:dyDescent="0.4">
      <c r="A30" s="46"/>
      <c r="B30" s="44"/>
      <c r="C30" s="47" t="s">
        <v>76</v>
      </c>
      <c r="D30" s="75" t="s">
        <v>29</v>
      </c>
      <c r="E30" s="42">
        <v>0.08</v>
      </c>
      <c r="F30" s="37">
        <f>F25*E30</f>
        <v>172</v>
      </c>
      <c r="G30" s="42"/>
      <c r="H30" s="245"/>
      <c r="I30" s="245"/>
      <c r="J30" s="42"/>
      <c r="K30" s="279">
        <v>0</v>
      </c>
      <c r="L30" s="42">
        <f>K30*F30</f>
        <v>0</v>
      </c>
      <c r="M30" s="42">
        <f>L30</f>
        <v>0</v>
      </c>
    </row>
    <row r="31" spans="1:13" ht="15" thickBot="1" x14ac:dyDescent="0.4">
      <c r="A31" s="83"/>
      <c r="B31" s="91"/>
      <c r="C31" s="92" t="s">
        <v>128</v>
      </c>
      <c r="D31" s="93"/>
      <c r="E31" s="93"/>
      <c r="F31" s="94"/>
      <c r="G31" s="281"/>
      <c r="H31" s="282">
        <f>H25</f>
        <v>0</v>
      </c>
      <c r="I31" s="282"/>
      <c r="J31" s="282">
        <f>J26+J27+J28+J29</f>
        <v>0</v>
      </c>
      <c r="K31" s="282"/>
      <c r="L31" s="282">
        <f>L30</f>
        <v>0</v>
      </c>
      <c r="M31" s="283">
        <f>L31+J31+H31</f>
        <v>0</v>
      </c>
    </row>
    <row r="32" spans="1:13" ht="52" x14ac:dyDescent="0.35">
      <c r="A32" s="49">
        <v>3</v>
      </c>
      <c r="B32" s="60" t="s">
        <v>43</v>
      </c>
      <c r="C32" s="88" t="s">
        <v>274</v>
      </c>
      <c r="D32" s="60" t="s">
        <v>73</v>
      </c>
      <c r="E32" s="126">
        <v>1</v>
      </c>
      <c r="F32" s="126">
        <v>35</v>
      </c>
      <c r="G32" s="298">
        <v>0</v>
      </c>
      <c r="H32" s="302">
        <f>G32*F32</f>
        <v>0</v>
      </c>
      <c r="I32" s="302"/>
      <c r="J32" s="302"/>
      <c r="K32" s="302"/>
      <c r="L32" s="302"/>
      <c r="M32" s="302">
        <f>H32</f>
        <v>0</v>
      </c>
    </row>
    <row r="33" spans="1:13" ht="24.75" customHeight="1" x14ac:dyDescent="0.35">
      <c r="A33" s="49"/>
      <c r="B33" s="138"/>
      <c r="C33" s="47" t="s">
        <v>275</v>
      </c>
      <c r="D33" s="65" t="s">
        <v>73</v>
      </c>
      <c r="E33" s="49">
        <v>1.03</v>
      </c>
      <c r="F33" s="49">
        <f>F32*E33</f>
        <v>36.050000000000004</v>
      </c>
      <c r="G33" s="141"/>
      <c r="H33" s="141"/>
      <c r="I33" s="279">
        <v>0</v>
      </c>
      <c r="J33" s="141">
        <f>I33*F33</f>
        <v>0</v>
      </c>
      <c r="K33" s="141"/>
      <c r="L33" s="141"/>
      <c r="M33" s="141">
        <f>J33</f>
        <v>0</v>
      </c>
    </row>
    <row r="34" spans="1:13" x14ac:dyDescent="0.35">
      <c r="A34" s="49"/>
      <c r="B34" s="49"/>
      <c r="C34" s="66" t="s">
        <v>276</v>
      </c>
      <c r="D34" s="65" t="s">
        <v>277</v>
      </c>
      <c r="E34" s="51">
        <v>1</v>
      </c>
      <c r="F34" s="49">
        <v>7</v>
      </c>
      <c r="G34" s="141"/>
      <c r="H34" s="141"/>
      <c r="I34" s="279">
        <v>0</v>
      </c>
      <c r="J34" s="141">
        <f>I34*F34</f>
        <v>0</v>
      </c>
      <c r="K34" s="141"/>
      <c r="L34" s="141"/>
      <c r="M34" s="141">
        <f>J34</f>
        <v>0</v>
      </c>
    </row>
    <row r="35" spans="1:13" ht="15" thickBot="1" x14ac:dyDescent="0.4">
      <c r="A35" s="49"/>
      <c r="B35" s="49"/>
      <c r="C35" s="80" t="s">
        <v>75</v>
      </c>
      <c r="D35" s="81" t="s">
        <v>29</v>
      </c>
      <c r="E35" s="82">
        <v>0.5</v>
      </c>
      <c r="F35" s="82">
        <f>E35*F32</f>
        <v>17.5</v>
      </c>
      <c r="G35" s="87"/>
      <c r="H35" s="246"/>
      <c r="I35" s="297">
        <v>0</v>
      </c>
      <c r="J35" s="87">
        <f>I35*F35</f>
        <v>0</v>
      </c>
      <c r="K35" s="87"/>
      <c r="L35" s="87"/>
      <c r="M35" s="87">
        <f>L35+J35</f>
        <v>0</v>
      </c>
    </row>
    <row r="36" spans="1:13" ht="15" thickBot="1" x14ac:dyDescent="0.4">
      <c r="A36" s="228"/>
      <c r="B36" s="229"/>
      <c r="C36" s="230" t="s">
        <v>278</v>
      </c>
      <c r="D36" s="231"/>
      <c r="E36" s="231"/>
      <c r="F36" s="231"/>
      <c r="G36" s="303"/>
      <c r="H36" s="303">
        <f>H32</f>
        <v>0</v>
      </c>
      <c r="I36" s="303"/>
      <c r="J36" s="303">
        <f>J33+J34+J35</f>
        <v>0</v>
      </c>
      <c r="K36" s="303"/>
      <c r="L36" s="303">
        <f>L24+L31</f>
        <v>0</v>
      </c>
      <c r="M36" s="304">
        <f>J36+H36</f>
        <v>0</v>
      </c>
    </row>
    <row r="37" spans="1:13" ht="15" thickBot="1" x14ac:dyDescent="0.4">
      <c r="A37" s="108"/>
      <c r="B37" s="227"/>
      <c r="C37" s="131" t="s">
        <v>279</v>
      </c>
      <c r="D37" s="109"/>
      <c r="E37" s="132"/>
      <c r="F37" s="132"/>
      <c r="G37" s="214"/>
      <c r="H37" s="238">
        <f>H24+H31+H36</f>
        <v>0</v>
      </c>
      <c r="I37" s="238"/>
      <c r="J37" s="238">
        <f>J24+J31+J36</f>
        <v>0</v>
      </c>
      <c r="K37" s="238"/>
      <c r="L37" s="238">
        <f>L24+L31+L36</f>
        <v>0</v>
      </c>
      <c r="M37" s="287">
        <f>L37+J37+H37</f>
        <v>0</v>
      </c>
    </row>
    <row r="38" spans="1:13" ht="26.25" customHeight="1" x14ac:dyDescent="0.35">
      <c r="A38" s="95"/>
      <c r="B38" s="32"/>
      <c r="C38" s="33" t="s">
        <v>52</v>
      </c>
      <c r="D38" s="177">
        <v>0.05</v>
      </c>
      <c r="E38" s="95"/>
      <c r="F38" s="95"/>
      <c r="G38" s="182"/>
      <c r="H38" s="182"/>
      <c r="I38" s="182"/>
      <c r="J38" s="182"/>
      <c r="K38" s="182"/>
      <c r="L38" s="182"/>
      <c r="M38" s="182">
        <f>J37*D38</f>
        <v>0</v>
      </c>
    </row>
    <row r="39" spans="1:13" x14ac:dyDescent="0.35">
      <c r="A39" s="46"/>
      <c r="B39" s="46"/>
      <c r="C39" s="64" t="s">
        <v>23</v>
      </c>
      <c r="D39" s="105"/>
      <c r="E39" s="46"/>
      <c r="F39" s="46"/>
      <c r="G39" s="42"/>
      <c r="H39" s="42"/>
      <c r="I39" s="42"/>
      <c r="J39" s="42"/>
      <c r="K39" s="42"/>
      <c r="L39" s="42"/>
      <c r="M39" s="42">
        <f>M37+M38</f>
        <v>0</v>
      </c>
    </row>
    <row r="40" spans="1:13" x14ac:dyDescent="0.35">
      <c r="A40" s="49"/>
      <c r="B40" s="49"/>
      <c r="C40" s="66" t="s">
        <v>53</v>
      </c>
      <c r="D40" s="65">
        <v>0.1</v>
      </c>
      <c r="E40" s="49"/>
      <c r="F40" s="49"/>
      <c r="G40" s="141"/>
      <c r="H40" s="141"/>
      <c r="I40" s="141"/>
      <c r="J40" s="141"/>
      <c r="K40" s="141"/>
      <c r="L40" s="141"/>
      <c r="M40" s="141">
        <f>M39*D40</f>
        <v>0</v>
      </c>
    </row>
    <row r="41" spans="1:13" x14ac:dyDescent="0.35">
      <c r="A41" s="49"/>
      <c r="B41" s="49"/>
      <c r="C41" s="64" t="s">
        <v>23</v>
      </c>
      <c r="D41" s="49"/>
      <c r="E41" s="49"/>
      <c r="F41" s="49"/>
      <c r="G41" s="141"/>
      <c r="H41" s="141"/>
      <c r="I41" s="141"/>
      <c r="J41" s="141"/>
      <c r="K41" s="141"/>
      <c r="L41" s="141"/>
      <c r="M41" s="141">
        <f>M39+M40</f>
        <v>0</v>
      </c>
    </row>
    <row r="42" spans="1:13" x14ac:dyDescent="0.35">
      <c r="A42" s="106"/>
      <c r="B42" s="106"/>
      <c r="C42" s="106" t="s">
        <v>54</v>
      </c>
      <c r="D42" s="107">
        <v>0.08</v>
      </c>
      <c r="E42" s="106"/>
      <c r="F42" s="106"/>
      <c r="G42" s="288"/>
      <c r="H42" s="288"/>
      <c r="I42" s="288"/>
      <c r="J42" s="288"/>
      <c r="K42" s="288"/>
      <c r="L42" s="288"/>
      <c r="M42" s="289">
        <f>M41*D42</f>
        <v>0</v>
      </c>
    </row>
    <row r="43" spans="1:13" x14ac:dyDescent="0.35">
      <c r="A43" s="49"/>
      <c r="B43" s="49"/>
      <c r="C43" s="64" t="s">
        <v>23</v>
      </c>
      <c r="D43" s="49"/>
      <c r="E43" s="49"/>
      <c r="F43" s="49"/>
      <c r="G43" s="141"/>
      <c r="H43" s="141"/>
      <c r="I43" s="141"/>
      <c r="J43" s="141"/>
      <c r="K43" s="141"/>
      <c r="L43" s="141"/>
      <c r="M43" s="141">
        <f>M41+M42</f>
        <v>0</v>
      </c>
    </row>
    <row r="44" spans="1:13" x14ac:dyDescent="0.35">
      <c r="B44" s="30"/>
      <c r="C44" s="33" t="s">
        <v>24</v>
      </c>
      <c r="D44" s="177">
        <v>0.03</v>
      </c>
      <c r="E44" s="95"/>
      <c r="F44" s="95"/>
      <c r="G44" s="182"/>
      <c r="H44" s="182"/>
      <c r="I44" s="182"/>
      <c r="J44" s="182"/>
      <c r="K44" s="182"/>
      <c r="L44" s="182"/>
      <c r="M44" s="182">
        <f>M43*D44</f>
        <v>0</v>
      </c>
    </row>
    <row r="45" spans="1:13" x14ac:dyDescent="0.35">
      <c r="A45" s="169"/>
      <c r="B45" s="169"/>
      <c r="C45" s="203" t="s">
        <v>23</v>
      </c>
      <c r="D45" s="46"/>
      <c r="E45" s="46"/>
      <c r="F45" s="46"/>
      <c r="G45" s="42"/>
      <c r="H45" s="42"/>
      <c r="I45" s="42"/>
      <c r="J45" s="42"/>
      <c r="K45" s="42"/>
      <c r="L45" s="42"/>
      <c r="M45" s="42">
        <f>M43+M44</f>
        <v>0</v>
      </c>
    </row>
    <row r="46" spans="1:13" ht="26.5" thickBot="1" x14ac:dyDescent="0.4">
      <c r="A46" s="119"/>
      <c r="B46" s="30"/>
      <c r="C46" s="128" t="s">
        <v>25</v>
      </c>
      <c r="D46" s="123">
        <v>0.18</v>
      </c>
      <c r="E46" s="83"/>
      <c r="F46" s="83"/>
      <c r="G46" s="87"/>
      <c r="H46" s="87"/>
      <c r="I46" s="87"/>
      <c r="J46" s="87"/>
      <c r="K46" s="87"/>
      <c r="L46" s="87"/>
      <c r="M46" s="87">
        <f>M45*D46</f>
        <v>0</v>
      </c>
    </row>
    <row r="47" spans="1:13" ht="15" thickBot="1" x14ac:dyDescent="0.4">
      <c r="A47" s="212"/>
      <c r="B47" s="223"/>
      <c r="C47" s="110" t="s">
        <v>26</v>
      </c>
      <c r="D47" s="109"/>
      <c r="E47" s="109"/>
      <c r="F47" s="109"/>
      <c r="G47" s="214"/>
      <c r="H47" s="214"/>
      <c r="I47" s="214"/>
      <c r="J47" s="214"/>
      <c r="K47" s="214"/>
      <c r="L47" s="214"/>
      <c r="M47" s="287">
        <f>M45+M46</f>
        <v>0</v>
      </c>
    </row>
  </sheetData>
  <sheetProtection algorithmName="SHA-512" hashValue="UTgZtRxwiYA+Zolor2lfnkzbpjJ8w0UeTvzy7p76hboae32H0q92LkYbWc7LflxBUlZXQFC/MDBgyj/E0iVZcg==" saltValue="kFiNnHLvfBjsSNpy/qtHDg==" spinCount="100000" sheet="1" objects="1" scenarios="1"/>
  <mergeCells count="16">
    <mergeCell ref="G9:H9"/>
    <mergeCell ref="I9:J9"/>
    <mergeCell ref="K9:L9"/>
    <mergeCell ref="M9:M10"/>
    <mergeCell ref="A9:A10"/>
    <mergeCell ref="B9:B10"/>
    <mergeCell ref="C9:C10"/>
    <mergeCell ref="D9:D10"/>
    <mergeCell ref="E9:E10"/>
    <mergeCell ref="F9:F10"/>
    <mergeCell ref="B7:F7"/>
    <mergeCell ref="B1:L1"/>
    <mergeCell ref="C3:L3"/>
    <mergeCell ref="C4:L4"/>
    <mergeCell ref="B6:E6"/>
    <mergeCell ref="K6:L6"/>
  </mergeCells>
  <pageMargins left="0.95" right="0.45" top="0.5" bottom="0.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8AE4-350C-4901-84FA-D47398BC3482}">
  <dimension ref="A2:M46"/>
  <sheetViews>
    <sheetView zoomScale="70" zoomScaleNormal="70" workbookViewId="0">
      <selection activeCell="G13" sqref="G13"/>
    </sheetView>
  </sheetViews>
  <sheetFormatPr defaultRowHeight="14.5" x14ac:dyDescent="0.35"/>
  <cols>
    <col min="1" max="1" width="3.81640625" customWidth="1"/>
    <col min="2" max="2" width="4.26953125" customWidth="1"/>
    <col min="3" max="3" width="30" customWidth="1"/>
    <col min="4" max="4" width="8.26953125" customWidth="1"/>
    <col min="5" max="5" width="7.1796875" customWidth="1"/>
    <col min="7" max="7" width="7.81640625" customWidth="1"/>
    <col min="8" max="8" width="10" customWidth="1"/>
    <col min="9" max="9" width="6.81640625" customWidth="1"/>
    <col min="10" max="10" width="10.1796875" customWidth="1"/>
    <col min="11" max="11" width="6.7265625" bestFit="1" customWidth="1"/>
    <col min="12" max="12" width="10.1796875" customWidth="1"/>
    <col min="13" max="13" width="10.81640625" customWidth="1"/>
  </cols>
  <sheetData>
    <row r="2" spans="1:13" ht="27" customHeight="1" x14ac:dyDescent="0.35">
      <c r="A2" s="1"/>
      <c r="B2" s="327" t="s">
        <v>92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13" x14ac:dyDescent="0.35">
      <c r="A3" s="9"/>
      <c r="B3" s="9"/>
      <c r="C3" s="9"/>
      <c r="D3" s="9"/>
      <c r="E3" s="9"/>
      <c r="F3" s="9"/>
      <c r="G3" s="9"/>
      <c r="H3" s="9"/>
      <c r="I3" s="9"/>
    </row>
    <row r="4" spans="1:13" x14ac:dyDescent="0.35">
      <c r="A4" s="10"/>
      <c r="B4" s="336" t="s">
        <v>17</v>
      </c>
      <c r="C4" s="336"/>
      <c r="D4" s="336"/>
      <c r="E4" s="336"/>
      <c r="F4" s="336"/>
      <c r="G4" s="336"/>
      <c r="H4" s="336"/>
      <c r="I4" s="336"/>
      <c r="J4" s="336"/>
      <c r="K4" s="336"/>
    </row>
    <row r="5" spans="1:13" x14ac:dyDescent="0.35">
      <c r="A5" s="11"/>
      <c r="B5" s="335" t="s">
        <v>253</v>
      </c>
      <c r="C5" s="335"/>
      <c r="D5" s="335"/>
      <c r="E5" s="335"/>
      <c r="F5" s="335"/>
      <c r="G5" s="335"/>
      <c r="H5" s="335"/>
      <c r="I5" s="335"/>
      <c r="J5" s="335"/>
      <c r="K5" s="335"/>
      <c r="L5" s="11"/>
    </row>
    <row r="6" spans="1:13" x14ac:dyDescent="0.35">
      <c r="A6" s="11"/>
      <c r="B6" s="11"/>
      <c r="C6" s="11"/>
      <c r="D6" s="11"/>
      <c r="E6" s="11"/>
      <c r="F6" s="11"/>
      <c r="G6" s="11"/>
      <c r="H6" s="11"/>
      <c r="I6" s="11"/>
    </row>
    <row r="7" spans="1:13" x14ac:dyDescent="0.35">
      <c r="A7" s="13"/>
      <c r="B7" s="328" t="s">
        <v>2</v>
      </c>
      <c r="C7" s="328"/>
      <c r="D7" s="328"/>
      <c r="E7" s="328"/>
      <c r="F7" s="328"/>
      <c r="H7" s="14"/>
      <c r="I7" s="14"/>
      <c r="L7" s="15">
        <f>M46</f>
        <v>0</v>
      </c>
      <c r="M7" s="1" t="s">
        <v>288</v>
      </c>
    </row>
    <row r="8" spans="1:13" ht="15" thickBot="1" x14ac:dyDescent="0.4">
      <c r="A8" s="13"/>
      <c r="B8" s="329" t="s">
        <v>283</v>
      </c>
      <c r="C8" s="329"/>
      <c r="D8" s="329"/>
      <c r="E8" s="329"/>
      <c r="F8" s="329"/>
      <c r="G8" s="2"/>
      <c r="H8" s="2"/>
      <c r="I8" s="2"/>
      <c r="J8" s="2"/>
      <c r="K8" s="2"/>
      <c r="L8" s="70"/>
      <c r="M8" s="1"/>
    </row>
    <row r="9" spans="1:13" x14ac:dyDescent="0.35">
      <c r="A9" s="331" t="s">
        <v>3</v>
      </c>
      <c r="B9" s="333" t="s">
        <v>31</v>
      </c>
      <c r="C9" s="333" t="s">
        <v>32</v>
      </c>
      <c r="D9" s="333" t="s">
        <v>33</v>
      </c>
      <c r="E9" s="333" t="s">
        <v>34</v>
      </c>
      <c r="F9" s="338" t="s">
        <v>35</v>
      </c>
      <c r="G9" s="337" t="s">
        <v>36</v>
      </c>
      <c r="H9" s="337"/>
      <c r="I9" s="337" t="s">
        <v>37</v>
      </c>
      <c r="J9" s="337"/>
      <c r="K9" s="321" t="s">
        <v>38</v>
      </c>
      <c r="L9" s="321"/>
      <c r="M9" s="322" t="s">
        <v>39</v>
      </c>
    </row>
    <row r="10" spans="1:13" ht="65.25" customHeight="1" thickBot="1" x14ac:dyDescent="0.4">
      <c r="A10" s="351"/>
      <c r="B10" s="352"/>
      <c r="C10" s="352"/>
      <c r="D10" s="352"/>
      <c r="E10" s="352"/>
      <c r="F10" s="353"/>
      <c r="G10" s="143" t="s">
        <v>40</v>
      </c>
      <c r="H10" s="143" t="s">
        <v>41</v>
      </c>
      <c r="I10" s="143" t="s">
        <v>40</v>
      </c>
      <c r="J10" s="143" t="s">
        <v>41</v>
      </c>
      <c r="K10" s="143" t="s">
        <v>40</v>
      </c>
      <c r="L10" s="143" t="s">
        <v>41</v>
      </c>
      <c r="M10" s="350"/>
    </row>
    <row r="11" spans="1:13" ht="15" thickBot="1" x14ac:dyDescent="0.4">
      <c r="A11" s="21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3">
        <v>7</v>
      </c>
      <c r="H11" s="23">
        <v>8</v>
      </c>
      <c r="I11" s="23">
        <v>9</v>
      </c>
      <c r="J11" s="23">
        <v>10</v>
      </c>
      <c r="K11" s="23">
        <v>11</v>
      </c>
      <c r="L11" s="23">
        <v>12</v>
      </c>
      <c r="M11" s="24">
        <v>13</v>
      </c>
    </row>
    <row r="12" spans="1:13" x14ac:dyDescent="0.35">
      <c r="A12" s="25"/>
      <c r="B12" s="26"/>
      <c r="C12" s="27" t="s">
        <v>130</v>
      </c>
      <c r="D12" s="28"/>
      <c r="E12" s="29"/>
      <c r="F12" s="29"/>
      <c r="G12" s="29"/>
      <c r="H12" s="29"/>
      <c r="I12" s="29"/>
      <c r="J12" s="30"/>
      <c r="K12" s="30"/>
      <c r="L12" s="30"/>
      <c r="M12" s="30"/>
    </row>
    <row r="13" spans="1:13" ht="36" customHeight="1" x14ac:dyDescent="0.35">
      <c r="A13" s="99">
        <v>1</v>
      </c>
      <c r="B13" s="32" t="s">
        <v>43</v>
      </c>
      <c r="C13" s="72" t="s">
        <v>136</v>
      </c>
      <c r="D13" s="32" t="s">
        <v>45</v>
      </c>
      <c r="E13" s="36">
        <v>1</v>
      </c>
      <c r="F13" s="36">
        <v>45</v>
      </c>
      <c r="G13" s="278">
        <v>0</v>
      </c>
      <c r="H13" s="286">
        <f>G13*F13</f>
        <v>0</v>
      </c>
      <c r="I13" s="244"/>
      <c r="J13" s="182"/>
      <c r="K13" s="182"/>
      <c r="L13" s="182"/>
      <c r="M13" s="182">
        <f>H13</f>
        <v>0</v>
      </c>
    </row>
    <row r="14" spans="1:13" ht="26" x14ac:dyDescent="0.35">
      <c r="A14" s="46"/>
      <c r="B14" s="38"/>
      <c r="C14" s="47" t="s">
        <v>131</v>
      </c>
      <c r="D14" s="75" t="s">
        <v>45</v>
      </c>
      <c r="E14" s="37">
        <v>1</v>
      </c>
      <c r="F14" s="37">
        <v>24</v>
      </c>
      <c r="G14" s="279">
        <v>0</v>
      </c>
      <c r="H14" s="42">
        <f>F14*G14</f>
        <v>0</v>
      </c>
      <c r="I14" s="42"/>
      <c r="J14" s="42"/>
      <c r="K14" s="42"/>
      <c r="L14" s="42"/>
      <c r="M14" s="42">
        <f>H14</f>
        <v>0</v>
      </c>
    </row>
    <row r="15" spans="1:13" x14ac:dyDescent="0.35">
      <c r="A15" s="46"/>
      <c r="B15" s="38"/>
      <c r="C15" s="77" t="s">
        <v>64</v>
      </c>
      <c r="D15" s="75" t="s">
        <v>66</v>
      </c>
      <c r="E15" s="46">
        <v>1.02</v>
      </c>
      <c r="F15" s="37">
        <f>E15*F14</f>
        <v>24.48</v>
      </c>
      <c r="G15" s="42"/>
      <c r="H15" s="245"/>
      <c r="I15" s="279">
        <v>0</v>
      </c>
      <c r="J15" s="42">
        <f>I15*F15</f>
        <v>0</v>
      </c>
      <c r="K15" s="42"/>
      <c r="L15" s="42"/>
      <c r="M15" s="42">
        <f>J15</f>
        <v>0</v>
      </c>
    </row>
    <row r="16" spans="1:13" x14ac:dyDescent="0.35">
      <c r="A16" s="46"/>
      <c r="B16" s="38"/>
      <c r="C16" s="47" t="s">
        <v>67</v>
      </c>
      <c r="D16" s="75" t="s">
        <v>66</v>
      </c>
      <c r="E16" s="46">
        <v>1.02</v>
      </c>
      <c r="F16" s="37">
        <f>E16*3</f>
        <v>3.06</v>
      </c>
      <c r="G16" s="42"/>
      <c r="H16" s="245"/>
      <c r="I16" s="279">
        <v>0</v>
      </c>
      <c r="J16" s="42">
        <f>I16*F16</f>
        <v>0</v>
      </c>
      <c r="K16" s="42"/>
      <c r="L16" s="42"/>
      <c r="M16" s="42">
        <f>J16</f>
        <v>0</v>
      </c>
    </row>
    <row r="17" spans="1:13" x14ac:dyDescent="0.35">
      <c r="A17" s="46"/>
      <c r="B17" s="38"/>
      <c r="C17" s="47" t="s">
        <v>69</v>
      </c>
      <c r="D17" s="44" t="s">
        <v>45</v>
      </c>
      <c r="E17" s="46">
        <v>1.02</v>
      </c>
      <c r="F17" s="37">
        <f>E17*F13</f>
        <v>45.9</v>
      </c>
      <c r="G17" s="245"/>
      <c r="H17" s="42"/>
      <c r="I17" s="279">
        <v>0</v>
      </c>
      <c r="J17" s="42">
        <f>I17*F17</f>
        <v>0</v>
      </c>
      <c r="K17" s="42"/>
      <c r="L17" s="42"/>
      <c r="M17" s="42">
        <f>J17</f>
        <v>0</v>
      </c>
    </row>
    <row r="18" spans="1:13" x14ac:dyDescent="0.35">
      <c r="A18" s="99"/>
      <c r="B18" s="32"/>
      <c r="C18" s="47" t="s">
        <v>75</v>
      </c>
      <c r="D18" s="75" t="s">
        <v>29</v>
      </c>
      <c r="E18" s="37">
        <v>0.5</v>
      </c>
      <c r="F18" s="37">
        <f>E18*F13</f>
        <v>22.5</v>
      </c>
      <c r="G18" s="42"/>
      <c r="H18" s="245"/>
      <c r="I18" s="279">
        <v>0</v>
      </c>
      <c r="J18" s="42">
        <f>I18*F18</f>
        <v>0</v>
      </c>
      <c r="K18" s="42"/>
      <c r="L18" s="42"/>
      <c r="M18" s="42">
        <f>L18+J18</f>
        <v>0</v>
      </c>
    </row>
    <row r="19" spans="1:13" x14ac:dyDescent="0.35">
      <c r="A19" s="46"/>
      <c r="B19" s="38"/>
      <c r="C19" s="47" t="s">
        <v>76</v>
      </c>
      <c r="D19" s="75" t="s">
        <v>29</v>
      </c>
      <c r="E19" s="37">
        <v>0.3</v>
      </c>
      <c r="F19" s="37">
        <f>E19*F13</f>
        <v>13.5</v>
      </c>
      <c r="G19" s="42"/>
      <c r="H19" s="245"/>
      <c r="I19" s="245"/>
      <c r="J19" s="42"/>
      <c r="K19" s="279">
        <v>0</v>
      </c>
      <c r="L19" s="42">
        <f>K19*F19</f>
        <v>0</v>
      </c>
      <c r="M19" s="42">
        <f>L19</f>
        <v>0</v>
      </c>
    </row>
    <row r="20" spans="1:13" ht="26" x14ac:dyDescent="0.35">
      <c r="A20" s="49">
        <v>2</v>
      </c>
      <c r="B20" s="49" t="s">
        <v>43</v>
      </c>
      <c r="C20" s="98" t="s">
        <v>132</v>
      </c>
      <c r="D20" s="144"/>
      <c r="E20" s="49"/>
      <c r="F20" s="52"/>
      <c r="G20" s="141"/>
      <c r="H20" s="141"/>
      <c r="I20" s="141"/>
      <c r="J20" s="141"/>
      <c r="K20" s="141"/>
      <c r="L20" s="141"/>
      <c r="M20" s="141"/>
    </row>
    <row r="21" spans="1:13" x14ac:dyDescent="0.35">
      <c r="A21" s="49"/>
      <c r="B21" s="49"/>
      <c r="C21" s="47" t="s">
        <v>134</v>
      </c>
      <c r="D21" s="144" t="s">
        <v>45</v>
      </c>
      <c r="E21" s="51">
        <v>1</v>
      </c>
      <c r="F21" s="36">
        <v>2</v>
      </c>
      <c r="G21" s="278">
        <v>0</v>
      </c>
      <c r="H21" s="286">
        <f>G21*F21</f>
        <v>0</v>
      </c>
      <c r="I21" s="244"/>
      <c r="J21" s="182"/>
      <c r="K21" s="182"/>
      <c r="L21" s="182"/>
      <c r="M21" s="182">
        <f>H21</f>
        <v>0</v>
      </c>
    </row>
    <row r="22" spans="1:13" ht="26" x14ac:dyDescent="0.35">
      <c r="A22" s="46"/>
      <c r="B22" s="38"/>
      <c r="C22" s="47" t="s">
        <v>133</v>
      </c>
      <c r="D22" s="75" t="s">
        <v>45</v>
      </c>
      <c r="E22" s="37">
        <v>1</v>
      </c>
      <c r="F22" s="36">
        <v>2.1</v>
      </c>
      <c r="G22" s="278">
        <v>0</v>
      </c>
      <c r="H22" s="286">
        <f>G22*F22</f>
        <v>0</v>
      </c>
      <c r="I22" s="244"/>
      <c r="J22" s="182"/>
      <c r="K22" s="182"/>
      <c r="L22" s="182"/>
      <c r="M22" s="182">
        <f>H22</f>
        <v>0</v>
      </c>
    </row>
    <row r="23" spans="1:13" ht="26" x14ac:dyDescent="0.35">
      <c r="A23" s="46"/>
      <c r="B23" s="44"/>
      <c r="C23" s="47" t="s">
        <v>135</v>
      </c>
      <c r="D23" s="75" t="s">
        <v>45</v>
      </c>
      <c r="E23" s="37">
        <v>1</v>
      </c>
      <c r="F23" s="37">
        <v>2.2000000000000002</v>
      </c>
      <c r="G23" s="279">
        <v>0</v>
      </c>
      <c r="H23" s="42">
        <f>F23*G23</f>
        <v>0</v>
      </c>
      <c r="I23" s="42"/>
      <c r="J23" s="42"/>
      <c r="K23" s="42"/>
      <c r="L23" s="42"/>
      <c r="M23" s="42">
        <f>H23</f>
        <v>0</v>
      </c>
    </row>
    <row r="24" spans="1:13" x14ac:dyDescent="0.35">
      <c r="A24" s="46"/>
      <c r="B24" s="44"/>
      <c r="C24" s="77" t="s">
        <v>64</v>
      </c>
      <c r="D24" s="75" t="s">
        <v>45</v>
      </c>
      <c r="E24" s="46">
        <v>1.02</v>
      </c>
      <c r="F24" s="42">
        <f>E24*F23</f>
        <v>2.2440000000000002</v>
      </c>
      <c r="G24" s="42"/>
      <c r="H24" s="245"/>
      <c r="I24" s="279">
        <v>0</v>
      </c>
      <c r="J24" s="42">
        <f t="shared" ref="J24:J29" si="0">I24*F24</f>
        <v>0</v>
      </c>
      <c r="K24" s="42"/>
      <c r="L24" s="42"/>
      <c r="M24" s="42">
        <f>J24</f>
        <v>0</v>
      </c>
    </row>
    <row r="25" spans="1:13" x14ac:dyDescent="0.35">
      <c r="A25" s="46"/>
      <c r="B25" s="44"/>
      <c r="C25" s="47" t="s">
        <v>67</v>
      </c>
      <c r="D25" s="75" t="s">
        <v>66</v>
      </c>
      <c r="E25" s="46">
        <v>1.02</v>
      </c>
      <c r="F25" s="42">
        <f>E25*0.5</f>
        <v>0.51</v>
      </c>
      <c r="G25" s="42"/>
      <c r="H25" s="42"/>
      <c r="I25" s="279">
        <v>0</v>
      </c>
      <c r="J25" s="42">
        <f t="shared" si="0"/>
        <v>0</v>
      </c>
      <c r="K25" s="42"/>
      <c r="L25" s="42"/>
      <c r="M25" s="42">
        <f>J25</f>
        <v>0</v>
      </c>
    </row>
    <row r="26" spans="1:13" x14ac:dyDescent="0.35">
      <c r="A26" s="49"/>
      <c r="B26" s="49"/>
      <c r="C26" s="47" t="s">
        <v>68</v>
      </c>
      <c r="D26" s="75" t="s">
        <v>66</v>
      </c>
      <c r="E26" s="46">
        <v>1.02</v>
      </c>
      <c r="F26" s="89">
        <f>E26*0.04</f>
        <v>4.0800000000000003E-2</v>
      </c>
      <c r="G26" s="42"/>
      <c r="H26" s="42"/>
      <c r="I26" s="279">
        <v>0</v>
      </c>
      <c r="J26" s="42">
        <f t="shared" si="0"/>
        <v>0</v>
      </c>
      <c r="K26" s="42"/>
      <c r="L26" s="42"/>
      <c r="M26" s="42">
        <f>J26</f>
        <v>0</v>
      </c>
    </row>
    <row r="27" spans="1:13" x14ac:dyDescent="0.35">
      <c r="A27" s="46"/>
      <c r="B27" s="44"/>
      <c r="C27" s="47" t="s">
        <v>69</v>
      </c>
      <c r="D27" s="44" t="s">
        <v>45</v>
      </c>
      <c r="E27" s="42">
        <v>1.02</v>
      </c>
      <c r="F27" s="141">
        <f>(F21+F22)*E27</f>
        <v>4.1819999999999995</v>
      </c>
      <c r="G27" s="42"/>
      <c r="H27" s="245"/>
      <c r="I27" s="279">
        <v>0</v>
      </c>
      <c r="J27" s="42">
        <f t="shared" si="0"/>
        <v>0</v>
      </c>
      <c r="K27" s="42"/>
      <c r="L27" s="42"/>
      <c r="M27" s="42">
        <f>J27</f>
        <v>0</v>
      </c>
    </row>
    <row r="28" spans="1:13" x14ac:dyDescent="0.35">
      <c r="A28" s="46"/>
      <c r="B28" s="46"/>
      <c r="C28" s="47" t="s">
        <v>72</v>
      </c>
      <c r="D28" s="75" t="s">
        <v>73</v>
      </c>
      <c r="E28" s="37">
        <v>1</v>
      </c>
      <c r="F28" s="37">
        <v>10</v>
      </c>
      <c r="G28" s="42"/>
      <c r="H28" s="245"/>
      <c r="I28" s="279">
        <v>0</v>
      </c>
      <c r="J28" s="42">
        <f t="shared" si="0"/>
        <v>0</v>
      </c>
      <c r="K28" s="42"/>
      <c r="L28" s="42"/>
      <c r="M28" s="42">
        <f>J27</f>
        <v>0</v>
      </c>
    </row>
    <row r="29" spans="1:13" x14ac:dyDescent="0.35">
      <c r="A29" s="49"/>
      <c r="B29" s="121"/>
      <c r="C29" s="47" t="s">
        <v>75</v>
      </c>
      <c r="D29" s="75" t="s">
        <v>29</v>
      </c>
      <c r="E29" s="37">
        <v>1</v>
      </c>
      <c r="F29" s="37">
        <f>(F21+F22)*E29</f>
        <v>4.0999999999999996</v>
      </c>
      <c r="G29" s="42"/>
      <c r="H29" s="245"/>
      <c r="I29" s="279">
        <v>0</v>
      </c>
      <c r="J29" s="42">
        <f t="shared" si="0"/>
        <v>0</v>
      </c>
      <c r="K29" s="42"/>
      <c r="L29" s="42"/>
      <c r="M29" s="42">
        <f>L29+J29</f>
        <v>0</v>
      </c>
    </row>
    <row r="30" spans="1:13" x14ac:dyDescent="0.35">
      <c r="A30" s="4"/>
      <c r="B30" s="4"/>
      <c r="C30" s="47" t="s">
        <v>76</v>
      </c>
      <c r="D30" s="75" t="s">
        <v>29</v>
      </c>
      <c r="E30" s="37">
        <v>0.5</v>
      </c>
      <c r="F30" s="37">
        <f>(F21+F22)*E30</f>
        <v>2.0499999999999998</v>
      </c>
      <c r="G30" s="42"/>
      <c r="H30" s="245"/>
      <c r="I30" s="245"/>
      <c r="J30" s="42"/>
      <c r="K30" s="279">
        <v>0</v>
      </c>
      <c r="L30" s="42">
        <f>K30*F30</f>
        <v>0</v>
      </c>
      <c r="M30" s="42">
        <f>L30</f>
        <v>0</v>
      </c>
    </row>
    <row r="31" spans="1:13" x14ac:dyDescent="0.35">
      <c r="A31" s="99">
        <v>3</v>
      </c>
      <c r="B31" s="32" t="s">
        <v>43</v>
      </c>
      <c r="C31" s="72" t="s">
        <v>85</v>
      </c>
      <c r="D31" s="32" t="s">
        <v>73</v>
      </c>
      <c r="E31" s="36">
        <v>1</v>
      </c>
      <c r="F31" s="36">
        <v>220</v>
      </c>
      <c r="G31" s="278">
        <v>0</v>
      </c>
      <c r="H31" s="35">
        <f>F31*G31</f>
        <v>0</v>
      </c>
      <c r="I31" s="244"/>
      <c r="J31" s="182"/>
      <c r="K31" s="182"/>
      <c r="L31" s="182"/>
      <c r="M31" s="182">
        <f>H31</f>
        <v>0</v>
      </c>
    </row>
    <row r="32" spans="1:13" x14ac:dyDescent="0.35">
      <c r="A32" s="46"/>
      <c r="B32" s="101"/>
      <c r="C32" s="47" t="s">
        <v>86</v>
      </c>
      <c r="D32" s="75" t="s">
        <v>87</v>
      </c>
      <c r="E32" s="37">
        <v>2</v>
      </c>
      <c r="F32" s="37">
        <f>E32*F31</f>
        <v>440</v>
      </c>
      <c r="G32" s="42"/>
      <c r="H32" s="245"/>
      <c r="I32" s="279">
        <v>0</v>
      </c>
      <c r="J32" s="42">
        <f>I32*F32</f>
        <v>0</v>
      </c>
      <c r="K32" s="42"/>
      <c r="L32" s="42"/>
      <c r="M32" s="42">
        <f>J32</f>
        <v>0</v>
      </c>
    </row>
    <row r="33" spans="1:13" x14ac:dyDescent="0.35">
      <c r="A33" s="46"/>
      <c r="B33" s="101"/>
      <c r="C33" s="47" t="s">
        <v>88</v>
      </c>
      <c r="D33" s="75" t="s">
        <v>89</v>
      </c>
      <c r="E33" s="46">
        <v>2.3E-2</v>
      </c>
      <c r="F33" s="42">
        <f>E33*F31</f>
        <v>5.0599999999999996</v>
      </c>
      <c r="G33" s="42"/>
      <c r="H33" s="245"/>
      <c r="I33" s="279">
        <v>0</v>
      </c>
      <c r="J33" s="42">
        <f>I33*F33</f>
        <v>0</v>
      </c>
      <c r="K33" s="42"/>
      <c r="L33" s="42"/>
      <c r="M33" s="42">
        <f>J33</f>
        <v>0</v>
      </c>
    </row>
    <row r="34" spans="1:13" x14ac:dyDescent="0.35">
      <c r="A34" s="99"/>
      <c r="B34" s="32"/>
      <c r="C34" s="47" t="s">
        <v>75</v>
      </c>
      <c r="D34" s="75" t="s">
        <v>29</v>
      </c>
      <c r="E34" s="42">
        <v>0.05</v>
      </c>
      <c r="F34" s="37">
        <f>E34*F31</f>
        <v>11</v>
      </c>
      <c r="G34" s="42"/>
      <c r="H34" s="245"/>
      <c r="I34" s="279">
        <v>0</v>
      </c>
      <c r="J34" s="42">
        <f>I34*F34</f>
        <v>0</v>
      </c>
      <c r="K34" s="42"/>
      <c r="L34" s="42"/>
      <c r="M34" s="42">
        <f>L34+J34</f>
        <v>0</v>
      </c>
    </row>
    <row r="35" spans="1:13" ht="15" thickBot="1" x14ac:dyDescent="0.4">
      <c r="A35" s="46"/>
      <c r="B35" s="38"/>
      <c r="C35" s="47" t="s">
        <v>76</v>
      </c>
      <c r="D35" s="75" t="s">
        <v>29</v>
      </c>
      <c r="E35" s="42">
        <v>0.08</v>
      </c>
      <c r="F35" s="37">
        <f>E35*F31</f>
        <v>17.600000000000001</v>
      </c>
      <c r="G35" s="42"/>
      <c r="H35" s="245"/>
      <c r="I35" s="245"/>
      <c r="J35" s="42"/>
      <c r="K35" s="279">
        <v>0</v>
      </c>
      <c r="L35" s="42">
        <f>K35*F35</f>
        <v>0</v>
      </c>
      <c r="M35" s="42">
        <f>L35</f>
        <v>0</v>
      </c>
    </row>
    <row r="36" spans="1:13" ht="15" thickBot="1" x14ac:dyDescent="0.4">
      <c r="A36" s="145"/>
      <c r="B36" s="109"/>
      <c r="C36" s="110" t="s">
        <v>137</v>
      </c>
      <c r="D36" s="146"/>
      <c r="E36" s="146"/>
      <c r="F36" s="146"/>
      <c r="G36" s="238"/>
      <c r="H36" s="238">
        <f>H13+H14+H21+H22+H23+H31</f>
        <v>0</v>
      </c>
      <c r="I36" s="238"/>
      <c r="J36" s="238">
        <f>J15+J16+J17+J18+J24+J25+J26+J27+J28+J29+J32+J33+J34</f>
        <v>0</v>
      </c>
      <c r="K36" s="238"/>
      <c r="L36" s="238">
        <f>L19+L30+L35</f>
        <v>0</v>
      </c>
      <c r="M36" s="287">
        <f>L36+J36+H36</f>
        <v>0</v>
      </c>
    </row>
    <row r="37" spans="1:13" ht="26" x14ac:dyDescent="0.35">
      <c r="A37" s="46"/>
      <c r="B37" s="44"/>
      <c r="C37" s="77" t="s">
        <v>52</v>
      </c>
      <c r="D37" s="105">
        <v>0.05</v>
      </c>
      <c r="E37" s="46"/>
      <c r="F37" s="46"/>
      <c r="G37" s="42"/>
      <c r="H37" s="42"/>
      <c r="I37" s="42"/>
      <c r="J37" s="42"/>
      <c r="K37" s="42"/>
      <c r="L37" s="42"/>
      <c r="M37" s="42">
        <f>J36*D37</f>
        <v>0</v>
      </c>
    </row>
    <row r="38" spans="1:13" x14ac:dyDescent="0.35">
      <c r="A38" s="46"/>
      <c r="B38" s="46"/>
      <c r="C38" s="64" t="s">
        <v>23</v>
      </c>
      <c r="D38" s="105"/>
      <c r="E38" s="46"/>
      <c r="F38" s="46"/>
      <c r="G38" s="42"/>
      <c r="H38" s="42"/>
      <c r="I38" s="42"/>
      <c r="J38" s="42"/>
      <c r="K38" s="42"/>
      <c r="L38" s="42"/>
      <c r="M38" s="42">
        <f>M36+M37</f>
        <v>0</v>
      </c>
    </row>
    <row r="39" spans="1:13" x14ac:dyDescent="0.35">
      <c r="A39" s="46"/>
      <c r="B39" s="49"/>
      <c r="C39" s="66" t="s">
        <v>53</v>
      </c>
      <c r="D39" s="65">
        <v>0.1</v>
      </c>
      <c r="E39" s="49"/>
      <c r="F39" s="49"/>
      <c r="G39" s="141"/>
      <c r="H39" s="141"/>
      <c r="I39" s="141"/>
      <c r="J39" s="141"/>
      <c r="K39" s="141"/>
      <c r="L39" s="141"/>
      <c r="M39" s="141">
        <f>M38*D39</f>
        <v>0</v>
      </c>
    </row>
    <row r="40" spans="1:13" x14ac:dyDescent="0.35">
      <c r="A40" s="46"/>
      <c r="B40" s="49"/>
      <c r="C40" s="64" t="s">
        <v>23</v>
      </c>
      <c r="D40" s="49"/>
      <c r="E40" s="49"/>
      <c r="F40" s="49"/>
      <c r="G40" s="141"/>
      <c r="H40" s="141"/>
      <c r="I40" s="141"/>
      <c r="J40" s="141"/>
      <c r="K40" s="141"/>
      <c r="L40" s="141"/>
      <c r="M40" s="141">
        <f>M38+M39</f>
        <v>0</v>
      </c>
    </row>
    <row r="41" spans="1:13" x14ac:dyDescent="0.35">
      <c r="A41" s="76"/>
      <c r="B41" s="106"/>
      <c r="C41" s="106" t="s">
        <v>54</v>
      </c>
      <c r="D41" s="107">
        <v>0.08</v>
      </c>
      <c r="E41" s="106"/>
      <c r="F41" s="106"/>
      <c r="G41" s="288"/>
      <c r="H41" s="288"/>
      <c r="I41" s="288"/>
      <c r="J41" s="288"/>
      <c r="K41" s="288"/>
      <c r="L41" s="288"/>
      <c r="M41" s="289">
        <f>M40*D41</f>
        <v>0</v>
      </c>
    </row>
    <row r="42" spans="1:13" x14ac:dyDescent="0.35">
      <c r="A42" s="46"/>
      <c r="B42" s="49"/>
      <c r="C42" s="64" t="s">
        <v>23</v>
      </c>
      <c r="D42" s="49"/>
      <c r="E42" s="49"/>
      <c r="F42" s="49"/>
      <c r="G42" s="141"/>
      <c r="H42" s="141"/>
      <c r="I42" s="141"/>
      <c r="J42" s="141"/>
      <c r="K42" s="141"/>
      <c r="L42" s="141"/>
      <c r="M42" s="141">
        <f>M40+M41</f>
        <v>0</v>
      </c>
    </row>
    <row r="43" spans="1:13" x14ac:dyDescent="0.35">
      <c r="B43" s="30"/>
      <c r="C43" s="33" t="s">
        <v>24</v>
      </c>
      <c r="D43" s="177">
        <v>0.03</v>
      </c>
      <c r="E43" s="95"/>
      <c r="F43" s="95"/>
      <c r="G43" s="182"/>
      <c r="H43" s="182"/>
      <c r="I43" s="182"/>
      <c r="J43" s="182"/>
      <c r="K43" s="182"/>
      <c r="L43" s="182"/>
      <c r="M43" s="182">
        <f>M42*D43</f>
        <v>0</v>
      </c>
    </row>
    <row r="44" spans="1:13" x14ac:dyDescent="0.35">
      <c r="A44" s="169"/>
      <c r="B44" s="169"/>
      <c r="C44" s="203" t="s">
        <v>23</v>
      </c>
      <c r="D44" s="46"/>
      <c r="E44" s="46"/>
      <c r="F44" s="46"/>
      <c r="G44" s="42"/>
      <c r="H44" s="42"/>
      <c r="I44" s="42"/>
      <c r="J44" s="42"/>
      <c r="K44" s="42"/>
      <c r="L44" s="42"/>
      <c r="M44" s="42">
        <f>M42+M43</f>
        <v>0</v>
      </c>
    </row>
    <row r="45" spans="1:13" ht="26.5" thickBot="1" x14ac:dyDescent="0.4">
      <c r="A45" s="119"/>
      <c r="B45" s="30"/>
      <c r="C45" s="128" t="s">
        <v>25</v>
      </c>
      <c r="D45" s="123">
        <v>0.18</v>
      </c>
      <c r="E45" s="83"/>
      <c r="F45" s="83"/>
      <c r="G45" s="87"/>
      <c r="H45" s="87"/>
      <c r="I45" s="87"/>
      <c r="J45" s="87"/>
      <c r="K45" s="87"/>
      <c r="L45" s="87"/>
      <c r="M45" s="87">
        <f>M44*D45</f>
        <v>0</v>
      </c>
    </row>
    <row r="46" spans="1:13" ht="15" thickBot="1" x14ac:dyDescent="0.4">
      <c r="A46" s="212"/>
      <c r="B46" s="223"/>
      <c r="C46" s="110" t="s">
        <v>26</v>
      </c>
      <c r="D46" s="109"/>
      <c r="E46" s="109"/>
      <c r="F46" s="109"/>
      <c r="G46" s="214"/>
      <c r="H46" s="214"/>
      <c r="I46" s="214"/>
      <c r="J46" s="214"/>
      <c r="K46" s="214"/>
      <c r="L46" s="214"/>
      <c r="M46" s="287">
        <f t="shared" ref="M46" si="1">M44+M45</f>
        <v>0</v>
      </c>
    </row>
  </sheetData>
  <sheetProtection algorithmName="SHA-512" hashValue="qv1OYb+sRGwEqa2CP/1ieIgdyvJnzABFlFa3agtgjcGHiSMnRKHVZE1MabEmtpsqTEOz4Cj08De0TnLWpPH3mg==" saltValue="3asgSNULq5yNFLbSn+981A==" spinCount="100000" sheet="1" objects="1" scenarios="1"/>
  <mergeCells count="15">
    <mergeCell ref="G9:H9"/>
    <mergeCell ref="I9:J9"/>
    <mergeCell ref="K9:L9"/>
    <mergeCell ref="M9:M10"/>
    <mergeCell ref="A9:A10"/>
    <mergeCell ref="B9:B10"/>
    <mergeCell ref="C9:C10"/>
    <mergeCell ref="D9:D10"/>
    <mergeCell ref="E9:E10"/>
    <mergeCell ref="F9:F10"/>
    <mergeCell ref="B2:L2"/>
    <mergeCell ref="B4:K4"/>
    <mergeCell ref="B5:K5"/>
    <mergeCell ref="B7:F7"/>
    <mergeCell ref="B8:F8"/>
  </mergeCells>
  <pageMargins left="0.95" right="0.45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8FDE5-4B7D-4D9F-A4E6-C44E971F3ABD}">
  <dimension ref="A1:M75"/>
  <sheetViews>
    <sheetView zoomScale="70" zoomScaleNormal="70" workbookViewId="0">
      <selection activeCell="G10" sqref="G10"/>
    </sheetView>
  </sheetViews>
  <sheetFormatPr defaultRowHeight="14.5" x14ac:dyDescent="0.35"/>
  <cols>
    <col min="1" max="1" width="4.453125" customWidth="1"/>
    <col min="2" max="2" width="4" customWidth="1"/>
    <col min="3" max="3" width="32" customWidth="1"/>
    <col min="4" max="4" width="7.54296875" customWidth="1"/>
    <col min="5" max="5" width="7.453125" customWidth="1"/>
    <col min="6" max="6" width="7.26953125" customWidth="1"/>
    <col min="7" max="7" width="7.7265625" customWidth="1"/>
    <col min="8" max="8" width="10.7265625" customWidth="1"/>
    <col min="9" max="9" width="7.26953125" customWidth="1"/>
    <col min="10" max="10" width="11.81640625" customWidth="1"/>
    <col min="11" max="11" width="7.1796875" customWidth="1"/>
    <col min="12" max="12" width="11" customWidth="1"/>
    <col min="13" max="13" width="12" customWidth="1"/>
  </cols>
  <sheetData>
    <row r="1" spans="1:13" ht="30.75" customHeight="1" x14ac:dyDescent="0.35">
      <c r="A1" s="11"/>
      <c r="B1" s="327" t="s">
        <v>92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11"/>
    </row>
    <row r="2" spans="1:13" x14ac:dyDescent="0.35">
      <c r="A2" s="336" t="s">
        <v>19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</row>
    <row r="3" spans="1:13" x14ac:dyDescent="0.35">
      <c r="A3" s="335" t="s">
        <v>303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</row>
    <row r="4" spans="1:13" x14ac:dyDescent="0.35">
      <c r="A4" s="355"/>
      <c r="B4" s="328" t="s">
        <v>2</v>
      </c>
      <c r="C4" s="328"/>
      <c r="D4" s="328"/>
      <c r="E4" s="328"/>
      <c r="F4" s="356"/>
      <c r="G4" s="357"/>
      <c r="H4" s="14"/>
      <c r="I4" s="14"/>
      <c r="J4" s="14"/>
      <c r="K4" s="358">
        <f>M75</f>
        <v>0</v>
      </c>
      <c r="L4" s="359"/>
      <c r="M4" s="183" t="s">
        <v>288</v>
      </c>
    </row>
    <row r="5" spans="1:13" ht="15" thickBot="1" x14ac:dyDescent="0.4">
      <c r="A5" s="355"/>
      <c r="B5" s="329" t="s">
        <v>285</v>
      </c>
      <c r="C5" s="329"/>
      <c r="D5" s="329"/>
      <c r="E5" s="329"/>
      <c r="F5" s="329"/>
      <c r="G5" s="17"/>
      <c r="H5" s="17"/>
      <c r="I5" s="17"/>
      <c r="J5" s="17"/>
      <c r="K5" s="17"/>
      <c r="L5" s="17"/>
      <c r="M5" s="17"/>
    </row>
    <row r="6" spans="1:13" ht="27" customHeight="1" x14ac:dyDescent="0.35">
      <c r="A6" s="341" t="s">
        <v>3</v>
      </c>
      <c r="B6" s="333" t="s">
        <v>31</v>
      </c>
      <c r="C6" s="333" t="s">
        <v>32</v>
      </c>
      <c r="D6" s="333" t="s">
        <v>33</v>
      </c>
      <c r="E6" s="333" t="s">
        <v>34</v>
      </c>
      <c r="F6" s="338" t="s">
        <v>35</v>
      </c>
      <c r="G6" s="337" t="s">
        <v>36</v>
      </c>
      <c r="H6" s="337"/>
      <c r="I6" s="337" t="s">
        <v>37</v>
      </c>
      <c r="J6" s="337"/>
      <c r="K6" s="321" t="s">
        <v>38</v>
      </c>
      <c r="L6" s="321"/>
      <c r="M6" s="322" t="s">
        <v>39</v>
      </c>
    </row>
    <row r="7" spans="1:13" ht="54" customHeight="1" x14ac:dyDescent="0.35">
      <c r="A7" s="340"/>
      <c r="B7" s="334"/>
      <c r="C7" s="334"/>
      <c r="D7" s="334"/>
      <c r="E7" s="334"/>
      <c r="F7" s="339"/>
      <c r="G7" s="137" t="s">
        <v>40</v>
      </c>
      <c r="H7" s="137" t="s">
        <v>41</v>
      </c>
      <c r="I7" s="137" t="s">
        <v>40</v>
      </c>
      <c r="J7" s="137" t="s">
        <v>41</v>
      </c>
      <c r="K7" s="137" t="s">
        <v>40</v>
      </c>
      <c r="L7" s="137" t="s">
        <v>41</v>
      </c>
      <c r="M7" s="323"/>
    </row>
    <row r="8" spans="1:13" ht="15" thickBot="1" x14ac:dyDescent="0.4">
      <c r="A8" s="220">
        <v>1</v>
      </c>
      <c r="B8" s="221">
        <v>2</v>
      </c>
      <c r="C8" s="221">
        <v>3</v>
      </c>
      <c r="D8" s="221">
        <v>4</v>
      </c>
      <c r="E8" s="221">
        <v>5</v>
      </c>
      <c r="F8" s="221">
        <v>6</v>
      </c>
      <c r="G8" s="221">
        <v>7</v>
      </c>
      <c r="H8" s="221">
        <v>8</v>
      </c>
      <c r="I8" s="221">
        <v>9</v>
      </c>
      <c r="J8" s="221">
        <v>10</v>
      </c>
      <c r="K8" s="221">
        <v>11</v>
      </c>
      <c r="L8" s="221">
        <v>12</v>
      </c>
      <c r="M8" s="222">
        <v>13</v>
      </c>
    </row>
    <row r="9" spans="1:13" ht="26" x14ac:dyDescent="0.35">
      <c r="A9" s="76"/>
      <c r="B9" s="150"/>
      <c r="C9" s="135" t="s">
        <v>138</v>
      </c>
      <c r="D9" s="137"/>
      <c r="E9" s="49"/>
      <c r="F9" s="76"/>
      <c r="G9" s="46"/>
      <c r="H9" s="46"/>
      <c r="I9" s="46"/>
      <c r="J9" s="46"/>
      <c r="K9" s="46"/>
      <c r="L9" s="46"/>
      <c r="M9" s="46"/>
    </row>
    <row r="10" spans="1:13" x14ac:dyDescent="0.35">
      <c r="A10" s="46">
        <v>1</v>
      </c>
      <c r="B10" s="179" t="s">
        <v>139</v>
      </c>
      <c r="C10" s="140" t="s">
        <v>140</v>
      </c>
      <c r="D10" s="44" t="s">
        <v>141</v>
      </c>
      <c r="E10" s="51">
        <v>1</v>
      </c>
      <c r="F10" s="37">
        <v>1</v>
      </c>
      <c r="G10" s="279">
        <v>0</v>
      </c>
      <c r="H10" s="42">
        <f>G10*F10</f>
        <v>0</v>
      </c>
      <c r="I10" s="42"/>
      <c r="J10" s="42"/>
      <c r="K10" s="42"/>
      <c r="L10" s="42"/>
      <c r="M10" s="42">
        <f>H10</f>
        <v>0</v>
      </c>
    </row>
    <row r="11" spans="1:13" x14ac:dyDescent="0.35">
      <c r="A11" s="46"/>
      <c r="B11" s="152"/>
      <c r="C11" s="153" t="s">
        <v>142</v>
      </c>
      <c r="D11" s="154" t="s">
        <v>71</v>
      </c>
      <c r="E11" s="155">
        <v>1</v>
      </c>
      <c r="F11" s="155">
        <f>E11*F10</f>
        <v>1</v>
      </c>
      <c r="G11" s="42"/>
      <c r="H11" s="42"/>
      <c r="I11" s="279">
        <v>0</v>
      </c>
      <c r="J11" s="42">
        <f>I11*F11</f>
        <v>0</v>
      </c>
      <c r="K11" s="42"/>
      <c r="L11" s="42"/>
      <c r="M11" s="42">
        <f>J11+H11</f>
        <v>0</v>
      </c>
    </row>
    <row r="12" spans="1:13" x14ac:dyDescent="0.35">
      <c r="A12" s="46"/>
      <c r="B12" s="151"/>
      <c r="C12" s="77" t="s">
        <v>143</v>
      </c>
      <c r="D12" s="44" t="s">
        <v>71</v>
      </c>
      <c r="E12" s="51">
        <v>1</v>
      </c>
      <c r="F12" s="37">
        <v>3</v>
      </c>
      <c r="G12" s="245"/>
      <c r="H12" s="42"/>
      <c r="I12" s="279">
        <v>0</v>
      </c>
      <c r="J12" s="42">
        <f>I12*F12</f>
        <v>0</v>
      </c>
      <c r="K12" s="42"/>
      <c r="L12" s="42"/>
      <c r="M12" s="42">
        <f>J12</f>
        <v>0</v>
      </c>
    </row>
    <row r="13" spans="1:13" ht="26.25" customHeight="1" x14ac:dyDescent="0.35">
      <c r="A13" s="46">
        <v>2</v>
      </c>
      <c r="B13" s="152"/>
      <c r="C13" s="140" t="s">
        <v>144</v>
      </c>
      <c r="D13" s="44"/>
      <c r="E13" s="51"/>
      <c r="F13" s="37"/>
      <c r="G13" s="245"/>
      <c r="H13" s="42"/>
      <c r="I13" s="42"/>
      <c r="J13" s="42"/>
      <c r="K13" s="42"/>
      <c r="L13" s="42"/>
      <c r="M13" s="42"/>
    </row>
    <row r="14" spans="1:13" x14ac:dyDescent="0.35">
      <c r="A14" s="46"/>
      <c r="B14" s="151"/>
      <c r="C14" s="77" t="s">
        <v>145</v>
      </c>
      <c r="D14" s="46" t="s">
        <v>146</v>
      </c>
      <c r="E14" s="51">
        <v>1</v>
      </c>
      <c r="F14" s="37">
        <v>11</v>
      </c>
      <c r="G14" s="279">
        <v>0</v>
      </c>
      <c r="H14" s="42">
        <f>G14*F14</f>
        <v>0</v>
      </c>
      <c r="I14" s="42"/>
      <c r="J14" s="42"/>
      <c r="K14" s="42"/>
      <c r="L14" s="42"/>
      <c r="M14" s="42">
        <f>H14</f>
        <v>0</v>
      </c>
    </row>
    <row r="15" spans="1:13" x14ac:dyDescent="0.35">
      <c r="A15" s="46"/>
      <c r="B15" s="151"/>
      <c r="C15" s="77" t="s">
        <v>147</v>
      </c>
      <c r="D15" s="44" t="s">
        <v>71</v>
      </c>
      <c r="E15" s="51">
        <v>1</v>
      </c>
      <c r="F15" s="37">
        <v>1</v>
      </c>
      <c r="G15" s="245"/>
      <c r="H15" s="42"/>
      <c r="I15" s="279">
        <v>0</v>
      </c>
      <c r="J15" s="42">
        <f t="shared" ref="J15:J26" si="0">I15*F15</f>
        <v>0</v>
      </c>
      <c r="K15" s="42"/>
      <c r="L15" s="42"/>
      <c r="M15" s="42">
        <f>J15</f>
        <v>0</v>
      </c>
    </row>
    <row r="16" spans="1:13" ht="27" customHeight="1" x14ac:dyDescent="0.35">
      <c r="A16" s="46"/>
      <c r="B16" s="151"/>
      <c r="C16" s="77" t="s">
        <v>148</v>
      </c>
      <c r="D16" s="44" t="s">
        <v>95</v>
      </c>
      <c r="E16" s="51">
        <v>1</v>
      </c>
      <c r="F16" s="37">
        <v>85</v>
      </c>
      <c r="G16" s="279">
        <v>0</v>
      </c>
      <c r="H16" s="42">
        <f t="shared" ref="H16:H22" si="1">G16*F16</f>
        <v>0</v>
      </c>
      <c r="I16" s="279">
        <v>0</v>
      </c>
      <c r="J16" s="42">
        <f t="shared" si="0"/>
        <v>0</v>
      </c>
      <c r="K16" s="42"/>
      <c r="L16" s="42"/>
      <c r="M16" s="42">
        <f>J16+H16</f>
        <v>0</v>
      </c>
    </row>
    <row r="17" spans="1:13" ht="30" customHeight="1" x14ac:dyDescent="0.35">
      <c r="A17" s="46"/>
      <c r="B17" s="150"/>
      <c r="C17" s="77" t="s">
        <v>149</v>
      </c>
      <c r="D17" s="44" t="s">
        <v>95</v>
      </c>
      <c r="E17" s="51">
        <v>1</v>
      </c>
      <c r="F17" s="37">
        <v>25</v>
      </c>
      <c r="G17" s="279">
        <v>0</v>
      </c>
      <c r="H17" s="42">
        <f t="shared" si="1"/>
        <v>0</v>
      </c>
      <c r="I17" s="279">
        <v>0</v>
      </c>
      <c r="J17" s="42">
        <f t="shared" si="0"/>
        <v>0</v>
      </c>
      <c r="K17" s="42"/>
      <c r="L17" s="42"/>
      <c r="M17" s="42">
        <f>J17+H17</f>
        <v>0</v>
      </c>
    </row>
    <row r="18" spans="1:13" ht="25.5" customHeight="1" x14ac:dyDescent="0.35">
      <c r="A18" s="46"/>
      <c r="B18" s="151"/>
      <c r="C18" s="77" t="s">
        <v>150</v>
      </c>
      <c r="D18" s="44" t="s">
        <v>95</v>
      </c>
      <c r="E18" s="51">
        <v>1</v>
      </c>
      <c r="F18" s="37">
        <v>50</v>
      </c>
      <c r="G18" s="279">
        <v>0</v>
      </c>
      <c r="H18" s="42">
        <f t="shared" si="1"/>
        <v>0</v>
      </c>
      <c r="I18" s="279">
        <v>0</v>
      </c>
      <c r="J18" s="42">
        <f t="shared" si="0"/>
        <v>0</v>
      </c>
      <c r="K18" s="42"/>
      <c r="L18" s="42"/>
      <c r="M18" s="42">
        <f>J18+H18</f>
        <v>0</v>
      </c>
    </row>
    <row r="19" spans="1:13" ht="29.25" customHeight="1" x14ac:dyDescent="0.35">
      <c r="A19" s="46"/>
      <c r="B19" s="157"/>
      <c r="C19" s="77" t="s">
        <v>151</v>
      </c>
      <c r="D19" s="44" t="s">
        <v>95</v>
      </c>
      <c r="E19" s="51">
        <v>1</v>
      </c>
      <c r="F19" s="37">
        <v>50</v>
      </c>
      <c r="G19" s="279">
        <v>0</v>
      </c>
      <c r="H19" s="42">
        <f t="shared" si="1"/>
        <v>0</v>
      </c>
      <c r="I19" s="279">
        <v>0</v>
      </c>
      <c r="J19" s="42">
        <f t="shared" si="0"/>
        <v>0</v>
      </c>
      <c r="K19" s="42"/>
      <c r="L19" s="42"/>
      <c r="M19" s="42">
        <f>J19+H19</f>
        <v>0</v>
      </c>
    </row>
    <row r="20" spans="1:13" ht="26" x14ac:dyDescent="0.35">
      <c r="A20" s="46"/>
      <c r="B20" s="158"/>
      <c r="C20" s="77" t="s">
        <v>152</v>
      </c>
      <c r="D20" s="44" t="s">
        <v>95</v>
      </c>
      <c r="E20" s="51">
        <v>1</v>
      </c>
      <c r="F20" s="37">
        <v>50</v>
      </c>
      <c r="G20" s="279">
        <v>0</v>
      </c>
      <c r="H20" s="42">
        <f t="shared" si="1"/>
        <v>0</v>
      </c>
      <c r="I20" s="279">
        <v>0</v>
      </c>
      <c r="J20" s="42">
        <f t="shared" si="0"/>
        <v>0</v>
      </c>
      <c r="K20" s="42"/>
      <c r="L20" s="42"/>
      <c r="M20" s="42">
        <f>J20+G20</f>
        <v>0</v>
      </c>
    </row>
    <row r="21" spans="1:13" ht="26" x14ac:dyDescent="0.35">
      <c r="A21" s="49"/>
      <c r="B21" s="151"/>
      <c r="C21" s="77" t="s">
        <v>153</v>
      </c>
      <c r="D21" s="44" t="s">
        <v>95</v>
      </c>
      <c r="E21" s="51">
        <v>1</v>
      </c>
      <c r="F21" s="37">
        <v>50</v>
      </c>
      <c r="G21" s="279">
        <v>0</v>
      </c>
      <c r="H21" s="42">
        <f t="shared" si="1"/>
        <v>0</v>
      </c>
      <c r="I21" s="279">
        <v>0</v>
      </c>
      <c r="J21" s="42">
        <f t="shared" si="0"/>
        <v>0</v>
      </c>
      <c r="K21" s="42"/>
      <c r="L21" s="42"/>
      <c r="M21" s="42">
        <f>J21+H21</f>
        <v>0</v>
      </c>
    </row>
    <row r="22" spans="1:13" ht="26" x14ac:dyDescent="0.35">
      <c r="A22" s="49"/>
      <c r="B22" s="159"/>
      <c r="C22" s="77" t="s">
        <v>154</v>
      </c>
      <c r="D22" s="44" t="s">
        <v>95</v>
      </c>
      <c r="E22" s="51">
        <v>1</v>
      </c>
      <c r="F22" s="37">
        <v>50</v>
      </c>
      <c r="G22" s="279">
        <v>0</v>
      </c>
      <c r="H22" s="42">
        <f t="shared" si="1"/>
        <v>0</v>
      </c>
      <c r="I22" s="279">
        <v>0</v>
      </c>
      <c r="J22" s="42">
        <f t="shared" si="0"/>
        <v>0</v>
      </c>
      <c r="K22" s="42"/>
      <c r="L22" s="42"/>
      <c r="M22" s="42">
        <f>J22+H22</f>
        <v>0</v>
      </c>
    </row>
    <row r="23" spans="1:13" x14ac:dyDescent="0.35">
      <c r="A23" s="49"/>
      <c r="B23" s="157"/>
      <c r="C23" s="47" t="s">
        <v>155</v>
      </c>
      <c r="D23" s="75" t="s">
        <v>71</v>
      </c>
      <c r="E23" s="37">
        <v>1</v>
      </c>
      <c r="F23" s="37">
        <v>200</v>
      </c>
      <c r="G23" s="42"/>
      <c r="H23" s="245"/>
      <c r="I23" s="279">
        <v>0</v>
      </c>
      <c r="J23" s="42">
        <f t="shared" si="0"/>
        <v>0</v>
      </c>
      <c r="K23" s="42"/>
      <c r="L23" s="42"/>
      <c r="M23" s="42">
        <f>J23</f>
        <v>0</v>
      </c>
    </row>
    <row r="24" spans="1:13" x14ac:dyDescent="0.35">
      <c r="A24" s="46"/>
      <c r="B24" s="151"/>
      <c r="C24" s="77" t="s">
        <v>156</v>
      </c>
      <c r="D24" s="44" t="s">
        <v>141</v>
      </c>
      <c r="E24" s="51">
        <v>1</v>
      </c>
      <c r="F24" s="37">
        <v>1</v>
      </c>
      <c r="G24" s="42"/>
      <c r="H24" s="42"/>
      <c r="I24" s="279">
        <v>0</v>
      </c>
      <c r="J24" s="42">
        <f t="shared" si="0"/>
        <v>0</v>
      </c>
      <c r="K24" s="42"/>
      <c r="L24" s="42"/>
      <c r="M24" s="42">
        <f>J24</f>
        <v>0</v>
      </c>
    </row>
    <row r="25" spans="1:13" x14ac:dyDescent="0.35">
      <c r="A25" s="46"/>
      <c r="B25" s="152"/>
      <c r="C25" s="77" t="s">
        <v>157</v>
      </c>
      <c r="D25" s="44" t="s">
        <v>71</v>
      </c>
      <c r="E25" s="51">
        <v>1</v>
      </c>
      <c r="F25" s="37">
        <v>4</v>
      </c>
      <c r="G25" s="279">
        <v>0</v>
      </c>
      <c r="H25" s="42">
        <f>G25*F25</f>
        <v>0</v>
      </c>
      <c r="I25" s="279">
        <v>0</v>
      </c>
      <c r="J25" s="42">
        <f t="shared" si="0"/>
        <v>0</v>
      </c>
      <c r="K25" s="42"/>
      <c r="L25" s="42"/>
      <c r="M25" s="42">
        <f>J25+H25</f>
        <v>0</v>
      </c>
    </row>
    <row r="26" spans="1:13" x14ac:dyDescent="0.35">
      <c r="A26" s="95"/>
      <c r="B26" s="160"/>
      <c r="C26" s="39" t="s">
        <v>75</v>
      </c>
      <c r="D26" s="79" t="s">
        <v>29</v>
      </c>
      <c r="E26" s="182">
        <v>0.05</v>
      </c>
      <c r="F26" s="126">
        <f>(F16+F17+F18+F19+F20+F21+F22)*E26</f>
        <v>18</v>
      </c>
      <c r="G26" s="182"/>
      <c r="H26" s="247"/>
      <c r="I26" s="298">
        <v>0</v>
      </c>
      <c r="J26" s="182">
        <f t="shared" si="0"/>
        <v>0</v>
      </c>
      <c r="K26" s="182"/>
      <c r="L26" s="182"/>
      <c r="M26" s="182">
        <f>L26+J26</f>
        <v>0</v>
      </c>
    </row>
    <row r="27" spans="1:13" ht="15" thickBot="1" x14ac:dyDescent="0.4">
      <c r="A27" s="97"/>
      <c r="B27" s="161"/>
      <c r="C27" s="80" t="s">
        <v>76</v>
      </c>
      <c r="D27" s="81" t="s">
        <v>29</v>
      </c>
      <c r="E27" s="87">
        <v>0.02</v>
      </c>
      <c r="F27" s="126">
        <f>(F16+F17+F18+F19+F20+F21+F22)*E27</f>
        <v>7.2</v>
      </c>
      <c r="G27" s="87"/>
      <c r="H27" s="246"/>
      <c r="I27" s="246"/>
      <c r="J27" s="87"/>
      <c r="K27" s="297">
        <v>0</v>
      </c>
      <c r="L27" s="87">
        <f>K27*F27</f>
        <v>0</v>
      </c>
      <c r="M27" s="87">
        <f>L27</f>
        <v>0</v>
      </c>
    </row>
    <row r="28" spans="1:13" ht="15" thickBot="1" x14ac:dyDescent="0.4">
      <c r="A28" s="46"/>
      <c r="B28" s="162"/>
      <c r="C28" s="92" t="s">
        <v>119</v>
      </c>
      <c r="D28" s="102"/>
      <c r="E28" s="56"/>
      <c r="F28" s="102"/>
      <c r="G28" s="282"/>
      <c r="H28" s="282">
        <f>H10+H14+H16+H17+H18+H19+H20+H21+H22+H25</f>
        <v>0</v>
      </c>
      <c r="I28" s="282"/>
      <c r="J28" s="282">
        <f>J11+J12+J15+J16+J17+J18+J19+J20+J21+J22+J23+J24+J25+J26</f>
        <v>0</v>
      </c>
      <c r="K28" s="282"/>
      <c r="L28" s="282">
        <f>L27</f>
        <v>0</v>
      </c>
      <c r="M28" s="283">
        <f>L28+J28+H28</f>
        <v>0</v>
      </c>
    </row>
    <row r="29" spans="1:13" ht="29.25" customHeight="1" x14ac:dyDescent="0.35">
      <c r="A29" s="46">
        <v>3</v>
      </c>
      <c r="B29" s="179" t="s">
        <v>139</v>
      </c>
      <c r="C29" s="140" t="s">
        <v>158</v>
      </c>
      <c r="D29" s="44" t="s">
        <v>141</v>
      </c>
      <c r="E29" s="51">
        <v>1</v>
      </c>
      <c r="F29" s="37">
        <v>4</v>
      </c>
      <c r="G29" s="279">
        <v>0</v>
      </c>
      <c r="H29" s="42">
        <f>G29*F29</f>
        <v>0</v>
      </c>
      <c r="I29" s="42"/>
      <c r="J29" s="42"/>
      <c r="K29" s="42"/>
      <c r="L29" s="42"/>
      <c r="M29" s="42">
        <f>H29</f>
        <v>0</v>
      </c>
    </row>
    <row r="30" spans="1:13" x14ac:dyDescent="0.35">
      <c r="A30" s="46"/>
      <c r="B30" s="151"/>
      <c r="C30" s="153" t="s">
        <v>159</v>
      </c>
      <c r="D30" s="154" t="s">
        <v>71</v>
      </c>
      <c r="E30" s="155">
        <v>1</v>
      </c>
      <c r="F30" s="155">
        <v>4</v>
      </c>
      <c r="G30" s="42"/>
      <c r="H30" s="42"/>
      <c r="I30" s="279">
        <v>0</v>
      </c>
      <c r="J30" s="42">
        <f>I30*F30</f>
        <v>0</v>
      </c>
      <c r="K30" s="42"/>
      <c r="L30" s="42"/>
      <c r="M30" s="42">
        <f>J30+H30</f>
        <v>0</v>
      </c>
    </row>
    <row r="31" spans="1:13" x14ac:dyDescent="0.35">
      <c r="A31" s="46"/>
      <c r="B31" s="151"/>
      <c r="C31" s="47" t="s">
        <v>160</v>
      </c>
      <c r="D31" s="138" t="s">
        <v>71</v>
      </c>
      <c r="E31" s="51">
        <v>1</v>
      </c>
      <c r="F31" s="51">
        <v>4</v>
      </c>
      <c r="G31" s="141"/>
      <c r="H31" s="141"/>
      <c r="I31" s="279">
        <v>0</v>
      </c>
      <c r="J31" s="42">
        <f>I31*F31</f>
        <v>0</v>
      </c>
      <c r="K31" s="42"/>
      <c r="L31" s="42"/>
      <c r="M31" s="42">
        <f>J31</f>
        <v>0</v>
      </c>
    </row>
    <row r="32" spans="1:13" x14ac:dyDescent="0.35">
      <c r="A32" s="46"/>
      <c r="B32" s="151"/>
      <c r="C32" s="47" t="s">
        <v>161</v>
      </c>
      <c r="D32" s="75" t="s">
        <v>71</v>
      </c>
      <c r="E32" s="51">
        <v>1</v>
      </c>
      <c r="F32" s="51">
        <v>4</v>
      </c>
      <c r="G32" s="305"/>
      <c r="H32" s="42"/>
      <c r="I32" s="279">
        <v>0</v>
      </c>
      <c r="J32" s="42">
        <f>I32*F32</f>
        <v>0</v>
      </c>
      <c r="K32" s="42"/>
      <c r="L32" s="42"/>
      <c r="M32" s="42">
        <f>J32</f>
        <v>0</v>
      </c>
    </row>
    <row r="33" spans="1:13" x14ac:dyDescent="0.35">
      <c r="A33" s="46"/>
      <c r="B33" s="151"/>
      <c r="C33" s="77" t="s">
        <v>162</v>
      </c>
      <c r="D33" s="46" t="s">
        <v>45</v>
      </c>
      <c r="E33" s="51">
        <v>1</v>
      </c>
      <c r="F33" s="37">
        <v>85</v>
      </c>
      <c r="G33" s="279">
        <v>0</v>
      </c>
      <c r="H33" s="42">
        <f>G33*F33</f>
        <v>0</v>
      </c>
      <c r="I33" s="42"/>
      <c r="J33" s="42"/>
      <c r="K33" s="42"/>
      <c r="L33" s="42"/>
      <c r="M33" s="42">
        <f>H33</f>
        <v>0</v>
      </c>
    </row>
    <row r="34" spans="1:13" x14ac:dyDescent="0.35">
      <c r="A34" s="46"/>
      <c r="B34" s="151"/>
      <c r="C34" s="47" t="s">
        <v>163</v>
      </c>
      <c r="D34" s="75" t="s">
        <v>45</v>
      </c>
      <c r="E34" s="37">
        <v>1</v>
      </c>
      <c r="F34" s="37">
        <v>40</v>
      </c>
      <c r="G34" s="279">
        <v>0</v>
      </c>
      <c r="H34" s="42">
        <f>G34*F34</f>
        <v>0</v>
      </c>
      <c r="I34" s="279">
        <v>0</v>
      </c>
      <c r="J34" s="42">
        <f>F34*I34</f>
        <v>0</v>
      </c>
      <c r="K34" s="42"/>
      <c r="L34" s="42"/>
      <c r="M34" s="42">
        <f>J34+H34</f>
        <v>0</v>
      </c>
    </row>
    <row r="35" spans="1:13" x14ac:dyDescent="0.35">
      <c r="A35" s="46"/>
      <c r="B35" s="151"/>
      <c r="C35" s="47" t="s">
        <v>164</v>
      </c>
      <c r="D35" s="75" t="s">
        <v>45</v>
      </c>
      <c r="E35" s="37">
        <v>1</v>
      </c>
      <c r="F35" s="37">
        <v>35</v>
      </c>
      <c r="G35" s="279">
        <v>0</v>
      </c>
      <c r="H35" s="42">
        <f>G35*F35</f>
        <v>0</v>
      </c>
      <c r="I35" s="42"/>
      <c r="J35" s="42"/>
      <c r="K35" s="42"/>
      <c r="L35" s="42"/>
      <c r="M35" s="42">
        <f>H35</f>
        <v>0</v>
      </c>
    </row>
    <row r="36" spans="1:13" x14ac:dyDescent="0.35">
      <c r="A36" s="46">
        <v>4</v>
      </c>
      <c r="B36" s="179" t="s">
        <v>139</v>
      </c>
      <c r="C36" s="98" t="s">
        <v>165</v>
      </c>
      <c r="D36" s="75"/>
      <c r="E36" s="37"/>
      <c r="F36" s="37"/>
      <c r="G36" s="42"/>
      <c r="H36" s="245"/>
      <c r="I36" s="245"/>
      <c r="J36" s="42"/>
      <c r="K36" s="42"/>
      <c r="L36" s="42"/>
      <c r="M36" s="42"/>
    </row>
    <row r="37" spans="1:13" x14ac:dyDescent="0.35">
      <c r="A37" s="46"/>
      <c r="B37" s="150"/>
      <c r="C37" s="77" t="s">
        <v>166</v>
      </c>
      <c r="D37" s="46" t="s">
        <v>95</v>
      </c>
      <c r="E37" s="51">
        <v>1</v>
      </c>
      <c r="F37" s="46">
        <v>150</v>
      </c>
      <c r="G37" s="279">
        <v>0</v>
      </c>
      <c r="H37" s="42">
        <f>G37*F37</f>
        <v>0</v>
      </c>
      <c r="I37" s="279">
        <v>0</v>
      </c>
      <c r="J37" s="42">
        <f t="shared" ref="J37:J42" si="2">I37*F37</f>
        <v>0</v>
      </c>
      <c r="K37" s="42"/>
      <c r="L37" s="42"/>
      <c r="M37" s="42">
        <f>J37+H37</f>
        <v>0</v>
      </c>
    </row>
    <row r="38" spans="1:13" x14ac:dyDescent="0.35">
      <c r="A38" s="46"/>
      <c r="B38" s="151"/>
      <c r="C38" s="77" t="s">
        <v>167</v>
      </c>
      <c r="D38" s="46" t="s">
        <v>95</v>
      </c>
      <c r="E38" s="51">
        <v>1</v>
      </c>
      <c r="F38" s="46">
        <v>50</v>
      </c>
      <c r="G38" s="279">
        <v>0</v>
      </c>
      <c r="H38" s="42">
        <f>G38*F38</f>
        <v>0</v>
      </c>
      <c r="I38" s="279">
        <v>0</v>
      </c>
      <c r="J38" s="42">
        <f t="shared" si="2"/>
        <v>0</v>
      </c>
      <c r="K38" s="42"/>
      <c r="L38" s="42"/>
      <c r="M38" s="42">
        <f>J38*H38</f>
        <v>0</v>
      </c>
    </row>
    <row r="39" spans="1:13" x14ac:dyDescent="0.35">
      <c r="A39" s="46"/>
      <c r="B39" s="157"/>
      <c r="C39" s="77" t="s">
        <v>168</v>
      </c>
      <c r="D39" s="46" t="s">
        <v>95</v>
      </c>
      <c r="E39" s="51">
        <v>1</v>
      </c>
      <c r="F39" s="46">
        <v>50</v>
      </c>
      <c r="G39" s="279">
        <v>0</v>
      </c>
      <c r="H39" s="42">
        <f>G39*F39</f>
        <v>0</v>
      </c>
      <c r="I39" s="279">
        <v>0</v>
      </c>
      <c r="J39" s="42">
        <f t="shared" si="2"/>
        <v>0</v>
      </c>
      <c r="K39" s="42"/>
      <c r="L39" s="42"/>
      <c r="M39" s="42">
        <f>J39+H39</f>
        <v>0</v>
      </c>
    </row>
    <row r="40" spans="1:13" x14ac:dyDescent="0.35">
      <c r="A40" s="49"/>
      <c r="B40" s="158"/>
      <c r="C40" s="47" t="s">
        <v>169</v>
      </c>
      <c r="D40" s="49" t="s">
        <v>71</v>
      </c>
      <c r="E40" s="51">
        <v>1</v>
      </c>
      <c r="F40" s="51">
        <v>10</v>
      </c>
      <c r="G40" s="141"/>
      <c r="H40" s="141"/>
      <c r="I40" s="279">
        <v>0</v>
      </c>
      <c r="J40" s="141">
        <f t="shared" si="2"/>
        <v>0</v>
      </c>
      <c r="K40" s="141"/>
      <c r="L40" s="141"/>
      <c r="M40" s="141">
        <f>J40</f>
        <v>0</v>
      </c>
    </row>
    <row r="41" spans="1:13" x14ac:dyDescent="0.35">
      <c r="A41" s="49"/>
      <c r="B41" s="151"/>
      <c r="C41" s="47" t="s">
        <v>170</v>
      </c>
      <c r="D41" s="49" t="s">
        <v>71</v>
      </c>
      <c r="E41" s="51">
        <v>1</v>
      </c>
      <c r="F41" s="51">
        <v>4</v>
      </c>
      <c r="G41" s="141"/>
      <c r="H41" s="141"/>
      <c r="I41" s="279">
        <v>0</v>
      </c>
      <c r="J41" s="141">
        <f t="shared" si="2"/>
        <v>0</v>
      </c>
      <c r="K41" s="141"/>
      <c r="L41" s="141"/>
      <c r="M41" s="141">
        <f>J41</f>
        <v>0</v>
      </c>
    </row>
    <row r="42" spans="1:13" x14ac:dyDescent="0.35">
      <c r="A42" s="49"/>
      <c r="B42" s="151"/>
      <c r="C42" s="47" t="s">
        <v>171</v>
      </c>
      <c r="D42" s="144" t="s">
        <v>29</v>
      </c>
      <c r="E42" s="51">
        <v>1</v>
      </c>
      <c r="F42" s="51">
        <v>100</v>
      </c>
      <c r="G42" s="141"/>
      <c r="H42" s="141"/>
      <c r="I42" s="279">
        <v>0</v>
      </c>
      <c r="J42" s="141">
        <f t="shared" si="2"/>
        <v>0</v>
      </c>
      <c r="K42" s="141"/>
      <c r="L42" s="141"/>
      <c r="M42" s="141">
        <f>J42</f>
        <v>0</v>
      </c>
    </row>
    <row r="43" spans="1:13" x14ac:dyDescent="0.35">
      <c r="A43" s="97"/>
      <c r="B43" s="150"/>
      <c r="C43" s="47" t="s">
        <v>75</v>
      </c>
      <c r="D43" s="75" t="s">
        <v>29</v>
      </c>
      <c r="E43" s="37">
        <v>0.05</v>
      </c>
      <c r="F43" s="37">
        <v>4</v>
      </c>
      <c r="G43" s="42"/>
      <c r="H43" s="245"/>
      <c r="I43" s="279">
        <v>0</v>
      </c>
      <c r="J43" s="42">
        <f>I43*F43</f>
        <v>0</v>
      </c>
      <c r="K43" s="42"/>
      <c r="L43" s="42"/>
      <c r="M43" s="42">
        <f>L43+J43</f>
        <v>0</v>
      </c>
    </row>
    <row r="44" spans="1:13" ht="15" thickBot="1" x14ac:dyDescent="0.4">
      <c r="A44" s="76"/>
      <c r="B44" s="163"/>
      <c r="C44" s="80" t="s">
        <v>76</v>
      </c>
      <c r="D44" s="81" t="s">
        <v>29</v>
      </c>
      <c r="E44" s="87">
        <v>0.08</v>
      </c>
      <c r="F44" s="82">
        <v>5</v>
      </c>
      <c r="G44" s="87"/>
      <c r="H44" s="246"/>
      <c r="I44" s="246"/>
      <c r="J44" s="87"/>
      <c r="K44" s="297">
        <v>0</v>
      </c>
      <c r="L44" s="87">
        <f>K44*F44</f>
        <v>0</v>
      </c>
      <c r="M44" s="87">
        <f>L44</f>
        <v>0</v>
      </c>
    </row>
    <row r="45" spans="1:13" ht="15" thickBot="1" x14ac:dyDescent="0.4">
      <c r="A45" s="97"/>
      <c r="B45" s="164"/>
      <c r="C45" s="92" t="s">
        <v>290</v>
      </c>
      <c r="D45" s="103"/>
      <c r="E45" s="57"/>
      <c r="F45" s="104"/>
      <c r="G45" s="282"/>
      <c r="H45" s="282">
        <f>H29+H33+H34+H35+H37+H38+H39</f>
        <v>0</v>
      </c>
      <c r="I45" s="281"/>
      <c r="J45" s="282">
        <f>J30+J31+J32+J34+J37+J38+J39+J40+J41+J42+J43</f>
        <v>0</v>
      </c>
      <c r="K45" s="282"/>
      <c r="L45" s="282">
        <f>L44</f>
        <v>0</v>
      </c>
      <c r="M45" s="283">
        <f>L45+J45+H45</f>
        <v>0</v>
      </c>
    </row>
    <row r="46" spans="1:13" x14ac:dyDescent="0.35">
      <c r="A46" s="46">
        <v>5</v>
      </c>
      <c r="B46" s="180" t="s">
        <v>139</v>
      </c>
      <c r="C46" s="72" t="s">
        <v>172</v>
      </c>
      <c r="D46" s="32" t="s">
        <v>146</v>
      </c>
      <c r="E46" s="126">
        <v>1</v>
      </c>
      <c r="F46" s="100">
        <f>F52+F51+F50+F49+F48+F47</f>
        <v>10</v>
      </c>
      <c r="G46" s="247"/>
      <c r="H46" s="247"/>
      <c r="I46" s="182"/>
      <c r="J46" s="182"/>
      <c r="K46" s="182"/>
      <c r="L46" s="182"/>
      <c r="M46" s="182"/>
    </row>
    <row r="47" spans="1:13" x14ac:dyDescent="0.35">
      <c r="A47" s="46"/>
      <c r="B47" s="151"/>
      <c r="C47" s="77" t="s">
        <v>173</v>
      </c>
      <c r="D47" s="44" t="s">
        <v>71</v>
      </c>
      <c r="E47" s="51">
        <v>1</v>
      </c>
      <c r="F47" s="37">
        <v>2</v>
      </c>
      <c r="G47" s="279">
        <v>0</v>
      </c>
      <c r="H47" s="42">
        <f>G47*F47</f>
        <v>0</v>
      </c>
      <c r="I47" s="279">
        <v>0</v>
      </c>
      <c r="J47" s="42">
        <f t="shared" ref="J47:J53" si="3">I47*F47</f>
        <v>0</v>
      </c>
      <c r="K47" s="42"/>
      <c r="L47" s="42"/>
      <c r="M47" s="42">
        <f>J47+H47</f>
        <v>0</v>
      </c>
    </row>
    <row r="48" spans="1:13" x14ac:dyDescent="0.35">
      <c r="A48" s="46"/>
      <c r="B48" s="151"/>
      <c r="C48" s="77" t="s">
        <v>174</v>
      </c>
      <c r="D48" s="46" t="s">
        <v>71</v>
      </c>
      <c r="E48" s="51">
        <v>1</v>
      </c>
      <c r="F48" s="37">
        <v>2</v>
      </c>
      <c r="G48" s="279">
        <v>0</v>
      </c>
      <c r="H48" s="42">
        <f>G48*F48</f>
        <v>0</v>
      </c>
      <c r="I48" s="279">
        <v>0</v>
      </c>
      <c r="J48" s="42">
        <f t="shared" si="3"/>
        <v>0</v>
      </c>
      <c r="K48" s="42"/>
      <c r="L48" s="42"/>
      <c r="M48" s="42">
        <f>J48+H48</f>
        <v>0</v>
      </c>
    </row>
    <row r="49" spans="1:13" x14ac:dyDescent="0.35">
      <c r="A49" s="46"/>
      <c r="B49" s="152"/>
      <c r="C49" s="47" t="s">
        <v>175</v>
      </c>
      <c r="D49" s="75" t="s">
        <v>71</v>
      </c>
      <c r="E49" s="37">
        <v>1</v>
      </c>
      <c r="F49" s="37">
        <v>2</v>
      </c>
      <c r="G49" s="42"/>
      <c r="H49" s="245"/>
      <c r="I49" s="279">
        <v>0</v>
      </c>
      <c r="J49" s="42">
        <f t="shared" si="3"/>
        <v>0</v>
      </c>
      <c r="K49" s="42"/>
      <c r="L49" s="42"/>
      <c r="M49" s="42">
        <f>J49</f>
        <v>0</v>
      </c>
    </row>
    <row r="50" spans="1:13" x14ac:dyDescent="0.35">
      <c r="A50" s="46"/>
      <c r="B50" s="152"/>
      <c r="C50" s="47" t="s">
        <v>176</v>
      </c>
      <c r="D50" s="75" t="s">
        <v>71</v>
      </c>
      <c r="E50" s="37">
        <v>1</v>
      </c>
      <c r="F50" s="37">
        <v>2</v>
      </c>
      <c r="G50" s="279">
        <v>0</v>
      </c>
      <c r="H50" s="42">
        <f>G50*F50</f>
        <v>0</v>
      </c>
      <c r="I50" s="279">
        <v>0</v>
      </c>
      <c r="J50" s="42">
        <f t="shared" si="3"/>
        <v>0</v>
      </c>
      <c r="K50" s="42"/>
      <c r="L50" s="42"/>
      <c r="M50" s="42">
        <f>J50+H50</f>
        <v>0</v>
      </c>
    </row>
    <row r="51" spans="1:13" x14ac:dyDescent="0.35">
      <c r="A51" s="46"/>
      <c r="B51" s="151"/>
      <c r="C51" s="77" t="s">
        <v>177</v>
      </c>
      <c r="D51" s="46" t="s">
        <v>71</v>
      </c>
      <c r="E51" s="51">
        <v>1</v>
      </c>
      <c r="F51" s="37">
        <v>1</v>
      </c>
      <c r="G51" s="279">
        <v>0</v>
      </c>
      <c r="H51" s="42">
        <f>G51*F51</f>
        <v>0</v>
      </c>
      <c r="I51" s="279">
        <v>0</v>
      </c>
      <c r="J51" s="42">
        <f t="shared" si="3"/>
        <v>0</v>
      </c>
      <c r="K51" s="42"/>
      <c r="L51" s="42"/>
      <c r="M51" s="42">
        <f>J51+H51</f>
        <v>0</v>
      </c>
    </row>
    <row r="52" spans="1:13" x14ac:dyDescent="0.35">
      <c r="A52" s="46"/>
      <c r="B52" s="151"/>
      <c r="C52" s="77" t="s">
        <v>178</v>
      </c>
      <c r="D52" s="44" t="s">
        <v>71</v>
      </c>
      <c r="E52" s="51">
        <v>1</v>
      </c>
      <c r="F52" s="37">
        <v>1</v>
      </c>
      <c r="G52" s="42"/>
      <c r="H52" s="42"/>
      <c r="I52" s="279">
        <v>0</v>
      </c>
      <c r="J52" s="42">
        <f t="shared" si="3"/>
        <v>0</v>
      </c>
      <c r="K52" s="42"/>
      <c r="L52" s="42"/>
      <c r="M52" s="42">
        <f>J52</f>
        <v>0</v>
      </c>
    </row>
    <row r="53" spans="1:13" x14ac:dyDescent="0.35">
      <c r="A53" s="90"/>
      <c r="B53" s="161"/>
      <c r="C53" s="47" t="s">
        <v>75</v>
      </c>
      <c r="D53" s="75" t="s">
        <v>29</v>
      </c>
      <c r="E53" s="37">
        <v>2</v>
      </c>
      <c r="F53" s="37">
        <f>E53*F46</f>
        <v>20</v>
      </c>
      <c r="G53" s="42"/>
      <c r="H53" s="245"/>
      <c r="I53" s="279">
        <v>0</v>
      </c>
      <c r="J53" s="42">
        <f t="shared" si="3"/>
        <v>0</v>
      </c>
      <c r="K53" s="42"/>
      <c r="L53" s="42"/>
      <c r="M53" s="42">
        <f>L53+J53</f>
        <v>0</v>
      </c>
    </row>
    <row r="54" spans="1:13" ht="15" thickBot="1" x14ac:dyDescent="0.4">
      <c r="A54" s="46"/>
      <c r="B54" s="165"/>
      <c r="C54" s="80" t="s">
        <v>76</v>
      </c>
      <c r="D54" s="81" t="s">
        <v>29</v>
      </c>
      <c r="E54" s="82">
        <v>1</v>
      </c>
      <c r="F54" s="82">
        <f>E54*F46</f>
        <v>10</v>
      </c>
      <c r="G54" s="87"/>
      <c r="H54" s="246"/>
      <c r="I54" s="246"/>
      <c r="J54" s="87"/>
      <c r="K54" s="297">
        <v>0</v>
      </c>
      <c r="L54" s="87">
        <f>K54*F54</f>
        <v>0</v>
      </c>
      <c r="M54" s="87">
        <f>L54</f>
        <v>0</v>
      </c>
    </row>
    <row r="55" spans="1:13" ht="15" thickBot="1" x14ac:dyDescent="0.4">
      <c r="A55" s="166"/>
      <c r="B55" s="162"/>
      <c r="C55" s="92" t="s">
        <v>185</v>
      </c>
      <c r="D55" s="167"/>
      <c r="E55" s="168"/>
      <c r="F55" s="104"/>
      <c r="G55" s="282"/>
      <c r="H55" s="282">
        <f>H47+H48+H50+H51</f>
        <v>0</v>
      </c>
      <c r="I55" s="282"/>
      <c r="J55" s="282">
        <f>J47+J48+J49+J50+J51+J52+J53</f>
        <v>0</v>
      </c>
      <c r="K55" s="282"/>
      <c r="L55" s="282">
        <f>L54</f>
        <v>0</v>
      </c>
      <c r="M55" s="283">
        <f>L55+J55+H55</f>
        <v>0</v>
      </c>
    </row>
    <row r="56" spans="1:13" ht="36.75" customHeight="1" x14ac:dyDescent="0.35">
      <c r="A56" s="46">
        <v>6</v>
      </c>
      <c r="B56" s="181" t="s">
        <v>139</v>
      </c>
      <c r="C56" s="156" t="s">
        <v>184</v>
      </c>
      <c r="D56" s="46"/>
      <c r="E56" s="46"/>
      <c r="F56" s="46"/>
      <c r="G56" s="42"/>
      <c r="H56" s="42"/>
      <c r="I56" s="42"/>
      <c r="J56" s="42"/>
      <c r="K56" s="42"/>
      <c r="L56" s="42"/>
      <c r="M56" s="42"/>
    </row>
    <row r="57" spans="1:13" x14ac:dyDescent="0.35">
      <c r="A57" s="170"/>
      <c r="B57" s="170"/>
      <c r="C57" s="142" t="s">
        <v>179</v>
      </c>
      <c r="D57" s="46" t="s">
        <v>95</v>
      </c>
      <c r="E57" s="37">
        <v>1</v>
      </c>
      <c r="F57" s="46">
        <v>200</v>
      </c>
      <c r="G57" s="279">
        <v>0</v>
      </c>
      <c r="H57" s="42">
        <f>G57*F57</f>
        <v>0</v>
      </c>
      <c r="I57" s="279">
        <v>0</v>
      </c>
      <c r="J57" s="42">
        <f>I57*F57</f>
        <v>0</v>
      </c>
      <c r="K57" s="42"/>
      <c r="L57" s="42"/>
      <c r="M57" s="42">
        <f>J57+H57</f>
        <v>0</v>
      </c>
    </row>
    <row r="58" spans="1:13" x14ac:dyDescent="0.35">
      <c r="A58" s="170"/>
      <c r="B58" s="170"/>
      <c r="C58" s="142" t="s">
        <v>180</v>
      </c>
      <c r="D58" s="46" t="s">
        <v>71</v>
      </c>
      <c r="E58" s="37">
        <v>1</v>
      </c>
      <c r="F58" s="46">
        <v>10</v>
      </c>
      <c r="G58" s="42"/>
      <c r="H58" s="42"/>
      <c r="I58" s="279">
        <v>0</v>
      </c>
      <c r="J58" s="42">
        <f>I58*F58</f>
        <v>0</v>
      </c>
      <c r="K58" s="42"/>
      <c r="L58" s="42"/>
      <c r="M58" s="42">
        <f>J58</f>
        <v>0</v>
      </c>
    </row>
    <row r="59" spans="1:13" x14ac:dyDescent="0.35">
      <c r="A59" s="170"/>
      <c r="B59" s="170"/>
      <c r="C59" s="142" t="s">
        <v>181</v>
      </c>
      <c r="D59" s="46" t="s">
        <v>71</v>
      </c>
      <c r="E59" s="37">
        <v>1</v>
      </c>
      <c r="F59" s="46">
        <v>5</v>
      </c>
      <c r="G59" s="42"/>
      <c r="H59" s="42"/>
      <c r="I59" s="279">
        <v>0</v>
      </c>
      <c r="J59" s="42">
        <f>I59*F59</f>
        <v>0</v>
      </c>
      <c r="K59" s="42"/>
      <c r="L59" s="42"/>
      <c r="M59" s="42">
        <f>J59</f>
        <v>0</v>
      </c>
    </row>
    <row r="60" spans="1:13" x14ac:dyDescent="0.35">
      <c r="A60" s="170"/>
      <c r="B60" s="170"/>
      <c r="C60" s="142" t="s">
        <v>182</v>
      </c>
      <c r="D60" s="46" t="s">
        <v>71</v>
      </c>
      <c r="E60" s="37">
        <v>1</v>
      </c>
      <c r="F60" s="46">
        <v>15</v>
      </c>
      <c r="G60" s="42"/>
      <c r="H60" s="42"/>
      <c r="I60" s="279">
        <v>0</v>
      </c>
      <c r="J60" s="42">
        <f>F60*I60</f>
        <v>0</v>
      </c>
      <c r="K60" s="42"/>
      <c r="L60" s="42"/>
      <c r="M60" s="42">
        <f>J60</f>
        <v>0</v>
      </c>
    </row>
    <row r="61" spans="1:13" x14ac:dyDescent="0.35">
      <c r="A61" s="170"/>
      <c r="B61" s="170"/>
      <c r="C61" s="142" t="s">
        <v>183</v>
      </c>
      <c r="D61" s="46" t="s">
        <v>71</v>
      </c>
      <c r="E61" s="37">
        <v>1</v>
      </c>
      <c r="F61" s="46">
        <v>10</v>
      </c>
      <c r="G61" s="42"/>
      <c r="H61" s="42"/>
      <c r="I61" s="279">
        <v>0</v>
      </c>
      <c r="J61" s="42">
        <f>I61*F61</f>
        <v>0</v>
      </c>
      <c r="K61" s="42"/>
      <c r="L61" s="42"/>
      <c r="M61" s="42">
        <f>J61</f>
        <v>0</v>
      </c>
    </row>
    <row r="62" spans="1:13" x14ac:dyDescent="0.35">
      <c r="A62" s="90"/>
      <c r="B62" s="161"/>
      <c r="C62" s="47" t="s">
        <v>75</v>
      </c>
      <c r="D62" s="75" t="s">
        <v>29</v>
      </c>
      <c r="E62" s="42">
        <v>0.03</v>
      </c>
      <c r="F62" s="37">
        <f>F57*E62</f>
        <v>6</v>
      </c>
      <c r="G62" s="42"/>
      <c r="H62" s="245"/>
      <c r="I62" s="279">
        <v>0</v>
      </c>
      <c r="J62" s="42">
        <f>I62*F62</f>
        <v>0</v>
      </c>
      <c r="K62" s="42"/>
      <c r="L62" s="42"/>
      <c r="M62" s="42">
        <f>L62+J62</f>
        <v>0</v>
      </c>
    </row>
    <row r="63" spans="1:13" ht="15" thickBot="1" x14ac:dyDescent="0.4">
      <c r="A63" s="46"/>
      <c r="B63" s="165"/>
      <c r="C63" s="80" t="s">
        <v>76</v>
      </c>
      <c r="D63" s="81" t="s">
        <v>29</v>
      </c>
      <c r="E63" s="87">
        <v>0.03</v>
      </c>
      <c r="F63" s="82">
        <f>E63*F57</f>
        <v>6</v>
      </c>
      <c r="G63" s="87"/>
      <c r="H63" s="246"/>
      <c r="I63" s="246"/>
      <c r="J63" s="87"/>
      <c r="K63" s="297">
        <v>0</v>
      </c>
      <c r="L63" s="87">
        <f>K63*F63</f>
        <v>0</v>
      </c>
      <c r="M63" s="87">
        <f>L63</f>
        <v>0</v>
      </c>
    </row>
    <row r="64" spans="1:13" ht="15" thickBot="1" x14ac:dyDescent="0.4">
      <c r="A64" s="166"/>
      <c r="B64" s="171"/>
      <c r="C64" s="172" t="s">
        <v>291</v>
      </c>
      <c r="D64" s="173"/>
      <c r="E64" s="174"/>
      <c r="F64" s="175"/>
      <c r="G64" s="303"/>
      <c r="H64" s="303">
        <f>H57</f>
        <v>0</v>
      </c>
      <c r="I64" s="303"/>
      <c r="J64" s="303">
        <f>J57+J58+J59+J60+J61+J62</f>
        <v>0</v>
      </c>
      <c r="K64" s="303"/>
      <c r="L64" s="303">
        <f>L63</f>
        <v>0</v>
      </c>
      <c r="M64" s="304">
        <f>L64+J64+H64</f>
        <v>0</v>
      </c>
    </row>
    <row r="65" spans="1:13" ht="15" thickBot="1" x14ac:dyDescent="0.4">
      <c r="A65" s="108"/>
      <c r="B65" s="130"/>
      <c r="C65" s="131" t="s">
        <v>292</v>
      </c>
      <c r="D65" s="176"/>
      <c r="E65" s="147"/>
      <c r="F65" s="147"/>
      <c r="G65" s="238"/>
      <c r="H65" s="238">
        <f>H28+H45+H55+H64</f>
        <v>0</v>
      </c>
      <c r="I65" s="238"/>
      <c r="J65" s="238">
        <f>J28+J45+J55+J64</f>
        <v>0</v>
      </c>
      <c r="K65" s="238"/>
      <c r="L65" s="238">
        <f>L28+L45+L55+L64</f>
        <v>0</v>
      </c>
      <c r="M65" s="287">
        <f>L65+J65+H65</f>
        <v>0</v>
      </c>
    </row>
    <row r="66" spans="1:13" ht="26" x14ac:dyDescent="0.35">
      <c r="A66" s="95"/>
      <c r="B66" s="32"/>
      <c r="C66" s="33" t="s">
        <v>52</v>
      </c>
      <c r="D66" s="177">
        <v>0.05</v>
      </c>
      <c r="E66" s="95"/>
      <c r="F66" s="95"/>
      <c r="G66" s="182"/>
      <c r="H66" s="182"/>
      <c r="I66" s="182"/>
      <c r="J66" s="182"/>
      <c r="K66" s="182"/>
      <c r="L66" s="182"/>
      <c r="M66" s="182">
        <f>J65*D66</f>
        <v>0</v>
      </c>
    </row>
    <row r="67" spans="1:13" x14ac:dyDescent="0.35">
      <c r="A67" s="46"/>
      <c r="B67" s="46"/>
      <c r="C67" s="64" t="s">
        <v>23</v>
      </c>
      <c r="D67" s="105"/>
      <c r="E67" s="46"/>
      <c r="F67" s="46"/>
      <c r="G67" s="42"/>
      <c r="H67" s="42"/>
      <c r="I67" s="42"/>
      <c r="J67" s="42"/>
      <c r="K67" s="42"/>
      <c r="L67" s="42"/>
      <c r="M67" s="42">
        <f>M65+M66</f>
        <v>0</v>
      </c>
    </row>
    <row r="68" spans="1:13" x14ac:dyDescent="0.35">
      <c r="A68" s="49"/>
      <c r="B68" s="49"/>
      <c r="C68" s="66" t="s">
        <v>53</v>
      </c>
      <c r="D68" s="65">
        <v>0.1</v>
      </c>
      <c r="E68" s="49"/>
      <c r="F68" s="49"/>
      <c r="G68" s="141"/>
      <c r="H68" s="141"/>
      <c r="I68" s="141"/>
      <c r="J68" s="141"/>
      <c r="K68" s="141"/>
      <c r="L68" s="141"/>
      <c r="M68" s="141">
        <f>M67*D68</f>
        <v>0</v>
      </c>
    </row>
    <row r="69" spans="1:13" x14ac:dyDescent="0.35">
      <c r="A69" s="49"/>
      <c r="B69" s="49"/>
      <c r="C69" s="64" t="s">
        <v>23</v>
      </c>
      <c r="D69" s="49"/>
      <c r="E69" s="49"/>
      <c r="F69" s="49"/>
      <c r="G69" s="141"/>
      <c r="H69" s="141"/>
      <c r="I69" s="141"/>
      <c r="J69" s="141"/>
      <c r="K69" s="141"/>
      <c r="L69" s="141"/>
      <c r="M69" s="141">
        <f>M67+M68</f>
        <v>0</v>
      </c>
    </row>
    <row r="70" spans="1:13" x14ac:dyDescent="0.35">
      <c r="A70" s="106"/>
      <c r="B70" s="106"/>
      <c r="C70" s="184" t="s">
        <v>54</v>
      </c>
      <c r="D70" s="107">
        <v>0.08</v>
      </c>
      <c r="E70" s="106"/>
      <c r="F70" s="106"/>
      <c r="G70" s="288"/>
      <c r="H70" s="288"/>
      <c r="I70" s="288"/>
      <c r="J70" s="288"/>
      <c r="K70" s="288"/>
      <c r="L70" s="288"/>
      <c r="M70" s="289">
        <f>M69*D70</f>
        <v>0</v>
      </c>
    </row>
    <row r="71" spans="1:13" x14ac:dyDescent="0.35">
      <c r="A71" s="4"/>
      <c r="B71" s="4"/>
      <c r="C71" s="64" t="s">
        <v>23</v>
      </c>
      <c r="D71" s="4"/>
      <c r="E71" s="4"/>
      <c r="F71" s="4"/>
      <c r="G71" s="306"/>
      <c r="H71" s="306"/>
      <c r="I71" s="306"/>
      <c r="J71" s="306"/>
      <c r="K71" s="306"/>
      <c r="L71" s="306"/>
      <c r="M71" s="141">
        <f>M69+M70</f>
        <v>0</v>
      </c>
    </row>
    <row r="72" spans="1:13" x14ac:dyDescent="0.35">
      <c r="B72" s="30"/>
      <c r="C72" s="33" t="s">
        <v>24</v>
      </c>
      <c r="D72" s="177">
        <v>0.03</v>
      </c>
      <c r="E72" s="95"/>
      <c r="F72" s="95"/>
      <c r="G72" s="182"/>
      <c r="H72" s="182"/>
      <c r="I72" s="182"/>
      <c r="J72" s="182"/>
      <c r="K72" s="182"/>
      <c r="L72" s="182"/>
      <c r="M72" s="182">
        <f>M71*D72</f>
        <v>0</v>
      </c>
    </row>
    <row r="73" spans="1:13" x14ac:dyDescent="0.35">
      <c r="A73" s="169"/>
      <c r="B73" s="169"/>
      <c r="C73" s="203" t="s">
        <v>23</v>
      </c>
      <c r="D73" s="46"/>
      <c r="E73" s="46"/>
      <c r="F73" s="46"/>
      <c r="G73" s="42"/>
      <c r="H73" s="42"/>
      <c r="I73" s="42"/>
      <c r="J73" s="42"/>
      <c r="K73" s="42"/>
      <c r="L73" s="42"/>
      <c r="M73" s="42">
        <f>M71+M72</f>
        <v>0</v>
      </c>
    </row>
    <row r="74" spans="1:13" ht="26.5" thickBot="1" x14ac:dyDescent="0.4">
      <c r="A74" s="119"/>
      <c r="B74" s="30"/>
      <c r="C74" s="128" t="s">
        <v>25</v>
      </c>
      <c r="D74" s="123">
        <v>0.18</v>
      </c>
      <c r="E74" s="83"/>
      <c r="F74" s="83"/>
      <c r="G74" s="87"/>
      <c r="H74" s="87"/>
      <c r="I74" s="87"/>
      <c r="J74" s="87"/>
      <c r="K74" s="87"/>
      <c r="L74" s="87"/>
      <c r="M74" s="87">
        <f>M73*D74</f>
        <v>0</v>
      </c>
    </row>
    <row r="75" spans="1:13" ht="15" thickBot="1" x14ac:dyDescent="0.4">
      <c r="A75" s="212"/>
      <c r="B75" s="223"/>
      <c r="C75" s="110" t="s">
        <v>26</v>
      </c>
      <c r="D75" s="109"/>
      <c r="E75" s="109"/>
      <c r="F75" s="109"/>
      <c r="G75" s="214"/>
      <c r="H75" s="214"/>
      <c r="I75" s="214"/>
      <c r="J75" s="214"/>
      <c r="K75" s="214"/>
      <c r="L75" s="214"/>
      <c r="M75" s="287">
        <f t="shared" ref="M75" si="4">M73+M74</f>
        <v>0</v>
      </c>
    </row>
  </sheetData>
  <sheetProtection algorithmName="SHA-512" hashValue="ecJa69JpLLHFCRoH2dsW6fOI3Xc2gC3qLjBkBriTb8AnPm0uwwDLVe1m8WMswX33mQk7o4trIm5jNMQ5Ixux1A==" saltValue="YdiVwLOUgc3pT7HiNXpJQA==" spinCount="100000" sheet="1" objects="1" scenarios="1"/>
  <mergeCells count="18">
    <mergeCell ref="I6:J6"/>
    <mergeCell ref="K6:L6"/>
    <mergeCell ref="M6:M7"/>
    <mergeCell ref="A6:A7"/>
    <mergeCell ref="B6:B7"/>
    <mergeCell ref="C6:C7"/>
    <mergeCell ref="D6:D7"/>
    <mergeCell ref="G6:H6"/>
    <mergeCell ref="E6:E7"/>
    <mergeCell ref="F6:F7"/>
    <mergeCell ref="B1:L1"/>
    <mergeCell ref="A2:M2"/>
    <mergeCell ref="A3:M3"/>
    <mergeCell ref="A4:A5"/>
    <mergeCell ref="B4:E4"/>
    <mergeCell ref="F4:G4"/>
    <mergeCell ref="K4:L4"/>
    <mergeCell ref="B5:F5"/>
  </mergeCells>
  <pageMargins left="0.95" right="0.45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17B76-72EA-40E0-A023-E091432A448B}">
  <dimension ref="A1:N72"/>
  <sheetViews>
    <sheetView zoomScale="70" zoomScaleNormal="70" workbookViewId="0">
      <selection activeCell="D6" sqref="D6:D7"/>
    </sheetView>
  </sheetViews>
  <sheetFormatPr defaultRowHeight="14.5" x14ac:dyDescent="0.35"/>
  <cols>
    <col min="1" max="1" width="3.81640625" customWidth="1"/>
    <col min="2" max="2" width="4.453125" customWidth="1"/>
    <col min="3" max="3" width="32.453125" customWidth="1"/>
    <col min="4" max="4" width="8.26953125" customWidth="1"/>
    <col min="5" max="5" width="6.453125" customWidth="1"/>
    <col min="6" max="6" width="7.81640625" customWidth="1"/>
    <col min="7" max="7" width="8" customWidth="1"/>
    <col min="8" max="8" width="10.54296875" customWidth="1"/>
    <col min="9" max="9" width="7.54296875" customWidth="1"/>
    <col min="10" max="10" width="10.54296875" customWidth="1"/>
    <col min="11" max="11" width="6.26953125" customWidth="1"/>
    <col min="12" max="12" width="8.26953125" customWidth="1"/>
    <col min="13" max="13" width="11" customWidth="1"/>
  </cols>
  <sheetData>
    <row r="1" spans="1:13" ht="30" customHeight="1" x14ac:dyDescent="0.35">
      <c r="A1" s="1"/>
      <c r="B1" s="327" t="s">
        <v>92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1"/>
    </row>
    <row r="2" spans="1:13" x14ac:dyDescent="0.35">
      <c r="A2" s="336" t="s">
        <v>20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</row>
    <row r="3" spans="1:13" x14ac:dyDescent="0.35">
      <c r="A3" s="335" t="s">
        <v>304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</row>
    <row r="4" spans="1:13" x14ac:dyDescent="0.35">
      <c r="A4" s="185"/>
      <c r="B4" s="328" t="s">
        <v>2</v>
      </c>
      <c r="C4" s="328"/>
      <c r="D4" s="328"/>
      <c r="E4" s="328"/>
      <c r="F4" s="186"/>
      <c r="G4" s="14"/>
      <c r="H4" s="14"/>
      <c r="I4" s="14"/>
      <c r="J4" s="14"/>
      <c r="K4" s="360">
        <f>M72</f>
        <v>0</v>
      </c>
      <c r="L4" s="360"/>
      <c r="M4" s="202" t="s">
        <v>29</v>
      </c>
    </row>
    <row r="5" spans="1:13" ht="15" thickBot="1" x14ac:dyDescent="0.4">
      <c r="A5" s="13"/>
      <c r="B5" s="329" t="s">
        <v>220</v>
      </c>
      <c r="C5" s="329"/>
      <c r="D5" s="329"/>
      <c r="E5" s="329"/>
      <c r="F5" s="17"/>
      <c r="G5" s="17"/>
      <c r="H5" s="17"/>
      <c r="I5" s="17"/>
      <c r="J5" s="17"/>
      <c r="K5" s="17"/>
      <c r="L5" s="17"/>
      <c r="M5" s="17"/>
    </row>
    <row r="6" spans="1:13" ht="30" customHeight="1" x14ac:dyDescent="0.35">
      <c r="A6" s="341" t="s">
        <v>3</v>
      </c>
      <c r="B6" s="333" t="s">
        <v>31</v>
      </c>
      <c r="C6" s="333" t="s">
        <v>32</v>
      </c>
      <c r="D6" s="333" t="s">
        <v>33</v>
      </c>
      <c r="E6" s="333" t="s">
        <v>34</v>
      </c>
      <c r="F6" s="338" t="s">
        <v>35</v>
      </c>
      <c r="G6" s="337" t="s">
        <v>36</v>
      </c>
      <c r="H6" s="337"/>
      <c r="I6" s="337" t="s">
        <v>37</v>
      </c>
      <c r="J6" s="337"/>
      <c r="K6" s="321" t="s">
        <v>38</v>
      </c>
      <c r="L6" s="321"/>
      <c r="M6" s="322" t="s">
        <v>39</v>
      </c>
    </row>
    <row r="7" spans="1:13" ht="48" customHeight="1" x14ac:dyDescent="0.35">
      <c r="A7" s="340"/>
      <c r="B7" s="334"/>
      <c r="C7" s="334"/>
      <c r="D7" s="334"/>
      <c r="E7" s="334"/>
      <c r="F7" s="339"/>
      <c r="G7" s="137" t="s">
        <v>40</v>
      </c>
      <c r="H7" s="137" t="s">
        <v>41</v>
      </c>
      <c r="I7" s="137" t="s">
        <v>40</v>
      </c>
      <c r="J7" s="137" t="s">
        <v>41</v>
      </c>
      <c r="K7" s="137" t="s">
        <v>40</v>
      </c>
      <c r="L7" s="137" t="s">
        <v>41</v>
      </c>
      <c r="M7" s="323"/>
    </row>
    <row r="8" spans="1:13" ht="15" thickBot="1" x14ac:dyDescent="0.4">
      <c r="A8" s="220">
        <v>1</v>
      </c>
      <c r="B8" s="221">
        <v>2</v>
      </c>
      <c r="C8" s="221">
        <v>3</v>
      </c>
      <c r="D8" s="221">
        <v>4</v>
      </c>
      <c r="E8" s="221">
        <v>5</v>
      </c>
      <c r="F8" s="221">
        <v>6</v>
      </c>
      <c r="G8" s="221">
        <v>7</v>
      </c>
      <c r="H8" s="221">
        <v>8</v>
      </c>
      <c r="I8" s="221">
        <v>9</v>
      </c>
      <c r="J8" s="221">
        <v>10</v>
      </c>
      <c r="K8" s="221">
        <v>11</v>
      </c>
      <c r="L8" s="221">
        <v>12</v>
      </c>
      <c r="M8" s="222">
        <v>13</v>
      </c>
    </row>
    <row r="9" spans="1:13" x14ac:dyDescent="0.35">
      <c r="A9" s="3"/>
      <c r="B9" s="160"/>
      <c r="C9" s="27" t="s">
        <v>187</v>
      </c>
      <c r="D9" s="73"/>
      <c r="E9" s="60"/>
      <c r="F9" s="3"/>
      <c r="G9" s="95"/>
      <c r="H9" s="95"/>
      <c r="I9" s="95"/>
      <c r="J9" s="95"/>
      <c r="K9" s="95"/>
      <c r="L9" s="95"/>
      <c r="M9" s="95"/>
    </row>
    <row r="10" spans="1:13" ht="50" x14ac:dyDescent="0.35">
      <c r="A10" s="46">
        <v>1</v>
      </c>
      <c r="B10" s="179" t="s">
        <v>139</v>
      </c>
      <c r="C10" s="193" t="s">
        <v>194</v>
      </c>
      <c r="D10" s="44" t="s">
        <v>141</v>
      </c>
      <c r="E10" s="51">
        <v>1</v>
      </c>
      <c r="F10" s="200">
        <v>1</v>
      </c>
      <c r="G10" s="279">
        <v>0</v>
      </c>
      <c r="H10" s="42">
        <f t="shared" ref="H10:H15" si="0">G10*F10</f>
        <v>0</v>
      </c>
      <c r="I10" s="279">
        <v>0</v>
      </c>
      <c r="J10" s="42">
        <f t="shared" ref="J10:J15" si="1">I10*F10</f>
        <v>0</v>
      </c>
      <c r="K10" s="42"/>
      <c r="L10" s="42"/>
      <c r="M10" s="42">
        <f t="shared" ref="M10:M15" si="2">J10+H10</f>
        <v>0</v>
      </c>
    </row>
    <row r="11" spans="1:13" ht="37.5" x14ac:dyDescent="0.35">
      <c r="A11" s="76"/>
      <c r="B11" s="189"/>
      <c r="C11" s="194" t="s">
        <v>188</v>
      </c>
      <c r="D11" s="44" t="s">
        <v>71</v>
      </c>
      <c r="E11" s="51">
        <v>1</v>
      </c>
      <c r="F11" s="201">
        <v>1</v>
      </c>
      <c r="G11" s="279">
        <v>0</v>
      </c>
      <c r="H11" s="42">
        <f t="shared" si="0"/>
        <v>0</v>
      </c>
      <c r="I11" s="279">
        <v>0</v>
      </c>
      <c r="J11" s="42">
        <f t="shared" si="1"/>
        <v>0</v>
      </c>
      <c r="K11" s="42"/>
      <c r="L11" s="42"/>
      <c r="M11" s="42">
        <f t="shared" si="2"/>
        <v>0</v>
      </c>
    </row>
    <row r="12" spans="1:13" ht="37.5" x14ac:dyDescent="0.35">
      <c r="A12" s="76"/>
      <c r="B12" s="151"/>
      <c r="C12" s="194" t="s">
        <v>189</v>
      </c>
      <c r="D12" s="190" t="s">
        <v>71</v>
      </c>
      <c r="E12" s="191">
        <v>1</v>
      </c>
      <c r="F12" s="201">
        <v>1</v>
      </c>
      <c r="G12" s="279">
        <v>0</v>
      </c>
      <c r="H12" s="42">
        <f t="shared" si="0"/>
        <v>0</v>
      </c>
      <c r="I12" s="279">
        <v>0</v>
      </c>
      <c r="J12" s="42">
        <f t="shared" si="1"/>
        <v>0</v>
      </c>
      <c r="K12" s="42"/>
      <c r="L12" s="42"/>
      <c r="M12" s="42">
        <f t="shared" si="2"/>
        <v>0</v>
      </c>
    </row>
    <row r="13" spans="1:13" ht="37.5" x14ac:dyDescent="0.35">
      <c r="A13" s="76"/>
      <c r="B13" s="151"/>
      <c r="C13" s="194" t="s">
        <v>190</v>
      </c>
      <c r="D13" s="44" t="s">
        <v>71</v>
      </c>
      <c r="E13" s="37">
        <v>1</v>
      </c>
      <c r="F13" s="201">
        <v>1</v>
      </c>
      <c r="G13" s="279">
        <v>0</v>
      </c>
      <c r="H13" s="42">
        <f t="shared" si="0"/>
        <v>0</v>
      </c>
      <c r="I13" s="279">
        <v>0</v>
      </c>
      <c r="J13" s="42">
        <f t="shared" si="1"/>
        <v>0</v>
      </c>
      <c r="K13" s="42"/>
      <c r="L13" s="42"/>
      <c r="M13" s="42">
        <f t="shared" si="2"/>
        <v>0</v>
      </c>
    </row>
    <row r="14" spans="1:13" ht="37.5" x14ac:dyDescent="0.35">
      <c r="A14" s="3"/>
      <c r="B14" s="160"/>
      <c r="C14" s="194" t="s">
        <v>191</v>
      </c>
      <c r="D14" s="44" t="s">
        <v>71</v>
      </c>
      <c r="E14" s="51">
        <v>1</v>
      </c>
      <c r="F14" s="201">
        <v>1</v>
      </c>
      <c r="G14" s="279">
        <v>0</v>
      </c>
      <c r="H14" s="42">
        <f t="shared" si="0"/>
        <v>0</v>
      </c>
      <c r="I14" s="279">
        <v>0</v>
      </c>
      <c r="J14" s="42">
        <f t="shared" si="1"/>
        <v>0</v>
      </c>
      <c r="K14" s="42"/>
      <c r="L14" s="42"/>
      <c r="M14" s="42">
        <f t="shared" si="2"/>
        <v>0</v>
      </c>
    </row>
    <row r="15" spans="1:13" ht="37.5" x14ac:dyDescent="0.35">
      <c r="A15" s="3"/>
      <c r="B15" s="160"/>
      <c r="C15" s="194" t="s">
        <v>192</v>
      </c>
      <c r="D15" s="44" t="s">
        <v>71</v>
      </c>
      <c r="E15" s="51">
        <v>1</v>
      </c>
      <c r="F15" s="201">
        <v>5</v>
      </c>
      <c r="G15" s="279">
        <v>0</v>
      </c>
      <c r="H15" s="42">
        <f t="shared" si="0"/>
        <v>0</v>
      </c>
      <c r="I15" s="279">
        <v>0</v>
      </c>
      <c r="J15" s="42">
        <f t="shared" si="1"/>
        <v>0</v>
      </c>
      <c r="K15" s="42"/>
      <c r="L15" s="42"/>
      <c r="M15" s="42">
        <f t="shared" si="2"/>
        <v>0</v>
      </c>
    </row>
    <row r="16" spans="1:13" ht="25" x14ac:dyDescent="0.35">
      <c r="A16" s="76"/>
      <c r="B16" s="151"/>
      <c r="C16" s="194" t="s">
        <v>195</v>
      </c>
      <c r="D16" s="44" t="s">
        <v>29</v>
      </c>
      <c r="E16" s="51">
        <v>1</v>
      </c>
      <c r="F16" s="196">
        <v>0</v>
      </c>
      <c r="G16" s="42"/>
      <c r="H16" s="42"/>
      <c r="I16" s="42"/>
      <c r="J16" s="42">
        <f>(J10+J11+J12+J13+J14+J15)*F16</f>
        <v>0</v>
      </c>
      <c r="K16" s="42"/>
      <c r="L16" s="42"/>
      <c r="M16" s="42">
        <f>J16</f>
        <v>0</v>
      </c>
    </row>
    <row r="17" spans="1:13" x14ac:dyDescent="0.35">
      <c r="A17" s="76"/>
      <c r="B17" s="189"/>
      <c r="C17" s="77"/>
      <c r="D17" s="44"/>
      <c r="E17" s="51"/>
      <c r="F17" s="37"/>
      <c r="G17" s="245"/>
      <c r="H17" s="42"/>
      <c r="I17" s="42"/>
      <c r="J17" s="42"/>
      <c r="K17" s="42"/>
      <c r="L17" s="42"/>
      <c r="M17" s="42"/>
    </row>
    <row r="18" spans="1:13" ht="25" x14ac:dyDescent="0.35">
      <c r="A18" s="76"/>
      <c r="B18" s="151"/>
      <c r="C18" s="194" t="s">
        <v>203</v>
      </c>
      <c r="D18" s="44" t="s">
        <v>141</v>
      </c>
      <c r="E18" s="51">
        <v>1</v>
      </c>
      <c r="F18" s="201">
        <v>1</v>
      </c>
      <c r="G18" s="279">
        <v>0</v>
      </c>
      <c r="H18" s="42">
        <f>G18*F18</f>
        <v>0</v>
      </c>
      <c r="I18" s="279">
        <v>0</v>
      </c>
      <c r="J18" s="42">
        <f>I18*F18</f>
        <v>0</v>
      </c>
      <c r="K18" s="42"/>
      <c r="L18" s="42"/>
      <c r="M18" s="42">
        <f>J18+H18</f>
        <v>0</v>
      </c>
    </row>
    <row r="19" spans="1:13" ht="37.5" x14ac:dyDescent="0.35">
      <c r="A19" s="76"/>
      <c r="B19" s="151"/>
      <c r="C19" s="194" t="s">
        <v>204</v>
      </c>
      <c r="D19" s="44" t="s">
        <v>71</v>
      </c>
      <c r="E19" s="51">
        <v>1</v>
      </c>
      <c r="F19" s="201">
        <v>1</v>
      </c>
      <c r="G19" s="279">
        <v>0</v>
      </c>
      <c r="H19" s="42">
        <f>G19*F19</f>
        <v>0</v>
      </c>
      <c r="I19" s="279">
        <v>0</v>
      </c>
      <c r="J19" s="42">
        <f>I19*F19</f>
        <v>0</v>
      </c>
      <c r="K19" s="42"/>
      <c r="L19" s="42"/>
      <c r="M19" s="42">
        <f>J19+G19</f>
        <v>0</v>
      </c>
    </row>
    <row r="20" spans="1:13" ht="37.5" x14ac:dyDescent="0.35">
      <c r="A20" s="76"/>
      <c r="B20" s="151"/>
      <c r="C20" s="194" t="s">
        <v>205</v>
      </c>
      <c r="D20" s="190" t="s">
        <v>71</v>
      </c>
      <c r="E20" s="191">
        <v>1</v>
      </c>
      <c r="F20" s="201">
        <v>6</v>
      </c>
      <c r="G20" s="279">
        <v>0</v>
      </c>
      <c r="H20" s="42">
        <f>G20*F20</f>
        <v>0</v>
      </c>
      <c r="I20" s="279">
        <v>0</v>
      </c>
      <c r="J20" s="42">
        <f>I20*F20</f>
        <v>0</v>
      </c>
      <c r="K20" s="42"/>
      <c r="L20" s="42"/>
      <c r="M20" s="42">
        <f>J20+H20</f>
        <v>0</v>
      </c>
    </row>
    <row r="21" spans="1:13" ht="37.5" x14ac:dyDescent="0.35">
      <c r="A21" s="76"/>
      <c r="B21" s="151"/>
      <c r="C21" s="194" t="s">
        <v>206</v>
      </c>
      <c r="D21" s="44" t="s">
        <v>71</v>
      </c>
      <c r="E21" s="37">
        <v>1</v>
      </c>
      <c r="F21" s="201">
        <v>1</v>
      </c>
      <c r="G21" s="279">
        <v>0</v>
      </c>
      <c r="H21" s="42">
        <f>G21*F21</f>
        <v>0</v>
      </c>
      <c r="I21" s="279">
        <v>0</v>
      </c>
      <c r="J21" s="42">
        <f>I21*F21</f>
        <v>0</v>
      </c>
      <c r="K21" s="42"/>
      <c r="L21" s="42"/>
      <c r="M21" s="42">
        <f>J21+H21</f>
        <v>0</v>
      </c>
    </row>
    <row r="22" spans="1:13" ht="37.5" x14ac:dyDescent="0.35">
      <c r="A22" s="76"/>
      <c r="B22" s="189"/>
      <c r="C22" s="194" t="s">
        <v>207</v>
      </c>
      <c r="D22" s="44" t="s">
        <v>71</v>
      </c>
      <c r="E22" s="51">
        <v>1</v>
      </c>
      <c r="F22" s="201">
        <v>4</v>
      </c>
      <c r="G22" s="279">
        <v>0</v>
      </c>
      <c r="H22" s="42">
        <f>G22*F22</f>
        <v>0</v>
      </c>
      <c r="I22" s="279">
        <v>0</v>
      </c>
      <c r="J22" s="42">
        <f>I22*F22</f>
        <v>0</v>
      </c>
      <c r="K22" s="42"/>
      <c r="L22" s="42"/>
      <c r="M22" s="42">
        <f>J22+H22</f>
        <v>0</v>
      </c>
    </row>
    <row r="23" spans="1:13" ht="25" x14ac:dyDescent="0.35">
      <c r="A23" s="46"/>
      <c r="B23" s="179"/>
      <c r="C23" s="194" t="s">
        <v>193</v>
      </c>
      <c r="D23" s="44" t="s">
        <v>29</v>
      </c>
      <c r="E23" s="51">
        <v>1</v>
      </c>
      <c r="F23" s="196">
        <v>0.3</v>
      </c>
      <c r="G23" s="42"/>
      <c r="H23" s="42"/>
      <c r="I23" s="42"/>
      <c r="J23" s="42">
        <f>(J18+J19+J20+J21+J22)*F23</f>
        <v>0</v>
      </c>
      <c r="K23" s="42"/>
      <c r="L23" s="42"/>
      <c r="M23" s="42">
        <f>J23</f>
        <v>0</v>
      </c>
    </row>
    <row r="24" spans="1:13" x14ac:dyDescent="0.35">
      <c r="A24" s="76"/>
      <c r="B24" s="151"/>
      <c r="C24" s="194"/>
      <c r="D24" s="44"/>
      <c r="E24" s="191"/>
      <c r="F24" s="195"/>
      <c r="G24" s="42"/>
      <c r="H24" s="307"/>
      <c r="I24" s="307"/>
      <c r="J24" s="307"/>
      <c r="K24" s="307"/>
      <c r="L24" s="307"/>
      <c r="M24" s="307"/>
    </row>
    <row r="25" spans="1:13" ht="87.5" x14ac:dyDescent="0.35">
      <c r="A25" s="76"/>
      <c r="B25" s="151"/>
      <c r="C25" s="194" t="s">
        <v>196</v>
      </c>
      <c r="D25" s="44" t="s">
        <v>95</v>
      </c>
      <c r="E25" s="51">
        <v>1</v>
      </c>
      <c r="F25" s="195">
        <v>100</v>
      </c>
      <c r="G25" s="279">
        <v>0</v>
      </c>
      <c r="H25" s="42">
        <f>G25*F25</f>
        <v>0</v>
      </c>
      <c r="I25" s="279">
        <v>0</v>
      </c>
      <c r="J25" s="42">
        <f>I25*F25</f>
        <v>0</v>
      </c>
      <c r="K25" s="42"/>
      <c r="L25" s="42"/>
      <c r="M25" s="42">
        <f>J25+H25</f>
        <v>0</v>
      </c>
    </row>
    <row r="26" spans="1:13" ht="75" x14ac:dyDescent="0.35">
      <c r="A26" s="76"/>
      <c r="B26" s="192"/>
      <c r="C26" s="194" t="s">
        <v>197</v>
      </c>
      <c r="D26" s="44" t="s">
        <v>95</v>
      </c>
      <c r="E26" s="51">
        <v>1</v>
      </c>
      <c r="F26" s="195">
        <v>20</v>
      </c>
      <c r="G26" s="279">
        <v>0</v>
      </c>
      <c r="H26" s="42">
        <f>G26*F26</f>
        <v>0</v>
      </c>
      <c r="I26" s="279">
        <v>0</v>
      </c>
      <c r="J26" s="42">
        <f>I26*F26</f>
        <v>0</v>
      </c>
      <c r="K26" s="42"/>
      <c r="L26" s="42"/>
      <c r="M26" s="42">
        <f>J26+H26</f>
        <v>0</v>
      </c>
    </row>
    <row r="27" spans="1:13" ht="75" x14ac:dyDescent="0.35">
      <c r="A27" s="76"/>
      <c r="B27" s="197"/>
      <c r="C27" s="194" t="s">
        <v>198</v>
      </c>
      <c r="D27" s="44" t="s">
        <v>95</v>
      </c>
      <c r="E27" s="191">
        <v>1</v>
      </c>
      <c r="F27" s="195">
        <v>400</v>
      </c>
      <c r="G27" s="279">
        <v>0</v>
      </c>
      <c r="H27" s="42">
        <f>G27*F27</f>
        <v>0</v>
      </c>
      <c r="I27" s="279">
        <v>0</v>
      </c>
      <c r="J27" s="42">
        <f>I27*F27</f>
        <v>0</v>
      </c>
      <c r="K27" s="42"/>
      <c r="L27" s="42"/>
      <c r="M27" s="42">
        <f>J27+H27</f>
        <v>0</v>
      </c>
    </row>
    <row r="28" spans="1:13" ht="75" x14ac:dyDescent="0.35">
      <c r="A28" s="169"/>
      <c r="B28" s="151"/>
      <c r="C28" s="194" t="s">
        <v>199</v>
      </c>
      <c r="D28" s="44" t="s">
        <v>95</v>
      </c>
      <c r="E28" s="37">
        <v>1</v>
      </c>
      <c r="F28" s="195">
        <v>100</v>
      </c>
      <c r="G28" s="279">
        <v>0</v>
      </c>
      <c r="H28" s="42">
        <f>G28*F28</f>
        <v>0</v>
      </c>
      <c r="I28" s="279">
        <v>0</v>
      </c>
      <c r="J28" s="42">
        <f>I28*F28</f>
        <v>0</v>
      </c>
      <c r="K28" s="42"/>
      <c r="L28" s="42"/>
      <c r="M28" s="42">
        <f>J28+H28</f>
        <v>0</v>
      </c>
    </row>
    <row r="29" spans="1:13" ht="75" x14ac:dyDescent="0.35">
      <c r="A29" s="169"/>
      <c r="B29" s="192"/>
      <c r="C29" s="194" t="s">
        <v>200</v>
      </c>
      <c r="D29" s="44" t="s">
        <v>95</v>
      </c>
      <c r="E29" s="37">
        <v>1</v>
      </c>
      <c r="F29" s="195">
        <v>200</v>
      </c>
      <c r="G29" s="279">
        <v>0</v>
      </c>
      <c r="H29" s="42">
        <f>G29*F29</f>
        <v>0</v>
      </c>
      <c r="I29" s="279">
        <v>0</v>
      </c>
      <c r="J29" s="42">
        <f>I29*F29</f>
        <v>0</v>
      </c>
      <c r="K29" s="42"/>
      <c r="L29" s="42"/>
      <c r="M29" s="42">
        <f>J29+H29</f>
        <v>0</v>
      </c>
    </row>
    <row r="30" spans="1:13" x14ac:dyDescent="0.35">
      <c r="A30" s="169"/>
      <c r="B30" s="189"/>
      <c r="C30" s="194" t="s">
        <v>201</v>
      </c>
      <c r="D30" s="44" t="s">
        <v>29</v>
      </c>
      <c r="E30" s="51">
        <v>1</v>
      </c>
      <c r="F30" s="196">
        <v>0</v>
      </c>
      <c r="G30" s="141"/>
      <c r="H30" s="141"/>
      <c r="I30" s="141"/>
      <c r="J30" s="141">
        <f>(J25+J26+J27+J28+J29)*F30</f>
        <v>0</v>
      </c>
      <c r="K30" s="141"/>
      <c r="L30" s="141"/>
      <c r="M30" s="141">
        <f>J30</f>
        <v>0</v>
      </c>
    </row>
    <row r="31" spans="1:13" ht="25" x14ac:dyDescent="0.35">
      <c r="A31" s="198"/>
      <c r="B31" s="189"/>
      <c r="C31" s="194" t="s">
        <v>202</v>
      </c>
      <c r="D31" s="44" t="s">
        <v>29</v>
      </c>
      <c r="E31" s="51">
        <v>1</v>
      </c>
      <c r="F31" s="196">
        <v>0</v>
      </c>
      <c r="G31" s="141"/>
      <c r="H31" s="141"/>
      <c r="I31" s="141"/>
      <c r="J31" s="141">
        <f>(J25+J26+J27+J28+J29)*F31</f>
        <v>0</v>
      </c>
      <c r="K31" s="141"/>
      <c r="L31" s="141"/>
      <c r="M31" s="141">
        <f>J31</f>
        <v>0</v>
      </c>
    </row>
    <row r="32" spans="1:13" x14ac:dyDescent="0.35">
      <c r="A32" s="49"/>
      <c r="B32" s="138"/>
      <c r="C32" s="194"/>
      <c r="D32" s="65"/>
      <c r="E32" s="49"/>
      <c r="F32" s="195"/>
      <c r="G32" s="141"/>
      <c r="H32" s="141"/>
      <c r="I32" s="141"/>
      <c r="J32" s="141"/>
      <c r="K32" s="141"/>
      <c r="L32" s="141"/>
      <c r="M32" s="141"/>
    </row>
    <row r="33" spans="1:14" ht="50" x14ac:dyDescent="0.35">
      <c r="A33" s="49"/>
      <c r="B33" s="49"/>
      <c r="C33" s="194" t="s">
        <v>208</v>
      </c>
      <c r="D33" s="65" t="s">
        <v>71</v>
      </c>
      <c r="E33" s="51">
        <v>1</v>
      </c>
      <c r="F33" s="195">
        <v>3</v>
      </c>
      <c r="G33" s="279">
        <v>0</v>
      </c>
      <c r="H33" s="42">
        <f>G33*F33</f>
        <v>0</v>
      </c>
      <c r="I33" s="279">
        <v>0</v>
      </c>
      <c r="J33" s="42">
        <f>I33*F33</f>
        <v>0</v>
      </c>
      <c r="K33" s="42"/>
      <c r="L33" s="42"/>
      <c r="M33" s="42">
        <f>J33+H33</f>
        <v>0</v>
      </c>
    </row>
    <row r="34" spans="1:14" ht="50" x14ac:dyDescent="0.35">
      <c r="A34" s="49"/>
      <c r="B34" s="49"/>
      <c r="C34" s="194" t="s">
        <v>209</v>
      </c>
      <c r="D34" s="65" t="s">
        <v>71</v>
      </c>
      <c r="E34" s="51">
        <v>1</v>
      </c>
      <c r="F34" s="195">
        <v>7</v>
      </c>
      <c r="G34" s="279">
        <v>0</v>
      </c>
      <c r="H34" s="42">
        <f>G34*F34</f>
        <v>0</v>
      </c>
      <c r="I34" s="279">
        <v>0</v>
      </c>
      <c r="J34" s="42">
        <f>I34*F34</f>
        <v>0</v>
      </c>
      <c r="K34" s="42"/>
      <c r="L34" s="42"/>
      <c r="M34" s="42">
        <f>J34+H34</f>
        <v>0</v>
      </c>
    </row>
    <row r="35" spans="1:14" ht="50" x14ac:dyDescent="0.35">
      <c r="A35" s="49"/>
      <c r="B35" s="49"/>
      <c r="C35" s="194" t="s">
        <v>210</v>
      </c>
      <c r="D35" s="65" t="s">
        <v>71</v>
      </c>
      <c r="E35" s="191">
        <v>1</v>
      </c>
      <c r="F35" s="195">
        <v>11</v>
      </c>
      <c r="G35" s="279">
        <v>0</v>
      </c>
      <c r="H35" s="42">
        <f>G35*F35</f>
        <v>0</v>
      </c>
      <c r="I35" s="279">
        <v>0</v>
      </c>
      <c r="J35" s="42">
        <f>I35*F35</f>
        <v>0</v>
      </c>
      <c r="K35" s="42"/>
      <c r="L35" s="42"/>
      <c r="M35" s="42">
        <f>J35+H35</f>
        <v>0</v>
      </c>
    </row>
    <row r="36" spans="1:14" ht="50" x14ac:dyDescent="0.35">
      <c r="A36" s="199"/>
      <c r="B36" s="199"/>
      <c r="C36" s="194" t="s">
        <v>211</v>
      </c>
      <c r="D36" s="65" t="s">
        <v>71</v>
      </c>
      <c r="E36" s="37">
        <v>1</v>
      </c>
      <c r="F36" s="195">
        <v>1</v>
      </c>
      <c r="G36" s="279">
        <v>0</v>
      </c>
      <c r="H36" s="42">
        <f>G36*F36</f>
        <v>0</v>
      </c>
      <c r="I36" s="279">
        <v>0</v>
      </c>
      <c r="J36" s="42">
        <f>I36*F36</f>
        <v>0</v>
      </c>
      <c r="K36" s="42"/>
      <c r="L36" s="42"/>
      <c r="M36" s="42">
        <f>J36+H36</f>
        <v>0</v>
      </c>
    </row>
    <row r="37" spans="1:14" ht="50" x14ac:dyDescent="0.35">
      <c r="A37" s="49"/>
      <c r="B37" s="49"/>
      <c r="C37" s="194" t="s">
        <v>212</v>
      </c>
      <c r="D37" s="44" t="s">
        <v>29</v>
      </c>
      <c r="E37" s="51">
        <v>1</v>
      </c>
      <c r="F37" s="196">
        <v>0</v>
      </c>
      <c r="G37" s="141"/>
      <c r="H37" s="141"/>
      <c r="I37" s="141"/>
      <c r="J37" s="141">
        <f>(J33+J34+J35+J36)*F37</f>
        <v>0</v>
      </c>
      <c r="K37" s="141"/>
      <c r="L37" s="141"/>
      <c r="M37" s="141">
        <f>J37</f>
        <v>0</v>
      </c>
    </row>
    <row r="38" spans="1:14" x14ac:dyDescent="0.35">
      <c r="A38" s="169"/>
      <c r="B38" s="169"/>
      <c r="C38" s="194"/>
      <c r="D38" s="169"/>
      <c r="E38" s="169"/>
      <c r="F38" s="195"/>
      <c r="G38" s="308"/>
      <c r="H38" s="308"/>
      <c r="I38" s="308"/>
      <c r="J38" s="308"/>
      <c r="K38" s="308"/>
      <c r="L38" s="308"/>
      <c r="M38" s="308"/>
    </row>
    <row r="39" spans="1:14" ht="37.5" x14ac:dyDescent="0.35">
      <c r="A39" s="169"/>
      <c r="B39" s="169"/>
      <c r="C39" s="194" t="s">
        <v>213</v>
      </c>
      <c r="D39" s="65" t="s">
        <v>71</v>
      </c>
      <c r="E39" s="51">
        <v>1</v>
      </c>
      <c r="F39" s="195">
        <v>100</v>
      </c>
      <c r="G39" s="279">
        <v>0</v>
      </c>
      <c r="H39" s="42">
        <f t="shared" ref="H39:H44" si="3">G39*F39</f>
        <v>0</v>
      </c>
      <c r="I39" s="279">
        <v>0</v>
      </c>
      <c r="J39" s="42">
        <f t="shared" ref="J39:J44" si="4">I39*F39</f>
        <v>0</v>
      </c>
      <c r="K39" s="42"/>
      <c r="L39" s="42"/>
      <c r="M39" s="42">
        <f t="shared" ref="M39:M44" si="5">J39+G39</f>
        <v>0</v>
      </c>
    </row>
    <row r="40" spans="1:14" ht="37.5" x14ac:dyDescent="0.35">
      <c r="A40" s="169"/>
      <c r="B40" s="169"/>
      <c r="C40" s="194" t="s">
        <v>214</v>
      </c>
      <c r="D40" s="65" t="s">
        <v>71</v>
      </c>
      <c r="E40" s="51">
        <v>1</v>
      </c>
      <c r="F40" s="195">
        <v>2</v>
      </c>
      <c r="G40" s="279">
        <v>0</v>
      </c>
      <c r="H40" s="42">
        <f t="shared" si="3"/>
        <v>0</v>
      </c>
      <c r="I40" s="279">
        <v>0</v>
      </c>
      <c r="J40" s="42">
        <f t="shared" si="4"/>
        <v>0</v>
      </c>
      <c r="K40" s="42"/>
      <c r="L40" s="42"/>
      <c r="M40" s="42">
        <f t="shared" si="5"/>
        <v>0</v>
      </c>
    </row>
    <row r="41" spans="1:14" ht="37.5" x14ac:dyDescent="0.35">
      <c r="A41" s="169"/>
      <c r="B41" s="169"/>
      <c r="C41" s="194" t="s">
        <v>215</v>
      </c>
      <c r="D41" s="65" t="s">
        <v>71</v>
      </c>
      <c r="E41" s="191">
        <v>1</v>
      </c>
      <c r="F41" s="195">
        <v>2</v>
      </c>
      <c r="G41" s="279">
        <v>0</v>
      </c>
      <c r="H41" s="42">
        <f t="shared" si="3"/>
        <v>0</v>
      </c>
      <c r="I41" s="279">
        <v>0</v>
      </c>
      <c r="J41" s="42">
        <f t="shared" si="4"/>
        <v>0</v>
      </c>
      <c r="K41" s="42"/>
      <c r="L41" s="42"/>
      <c r="M41" s="42">
        <f t="shared" si="5"/>
        <v>0</v>
      </c>
    </row>
    <row r="42" spans="1:14" ht="37.5" x14ac:dyDescent="0.35">
      <c r="A42" s="169"/>
      <c r="B42" s="169"/>
      <c r="C42" s="194" t="s">
        <v>216</v>
      </c>
      <c r="D42" s="65" t="s">
        <v>71</v>
      </c>
      <c r="E42" s="37">
        <v>1</v>
      </c>
      <c r="F42" s="195">
        <v>8</v>
      </c>
      <c r="G42" s="279">
        <v>0</v>
      </c>
      <c r="H42" s="42">
        <f t="shared" si="3"/>
        <v>0</v>
      </c>
      <c r="I42" s="279">
        <v>0</v>
      </c>
      <c r="J42" s="42">
        <f t="shared" si="4"/>
        <v>0</v>
      </c>
      <c r="K42" s="42"/>
      <c r="L42" s="42"/>
      <c r="M42" s="42">
        <f t="shared" si="5"/>
        <v>0</v>
      </c>
    </row>
    <row r="43" spans="1:14" ht="37.5" x14ac:dyDescent="0.35">
      <c r="A43" s="169"/>
      <c r="B43" s="169"/>
      <c r="C43" s="194" t="s">
        <v>217</v>
      </c>
      <c r="D43" s="65" t="s">
        <v>71</v>
      </c>
      <c r="E43" s="37">
        <v>1</v>
      </c>
      <c r="F43" s="195">
        <v>7</v>
      </c>
      <c r="G43" s="279">
        <v>0</v>
      </c>
      <c r="H43" s="42">
        <f t="shared" si="3"/>
        <v>0</v>
      </c>
      <c r="I43" s="279">
        <v>0</v>
      </c>
      <c r="J43" s="42">
        <f t="shared" si="4"/>
        <v>0</v>
      </c>
      <c r="K43" s="42"/>
      <c r="L43" s="42"/>
      <c r="M43" s="42">
        <f t="shared" si="5"/>
        <v>0</v>
      </c>
    </row>
    <row r="44" spans="1:14" ht="37.5" x14ac:dyDescent="0.35">
      <c r="A44" s="169"/>
      <c r="B44" s="169"/>
      <c r="C44" s="194" t="s">
        <v>218</v>
      </c>
      <c r="D44" s="65" t="s">
        <v>71</v>
      </c>
      <c r="E44" s="37">
        <v>1</v>
      </c>
      <c r="F44" s="195">
        <v>7</v>
      </c>
      <c r="G44" s="279">
        <v>0</v>
      </c>
      <c r="H44" s="42">
        <f t="shared" si="3"/>
        <v>0</v>
      </c>
      <c r="I44" s="279">
        <v>0</v>
      </c>
      <c r="J44" s="42">
        <f t="shared" si="4"/>
        <v>0</v>
      </c>
      <c r="K44" s="42"/>
      <c r="L44" s="42"/>
      <c r="M44" s="42">
        <f t="shared" si="5"/>
        <v>0</v>
      </c>
    </row>
    <row r="45" spans="1:14" x14ac:dyDescent="0.35">
      <c r="A45" s="169"/>
      <c r="B45" s="169"/>
      <c r="C45" s="194"/>
      <c r="D45" s="169"/>
      <c r="E45" s="169"/>
      <c r="F45" s="195"/>
      <c r="G45" s="308"/>
      <c r="H45" s="308"/>
      <c r="I45" s="308"/>
      <c r="J45" s="308"/>
      <c r="K45" s="308"/>
      <c r="L45" s="308"/>
      <c r="M45" s="308"/>
    </row>
    <row r="46" spans="1:14" ht="50" x14ac:dyDescent="0.35">
      <c r="A46" s="169"/>
      <c r="B46" s="169"/>
      <c r="C46" s="194" t="s">
        <v>219</v>
      </c>
      <c r="D46" s="65" t="s">
        <v>71</v>
      </c>
      <c r="E46" s="37">
        <v>1</v>
      </c>
      <c r="F46" s="195">
        <v>8</v>
      </c>
      <c r="G46" s="279">
        <v>0</v>
      </c>
      <c r="H46" s="42">
        <f>G46*F46</f>
        <v>0</v>
      </c>
      <c r="I46" s="279">
        <v>0</v>
      </c>
      <c r="J46" s="42">
        <f>I46*F46</f>
        <v>0</v>
      </c>
      <c r="K46" s="42"/>
      <c r="L46" s="42"/>
      <c r="M46" s="42">
        <f>J46+G46</f>
        <v>0</v>
      </c>
    </row>
    <row r="47" spans="1:14" ht="50" x14ac:dyDescent="0.35">
      <c r="A47" s="198"/>
      <c r="B47" s="189"/>
      <c r="C47" s="194" t="s">
        <v>212</v>
      </c>
      <c r="D47" s="44" t="s">
        <v>29</v>
      </c>
      <c r="E47" s="51">
        <v>1</v>
      </c>
      <c r="F47" s="196">
        <v>0</v>
      </c>
      <c r="G47" s="141"/>
      <c r="H47" s="306"/>
      <c r="I47" s="306"/>
      <c r="J47" s="141">
        <f>J46*F47</f>
        <v>0</v>
      </c>
      <c r="K47" s="141"/>
      <c r="L47" s="141"/>
      <c r="M47" s="141">
        <f>J47</f>
        <v>0</v>
      </c>
      <c r="N47" s="225"/>
    </row>
    <row r="48" spans="1:14" ht="15" thickBot="1" x14ac:dyDescent="0.4">
      <c r="A48" s="119"/>
      <c r="B48" s="119"/>
      <c r="C48" s="119"/>
      <c r="D48" s="119"/>
      <c r="E48" s="119"/>
      <c r="F48" s="119"/>
      <c r="G48" s="309"/>
      <c r="H48" s="309"/>
      <c r="I48" s="309"/>
      <c r="J48" s="309"/>
      <c r="K48" s="309"/>
      <c r="L48" s="309"/>
      <c r="M48" s="309"/>
    </row>
    <row r="49" spans="1:13" ht="15" thickBot="1" x14ac:dyDescent="0.4">
      <c r="A49" s="212"/>
      <c r="B49" s="213"/>
      <c r="C49" s="131" t="s">
        <v>23</v>
      </c>
      <c r="D49" s="130"/>
      <c r="E49" s="214"/>
      <c r="F49" s="214"/>
      <c r="G49" s="214"/>
      <c r="H49" s="238">
        <f>H10+H11+H12+H13+H14+H15+H18+H19+H20+H21+H22+H25+H26+H27+H28+H29+H33+H34+H35+H36+H39+H40+H41+H42+H43+H44+H46</f>
        <v>0</v>
      </c>
      <c r="I49" s="238"/>
      <c r="J49" s="238">
        <f>J10+J11+J12+J13+J14+J15+J16+J18+J19+J20+J21+J22+J23+J25+J26+J27+J28+J29+J30+J31+J33+J34+J35+J36+J37+J39+J40+J41+J42+J43+J44+J46+J47</f>
        <v>0</v>
      </c>
      <c r="K49" s="238"/>
      <c r="L49" s="238"/>
      <c r="M49" s="287">
        <f>L49+J49+H49</f>
        <v>0</v>
      </c>
    </row>
    <row r="50" spans="1:13" x14ac:dyDescent="0.35">
      <c r="A50" s="95">
        <v>2</v>
      </c>
      <c r="B50" s="95" t="s">
        <v>139</v>
      </c>
      <c r="C50" s="242" t="s">
        <v>272</v>
      </c>
      <c r="D50" s="30"/>
      <c r="E50" s="30"/>
      <c r="F50" s="30"/>
      <c r="G50" s="310"/>
      <c r="H50" s="310"/>
      <c r="I50" s="310"/>
      <c r="J50" s="310"/>
      <c r="K50" s="310"/>
      <c r="L50" s="310"/>
      <c r="M50" s="310"/>
    </row>
    <row r="51" spans="1:13" x14ac:dyDescent="0.35">
      <c r="A51" s="7"/>
      <c r="B51" s="7"/>
      <c r="C51" s="142" t="s">
        <v>266</v>
      </c>
      <c r="D51" s="46" t="s">
        <v>71</v>
      </c>
      <c r="E51" s="37">
        <v>1</v>
      </c>
      <c r="F51" s="46">
        <v>5</v>
      </c>
      <c r="G51" s="279">
        <v>0</v>
      </c>
      <c r="H51" s="42">
        <f>G51*F51</f>
        <v>0</v>
      </c>
      <c r="I51" s="42"/>
      <c r="J51" s="42"/>
      <c r="K51" s="42">
        <v>0</v>
      </c>
      <c r="L51" s="42">
        <f>K51*F51</f>
        <v>0</v>
      </c>
      <c r="M51" s="42">
        <f>L51+H51</f>
        <v>0</v>
      </c>
    </row>
    <row r="52" spans="1:13" x14ac:dyDescent="0.35">
      <c r="A52" s="7"/>
      <c r="B52" s="7"/>
      <c r="C52" s="142" t="s">
        <v>267</v>
      </c>
      <c r="D52" s="46" t="s">
        <v>71</v>
      </c>
      <c r="E52" s="37">
        <v>1</v>
      </c>
      <c r="F52" s="46">
        <v>5</v>
      </c>
      <c r="G52" s="279">
        <v>0</v>
      </c>
      <c r="H52" s="42">
        <f>G52*F52</f>
        <v>0</v>
      </c>
      <c r="I52" s="42"/>
      <c r="J52" s="42"/>
      <c r="K52" s="42">
        <v>0</v>
      </c>
      <c r="L52" s="42">
        <f>K52*F52</f>
        <v>0</v>
      </c>
      <c r="M52" s="42">
        <f>L52+H52</f>
        <v>0</v>
      </c>
    </row>
    <row r="53" spans="1:13" ht="26" x14ac:dyDescent="0.35">
      <c r="A53" s="7"/>
      <c r="B53" s="7"/>
      <c r="C53" s="77" t="s">
        <v>269</v>
      </c>
      <c r="D53" s="46" t="s">
        <v>268</v>
      </c>
      <c r="E53" s="37">
        <v>1</v>
      </c>
      <c r="F53" s="46">
        <v>200</v>
      </c>
      <c r="G53" s="42"/>
      <c r="H53" s="42"/>
      <c r="I53" s="279">
        <v>0</v>
      </c>
      <c r="J53" s="42">
        <f>I53*F53</f>
        <v>0</v>
      </c>
      <c r="K53" s="42"/>
      <c r="L53" s="42"/>
      <c r="M53" s="42">
        <f>J53</f>
        <v>0</v>
      </c>
    </row>
    <row r="54" spans="1:13" x14ac:dyDescent="0.35">
      <c r="A54" s="7"/>
      <c r="B54" s="7"/>
      <c r="C54" s="47" t="s">
        <v>270</v>
      </c>
      <c r="D54" s="75" t="s">
        <v>45</v>
      </c>
      <c r="E54" s="42">
        <v>0.25</v>
      </c>
      <c r="F54" s="51">
        <f>E54*F52</f>
        <v>1.25</v>
      </c>
      <c r="G54" s="42"/>
      <c r="H54" s="245"/>
      <c r="I54" s="279">
        <v>0</v>
      </c>
      <c r="J54" s="42">
        <f t="shared" ref="J54:J60" si="6">I54*F54</f>
        <v>0</v>
      </c>
      <c r="K54" s="42"/>
      <c r="L54" s="42"/>
      <c r="M54" s="42">
        <f>L54+J54</f>
        <v>0</v>
      </c>
    </row>
    <row r="55" spans="1:13" x14ac:dyDescent="0.35">
      <c r="A55" s="7"/>
      <c r="B55" s="7"/>
      <c r="C55" s="47" t="s">
        <v>65</v>
      </c>
      <c r="D55" s="75" t="s">
        <v>66</v>
      </c>
      <c r="E55" s="46">
        <v>1.02</v>
      </c>
      <c r="F55" s="224">
        <f>E55*0.17</f>
        <v>0.17340000000000003</v>
      </c>
      <c r="G55" s="42"/>
      <c r="H55" s="42"/>
      <c r="I55" s="279">
        <v>0</v>
      </c>
      <c r="J55" s="42">
        <f t="shared" si="6"/>
        <v>0</v>
      </c>
      <c r="K55" s="42"/>
      <c r="L55" s="42"/>
      <c r="M55" s="42">
        <f>J55</f>
        <v>0</v>
      </c>
    </row>
    <row r="56" spans="1:13" x14ac:dyDescent="0.35">
      <c r="A56" s="7"/>
      <c r="B56" s="7"/>
      <c r="C56" s="47" t="s">
        <v>67</v>
      </c>
      <c r="D56" s="75" t="s">
        <v>66</v>
      </c>
      <c r="E56" s="46">
        <v>1.02</v>
      </c>
      <c r="F56" s="42">
        <f>E56*0.16</f>
        <v>0.16320000000000001</v>
      </c>
      <c r="G56" s="42"/>
      <c r="H56" s="245"/>
      <c r="I56" s="279">
        <v>0</v>
      </c>
      <c r="J56" s="42">
        <f t="shared" si="6"/>
        <v>0</v>
      </c>
      <c r="K56" s="42"/>
      <c r="L56" s="42"/>
      <c r="M56" s="42">
        <f>J56</f>
        <v>0</v>
      </c>
    </row>
    <row r="57" spans="1:13" x14ac:dyDescent="0.35">
      <c r="A57" s="7"/>
      <c r="B57" s="7"/>
      <c r="C57" s="47" t="s">
        <v>68</v>
      </c>
      <c r="D57" s="75" t="s">
        <v>66</v>
      </c>
      <c r="E57" s="46">
        <v>1.02</v>
      </c>
      <c r="F57" s="42">
        <f>E57*0.07</f>
        <v>7.1400000000000005E-2</v>
      </c>
      <c r="G57" s="42"/>
      <c r="H57" s="42"/>
      <c r="I57" s="279">
        <v>0</v>
      </c>
      <c r="J57" s="42">
        <f t="shared" si="6"/>
        <v>0</v>
      </c>
      <c r="K57" s="42"/>
      <c r="L57" s="42"/>
      <c r="M57" s="42">
        <f>J57</f>
        <v>0</v>
      </c>
    </row>
    <row r="58" spans="1:13" x14ac:dyDescent="0.35">
      <c r="A58" s="7"/>
      <c r="B58" s="7"/>
      <c r="C58" s="47" t="s">
        <v>69</v>
      </c>
      <c r="D58" s="44" t="s">
        <v>45</v>
      </c>
      <c r="E58" s="46">
        <v>1.02</v>
      </c>
      <c r="F58" s="37">
        <f>E58*F52</f>
        <v>5.0999999999999996</v>
      </c>
      <c r="G58" s="245"/>
      <c r="H58" s="42"/>
      <c r="I58" s="279">
        <v>0</v>
      </c>
      <c r="J58" s="42">
        <f t="shared" si="6"/>
        <v>0</v>
      </c>
      <c r="K58" s="42"/>
      <c r="L58" s="42"/>
      <c r="M58" s="42">
        <f>J58</f>
        <v>0</v>
      </c>
    </row>
    <row r="59" spans="1:13" ht="26" x14ac:dyDescent="0.35">
      <c r="A59" s="7"/>
      <c r="B59" s="7"/>
      <c r="C59" s="47" t="s">
        <v>271</v>
      </c>
      <c r="D59" s="75" t="s">
        <v>71</v>
      </c>
      <c r="E59" s="37">
        <v>1</v>
      </c>
      <c r="F59" s="37">
        <f>E59*F52</f>
        <v>5</v>
      </c>
      <c r="G59" s="42"/>
      <c r="H59" s="42"/>
      <c r="I59" s="279">
        <v>0</v>
      </c>
      <c r="J59" s="42">
        <f t="shared" si="6"/>
        <v>0</v>
      </c>
      <c r="K59" s="42"/>
      <c r="L59" s="42"/>
      <c r="M59" s="42">
        <f>J59++H59</f>
        <v>0</v>
      </c>
    </row>
    <row r="60" spans="1:13" ht="15" thickBot="1" x14ac:dyDescent="0.4">
      <c r="A60" s="106"/>
      <c r="B60" s="106"/>
      <c r="C60" s="80" t="s">
        <v>75</v>
      </c>
      <c r="D60" s="81" t="s">
        <v>29</v>
      </c>
      <c r="E60" s="82">
        <v>2</v>
      </c>
      <c r="F60" s="82">
        <f>F52*E60</f>
        <v>10</v>
      </c>
      <c r="G60" s="87"/>
      <c r="H60" s="246"/>
      <c r="I60" s="297">
        <v>0</v>
      </c>
      <c r="J60" s="87">
        <f t="shared" si="6"/>
        <v>0</v>
      </c>
      <c r="K60" s="87"/>
      <c r="L60" s="87"/>
      <c r="M60" s="87">
        <f>L60+J60</f>
        <v>0</v>
      </c>
    </row>
    <row r="61" spans="1:13" ht="15" thickBot="1" x14ac:dyDescent="0.4">
      <c r="A61" s="212"/>
      <c r="B61" s="213"/>
      <c r="C61" s="131" t="s">
        <v>273</v>
      </c>
      <c r="D61" s="130"/>
      <c r="E61" s="214"/>
      <c r="F61" s="214"/>
      <c r="G61" s="214"/>
      <c r="H61" s="238">
        <f>H51+H52</f>
        <v>0</v>
      </c>
      <c r="I61" s="238"/>
      <c r="J61" s="238">
        <f>J53+J54+J55+J56+J57+J58+J59+J60</f>
        <v>0</v>
      </c>
      <c r="K61" s="238"/>
      <c r="L61" s="238">
        <f>L51+L52</f>
        <v>0</v>
      </c>
      <c r="M61" s="287">
        <f>L61+J61+H61</f>
        <v>0</v>
      </c>
    </row>
    <row r="62" spans="1:13" ht="15" thickBot="1" x14ac:dyDescent="0.4">
      <c r="A62" s="178"/>
      <c r="B62" s="226"/>
      <c r="C62" s="131" t="s">
        <v>119</v>
      </c>
      <c r="D62" s="176"/>
      <c r="E62" s="147"/>
      <c r="F62" s="147"/>
      <c r="G62" s="238"/>
      <c r="H62" s="238">
        <f>H49+H61</f>
        <v>0</v>
      </c>
      <c r="I62" s="238"/>
      <c r="J62" s="238">
        <f>J49+J61</f>
        <v>0</v>
      </c>
      <c r="K62" s="238"/>
      <c r="L62" s="238">
        <f>L49+L61</f>
        <v>0</v>
      </c>
      <c r="M62" s="287">
        <f>L62+J62+H62</f>
        <v>0</v>
      </c>
    </row>
    <row r="63" spans="1:13" x14ac:dyDescent="0.35">
      <c r="A63" s="95"/>
      <c r="B63" s="32"/>
      <c r="C63" s="33" t="s">
        <v>52</v>
      </c>
      <c r="D63" s="177">
        <v>0.05</v>
      </c>
      <c r="E63" s="95"/>
      <c r="F63" s="95"/>
      <c r="G63" s="182"/>
      <c r="H63" s="182"/>
      <c r="I63" s="182"/>
      <c r="J63" s="182"/>
      <c r="K63" s="182"/>
      <c r="L63" s="182"/>
      <c r="M63" s="182">
        <f>J62*D63</f>
        <v>0</v>
      </c>
    </row>
    <row r="64" spans="1:13" x14ac:dyDescent="0.35">
      <c r="A64" s="46"/>
      <c r="B64" s="46"/>
      <c r="C64" s="64" t="s">
        <v>23</v>
      </c>
      <c r="D64" s="105"/>
      <c r="E64" s="46"/>
      <c r="F64" s="46"/>
      <c r="G64" s="42"/>
      <c r="H64" s="42"/>
      <c r="I64" s="42"/>
      <c r="J64" s="42"/>
      <c r="K64" s="42"/>
      <c r="L64" s="42"/>
      <c r="M64" s="42">
        <f>M62+M63</f>
        <v>0</v>
      </c>
    </row>
    <row r="65" spans="1:13" x14ac:dyDescent="0.35">
      <c r="A65" s="49"/>
      <c r="B65" s="49"/>
      <c r="C65" s="66" t="s">
        <v>53</v>
      </c>
      <c r="D65" s="65">
        <v>0.1</v>
      </c>
      <c r="E65" s="49"/>
      <c r="F65" s="49"/>
      <c r="G65" s="141"/>
      <c r="H65" s="141"/>
      <c r="I65" s="141"/>
      <c r="J65" s="141"/>
      <c r="K65" s="141"/>
      <c r="L65" s="141"/>
      <c r="M65" s="141">
        <f>M64*D65</f>
        <v>0</v>
      </c>
    </row>
    <row r="66" spans="1:13" x14ac:dyDescent="0.35">
      <c r="A66" s="49"/>
      <c r="B66" s="49"/>
      <c r="C66" s="64" t="s">
        <v>23</v>
      </c>
      <c r="D66" s="49"/>
      <c r="E66" s="49"/>
      <c r="F66" s="49"/>
      <c r="G66" s="141"/>
      <c r="H66" s="141"/>
      <c r="I66" s="141"/>
      <c r="J66" s="141"/>
      <c r="K66" s="141"/>
      <c r="L66" s="141"/>
      <c r="M66" s="141">
        <f>M64+M65</f>
        <v>0</v>
      </c>
    </row>
    <row r="67" spans="1:13" x14ac:dyDescent="0.35">
      <c r="A67" s="106"/>
      <c r="B67" s="106"/>
      <c r="C67" s="106" t="s">
        <v>54</v>
      </c>
      <c r="D67" s="107">
        <v>0.08</v>
      </c>
      <c r="E67" s="106"/>
      <c r="F67" s="106"/>
      <c r="G67" s="288"/>
      <c r="H67" s="288"/>
      <c r="I67" s="288"/>
      <c r="J67" s="288"/>
      <c r="K67" s="288"/>
      <c r="L67" s="288"/>
      <c r="M67" s="87">
        <f>M66*D67</f>
        <v>0</v>
      </c>
    </row>
    <row r="68" spans="1:13" x14ac:dyDescent="0.35">
      <c r="A68" s="4"/>
      <c r="B68" s="4"/>
      <c r="C68" s="64" t="s">
        <v>23</v>
      </c>
      <c r="D68" s="4"/>
      <c r="E68" s="4"/>
      <c r="F68" s="4"/>
      <c r="G68" s="306"/>
      <c r="H68" s="306"/>
      <c r="I68" s="306"/>
      <c r="J68" s="306"/>
      <c r="K68" s="306"/>
      <c r="L68" s="306"/>
      <c r="M68" s="141">
        <f>M66+M67</f>
        <v>0</v>
      </c>
    </row>
    <row r="69" spans="1:13" x14ac:dyDescent="0.35">
      <c r="B69" s="30"/>
      <c r="C69" s="33" t="s">
        <v>24</v>
      </c>
      <c r="D69" s="177">
        <v>0.03</v>
      </c>
      <c r="E69" s="95"/>
      <c r="F69" s="95"/>
      <c r="G69" s="182"/>
      <c r="H69" s="182"/>
      <c r="I69" s="182"/>
      <c r="J69" s="182"/>
      <c r="K69" s="182"/>
      <c r="L69" s="182"/>
      <c r="M69" s="182">
        <f>M68*D69</f>
        <v>0</v>
      </c>
    </row>
    <row r="70" spans="1:13" x14ac:dyDescent="0.35">
      <c r="A70" s="169"/>
      <c r="B70" s="169"/>
      <c r="C70" s="203" t="s">
        <v>23</v>
      </c>
      <c r="D70" s="46"/>
      <c r="E70" s="46"/>
      <c r="F70" s="46"/>
      <c r="G70" s="42"/>
      <c r="H70" s="42"/>
      <c r="I70" s="42"/>
      <c r="J70" s="42"/>
      <c r="K70" s="42"/>
      <c r="L70" s="42"/>
      <c r="M70" s="42">
        <f>M68+M69</f>
        <v>0</v>
      </c>
    </row>
    <row r="71" spans="1:13" ht="26.5" thickBot="1" x14ac:dyDescent="0.4">
      <c r="A71" s="119"/>
      <c r="B71" s="30"/>
      <c r="C71" s="128" t="s">
        <v>25</v>
      </c>
      <c r="D71" s="123">
        <v>0.18</v>
      </c>
      <c r="E71" s="83"/>
      <c r="F71" s="83"/>
      <c r="G71" s="87"/>
      <c r="H71" s="87"/>
      <c r="I71" s="87"/>
      <c r="J71" s="87"/>
      <c r="K71" s="87"/>
      <c r="L71" s="87"/>
      <c r="M71" s="87">
        <f>M70*D71</f>
        <v>0</v>
      </c>
    </row>
    <row r="72" spans="1:13" ht="15" thickBot="1" x14ac:dyDescent="0.4">
      <c r="A72" s="212"/>
      <c r="B72" s="223"/>
      <c r="C72" s="110" t="s">
        <v>26</v>
      </c>
      <c r="D72" s="109"/>
      <c r="E72" s="109"/>
      <c r="F72" s="109"/>
      <c r="G72" s="214"/>
      <c r="H72" s="214"/>
      <c r="I72" s="214"/>
      <c r="J72" s="214"/>
      <c r="K72" s="214"/>
      <c r="L72" s="214"/>
      <c r="M72" s="287">
        <f t="shared" ref="M72" si="7">M70+M71</f>
        <v>0</v>
      </c>
    </row>
  </sheetData>
  <sheetProtection algorithmName="SHA-512" hashValue="QR2r/TEd9tPNerM4KkW5dw9kTJe42hXF28ANqH2MfbwxbiNPvCBDeZZrSqIktp0MGJDap1wdjlbbUf0VsSrOxg==" saltValue="7J4g4WEX2fgGILlz1OE3wQ==" spinCount="100000" sheet="1" objects="1" scenarios="1"/>
  <mergeCells count="16">
    <mergeCell ref="F6:F7"/>
    <mergeCell ref="B1:L1"/>
    <mergeCell ref="A2:M2"/>
    <mergeCell ref="A3:M3"/>
    <mergeCell ref="B4:E4"/>
    <mergeCell ref="B5:E5"/>
    <mergeCell ref="G6:H6"/>
    <mergeCell ref="I6:J6"/>
    <mergeCell ref="K6:L6"/>
    <mergeCell ref="M6:M7"/>
    <mergeCell ref="K4:L4"/>
    <mergeCell ref="A6:A7"/>
    <mergeCell ref="B6:B7"/>
    <mergeCell ref="C6:C7"/>
    <mergeCell ref="D6:D7"/>
    <mergeCell ref="E6:E7"/>
  </mergeCells>
  <pageMargins left="0.95" right="0.4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კრებსითი</vt:lpstr>
      <vt:lpstr>1. მიწის სამუშაოები</vt:lpstr>
      <vt:lpstr>2. საძიკვლ. მონოლითი</vt:lpstr>
      <vt:lpstr>3. ლითონის კარკასი 1</vt:lpstr>
      <vt:lpstr>4. სენდვიჩპ. მონტაჟი</vt:lpstr>
      <vt:lpstr>5. სარემონტ. სამ. კარ-ფანჯ.</vt:lpstr>
      <vt:lpstr>6. ტერიტორ. კეთილმოწყ.</vt:lpstr>
      <vt:lpstr>7.წყალკანალი</vt:lpstr>
      <vt:lpstr>8. ელმომარაგება</vt:lpstr>
      <vt:lpstr>9. სახანძრო</vt:lpstr>
      <vt:lpstr>10. ვიდეოკონტროლი</vt:lpstr>
      <vt:lpstr>11. მზის პანელები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MAMUKA</dc:creator>
  <cp:lastModifiedBy>Mikheil Khundadze</cp:lastModifiedBy>
  <cp:lastPrinted>2025-12-29T11:00:17Z</cp:lastPrinted>
  <dcterms:created xsi:type="dcterms:W3CDTF">2015-06-05T18:17:20Z</dcterms:created>
  <dcterms:modified xsi:type="dcterms:W3CDTF">2026-01-26T09:41:42Z</dcterms:modified>
</cp:coreProperties>
</file>