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qoqiashvili\Desktop\"/>
    </mc:Choice>
  </mc:AlternateContent>
  <xr:revisionPtr revIDLastSave="0" documentId="13_ncr:1_{E485C753-64B3-4AFE-9460-6A8B35C705DB}" xr6:coauthVersionLast="47" xr6:coauthVersionMax="47" xr10:uidLastSave="{00000000-0000-0000-0000-000000000000}"/>
  <bookViews>
    <workbookView xWindow="-108" yWindow="-108" windowWidth="23256" windowHeight="13896" xr2:uid="{31BE7BA5-C8BF-4CB9-AB65-79B76BC97A02}"/>
  </bookViews>
  <sheets>
    <sheet name="კრებსითი" sheetId="7" r:id="rId1"/>
    <sheet name="ვერტიკალური გეგმარება" sheetId="1" r:id="rId2"/>
    <sheet name="დენდროლოგია" sheetId="3" r:id="rId3"/>
    <sheet name="ტერიტორიის საყრდენი კედლები" sheetId="4" r:id="rId4"/>
    <sheet name="გარე განათება" sheetId="5" r:id="rId5"/>
    <sheet name="გარე კომუნიკაცია" sheetId="6" r:id="rId6"/>
  </sheets>
  <definedNames>
    <definedName name="_xlnm._FilterDatabase" localSheetId="1" hidden="1">'ვერტიკალური გეგმარება'!$B$4:$M$198</definedName>
    <definedName name="_xlnm._FilterDatabase" localSheetId="3" hidden="1">'ტერიტორიის საყრდენი კედლები'!$B$4:$L$262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0" i="6" l="1"/>
  <c r="G60" i="6"/>
  <c r="G59" i="6"/>
  <c r="J59" i="6" s="1"/>
  <c r="G58" i="6"/>
  <c r="J58" i="6" s="1"/>
  <c r="G57" i="6"/>
  <c r="J57" i="6" s="1"/>
  <c r="I56" i="6"/>
  <c r="J56" i="6" s="1"/>
  <c r="E54" i="6"/>
  <c r="G54" i="6" s="1"/>
  <c r="E53" i="6"/>
  <c r="G53" i="6" s="1"/>
  <c r="J53" i="6" s="1"/>
  <c r="G52" i="6"/>
  <c r="J52" i="6" s="1"/>
  <c r="G51" i="6"/>
  <c r="J51" i="6" s="1"/>
  <c r="G50" i="6"/>
  <c r="J50" i="6" s="1"/>
  <c r="G49" i="6"/>
  <c r="J49" i="6" s="1"/>
  <c r="I48" i="6"/>
  <c r="J48" i="6" s="1"/>
  <c r="G48" i="6"/>
  <c r="E47" i="6"/>
  <c r="I47" i="6" s="1"/>
  <c r="I45" i="6"/>
  <c r="G45" i="6"/>
  <c r="I44" i="6"/>
  <c r="G44" i="6"/>
  <c r="I43" i="6"/>
  <c r="J43" i="6" s="1"/>
  <c r="G43" i="6"/>
  <c r="I42" i="6"/>
  <c r="G42" i="6"/>
  <c r="I41" i="6"/>
  <c r="G41" i="6"/>
  <c r="J40" i="6"/>
  <c r="G39" i="6"/>
  <c r="E39" i="6"/>
  <c r="I39" i="6" s="1"/>
  <c r="J39" i="6" s="1"/>
  <c r="E38" i="6"/>
  <c r="G38" i="6" s="1"/>
  <c r="J38" i="6" s="1"/>
  <c r="I37" i="6"/>
  <c r="G37" i="6"/>
  <c r="I36" i="6"/>
  <c r="G36" i="6"/>
  <c r="J35" i="6"/>
  <c r="I35" i="6"/>
  <c r="G35" i="6"/>
  <c r="I34" i="6"/>
  <c r="G34" i="6"/>
  <c r="I33" i="6"/>
  <c r="G33" i="6"/>
  <c r="E32" i="6"/>
  <c r="I32" i="6" s="1"/>
  <c r="I30" i="6"/>
  <c r="G30" i="6"/>
  <c r="I29" i="6"/>
  <c r="J29" i="6" s="1"/>
  <c r="G29" i="6"/>
  <c r="I28" i="6"/>
  <c r="G28" i="6"/>
  <c r="I26" i="6"/>
  <c r="G26" i="6"/>
  <c r="I25" i="6"/>
  <c r="J25" i="6" s="1"/>
  <c r="G25" i="6"/>
  <c r="I24" i="6"/>
  <c r="G24" i="6"/>
  <c r="I23" i="6"/>
  <c r="G23" i="6"/>
  <c r="J23" i="6" s="1"/>
  <c r="I22" i="6"/>
  <c r="G22" i="6"/>
  <c r="E20" i="6"/>
  <c r="I20" i="6" s="1"/>
  <c r="E19" i="6"/>
  <c r="G19" i="6" s="1"/>
  <c r="J19" i="6" s="1"/>
  <c r="I18" i="6"/>
  <c r="J18" i="6" s="1"/>
  <c r="G18" i="6"/>
  <c r="I17" i="6"/>
  <c r="G17" i="6"/>
  <c r="J17" i="6" s="1"/>
  <c r="I16" i="6"/>
  <c r="J16" i="6" s="1"/>
  <c r="G16" i="6"/>
  <c r="I15" i="6"/>
  <c r="G15" i="6"/>
  <c r="I14" i="6"/>
  <c r="G14" i="6"/>
  <c r="E13" i="6"/>
  <c r="I13" i="6" s="1"/>
  <c r="I11" i="6"/>
  <c r="J11" i="6" s="1"/>
  <c r="G11" i="6"/>
  <c r="I10" i="6"/>
  <c r="G10" i="6"/>
  <c r="I9" i="6"/>
  <c r="G9" i="6"/>
  <c r="E8" i="6"/>
  <c r="I7" i="6"/>
  <c r="J7" i="6" s="1"/>
  <c r="G7" i="6"/>
  <c r="I6" i="6"/>
  <c r="G6" i="6"/>
  <c r="J6" i="6" l="1"/>
  <c r="J22" i="6"/>
  <c r="J41" i="6"/>
  <c r="J42" i="6"/>
  <c r="J24" i="6"/>
  <c r="J30" i="6"/>
  <c r="J14" i="6"/>
  <c r="J36" i="6"/>
  <c r="J33" i="6"/>
  <c r="J34" i="6"/>
  <c r="J44" i="6"/>
  <c r="J9" i="6"/>
  <c r="J28" i="6"/>
  <c r="J45" i="6"/>
  <c r="J10" i="6"/>
  <c r="J37" i="6"/>
  <c r="J15" i="6"/>
  <c r="J26" i="6"/>
  <c r="J60" i="6"/>
  <c r="G20" i="6"/>
  <c r="J20" i="6" s="1"/>
  <c r="G13" i="6"/>
  <c r="J13" i="6" s="1"/>
  <c r="G32" i="6"/>
  <c r="J32" i="6" s="1"/>
  <c r="I54" i="6"/>
  <c r="J54" i="6" s="1"/>
  <c r="G47" i="6"/>
  <c r="J47" i="6" s="1"/>
  <c r="E99" i="1"/>
  <c r="J61" i="6" l="1"/>
  <c r="G61" i="6"/>
  <c r="J62" i="6" s="1"/>
  <c r="I61" i="6"/>
  <c r="F93" i="1"/>
  <c r="F99" i="1" s="1"/>
  <c r="E98" i="1"/>
  <c r="M96" i="1"/>
  <c r="F92" i="1"/>
  <c r="H92" i="1" s="1"/>
  <c r="M92" i="1" s="1"/>
  <c r="F90" i="1"/>
  <c r="H90" i="1" s="1"/>
  <c r="M90" i="1" s="1"/>
  <c r="F89" i="1"/>
  <c r="H89" i="1" s="1"/>
  <c r="M89" i="1" s="1"/>
  <c r="M88" i="1"/>
  <c r="F87" i="1"/>
  <c r="L87" i="1" s="1"/>
  <c r="M87" i="1" s="1"/>
  <c r="F86" i="1"/>
  <c r="J86" i="1" s="1"/>
  <c r="M86" i="1" s="1"/>
  <c r="J63" i="6" l="1"/>
  <c r="F98" i="1"/>
  <c r="F94" i="1"/>
  <c r="F95" i="1"/>
  <c r="F103" i="1"/>
  <c r="H103" i="1" s="1"/>
  <c r="M103" i="1" s="1"/>
  <c r="J94" i="1"/>
  <c r="M94" i="1" s="1"/>
  <c r="F102" i="1"/>
  <c r="H102" i="1" s="1"/>
  <c r="M102" i="1" s="1"/>
  <c r="F91" i="1"/>
  <c r="H91" i="1" s="1"/>
  <c r="M91" i="1" s="1"/>
  <c r="N85" i="1" s="1"/>
  <c r="N86" i="1" s="1"/>
  <c r="H99" i="1"/>
  <c r="M99" i="1" s="1"/>
  <c r="F101" i="1"/>
  <c r="H101" i="1" s="1"/>
  <c r="M101" i="1" s="1"/>
  <c r="H98" i="1" l="1"/>
  <c r="M98" i="1" s="1"/>
  <c r="F100" i="1"/>
  <c r="H100" i="1" s="1"/>
  <c r="M100" i="1" s="1"/>
  <c r="J64" i="6"/>
  <c r="J65" i="6" s="1"/>
  <c r="L95" i="1"/>
  <c r="M95" i="1" s="1"/>
  <c r="F97" i="1"/>
  <c r="H97" i="1" s="1"/>
  <c r="M97" i="1" s="1"/>
  <c r="J66" i="6" l="1"/>
  <c r="J67" i="6" s="1"/>
  <c r="J68" i="6" s="1"/>
  <c r="J69" i="6" s="1"/>
  <c r="F72" i="1"/>
  <c r="F143" i="1"/>
  <c r="H143" i="1" s="1"/>
  <c r="M143" i="1" s="1"/>
  <c r="F142" i="1"/>
  <c r="J142" i="1" l="1"/>
  <c r="M142" i="1" s="1"/>
  <c r="F78" i="1"/>
  <c r="H78" i="1" s="1"/>
  <c r="M78" i="1" s="1"/>
  <c r="F77" i="1"/>
  <c r="J77" i="1" s="1"/>
  <c r="M77" i="1" s="1"/>
  <c r="F140" i="1" l="1"/>
  <c r="H140" i="1" s="1"/>
  <c r="M140" i="1" s="1"/>
  <c r="F139" i="1"/>
  <c r="J139" i="1" l="1"/>
  <c r="M139" i="1" s="1"/>
  <c r="F5" i="1" l="1"/>
  <c r="F6" i="1" s="1"/>
  <c r="J33" i="3"/>
  <c r="J24" i="3"/>
  <c r="J23" i="3"/>
  <c r="J22" i="3"/>
  <c r="M154" i="1"/>
  <c r="M147" i="1"/>
  <c r="D146" i="1"/>
  <c r="F159" i="1"/>
  <c r="F156" i="1" s="1"/>
  <c r="F144" i="1" s="1"/>
  <c r="F146" i="1" s="1"/>
  <c r="L146" i="1" s="1"/>
  <c r="M146" i="1" s="1"/>
  <c r="M158" i="1"/>
  <c r="F33" i="5"/>
  <c r="F149" i="1" l="1"/>
  <c r="F153" i="1" s="1"/>
  <c r="L153" i="1" s="1"/>
  <c r="M153" i="1" s="1"/>
  <c r="F151" i="1"/>
  <c r="L151" i="1" s="1"/>
  <c r="M151" i="1" s="1"/>
  <c r="F150" i="1"/>
  <c r="J150" i="1" s="1"/>
  <c r="M150" i="1" s="1"/>
  <c r="F148" i="1"/>
  <c r="H148" i="1" s="1"/>
  <c r="M148" i="1" s="1"/>
  <c r="N153" i="1"/>
  <c r="F155" i="1"/>
  <c r="H155" i="1" s="1"/>
  <c r="M155" i="1" s="1"/>
  <c r="F145" i="1"/>
  <c r="J145" i="1" s="1"/>
  <c r="M145" i="1" s="1"/>
  <c r="H159" i="1"/>
  <c r="M159" i="1" s="1"/>
  <c r="F160" i="1"/>
  <c r="H160" i="1" s="1"/>
  <c r="M160" i="1" s="1"/>
  <c r="F161" i="1"/>
  <c r="H161" i="1" s="1"/>
  <c r="M161" i="1" s="1"/>
  <c r="F157" i="1"/>
  <c r="J157" i="1" s="1"/>
  <c r="M157" i="1" s="1"/>
  <c r="F152" i="1" l="1"/>
  <c r="L152" i="1" s="1"/>
  <c r="M152" i="1" s="1"/>
  <c r="L38" i="3" l="1"/>
  <c r="M38" i="3" s="1"/>
  <c r="F27" i="1" l="1"/>
  <c r="H27" i="1" s="1"/>
  <c r="M27" i="1" s="1"/>
  <c r="F168" i="1" l="1"/>
  <c r="F174" i="1" s="1"/>
  <c r="F163" i="1"/>
  <c r="F164" i="1" s="1"/>
  <c r="J164" i="1" s="1"/>
  <c r="M164" i="1" s="1"/>
  <c r="M173" i="1"/>
  <c r="F172" i="1"/>
  <c r="L172" i="1" s="1"/>
  <c r="M172" i="1" s="1"/>
  <c r="F171" i="1"/>
  <c r="L171" i="1" s="1"/>
  <c r="M171" i="1" s="1"/>
  <c r="F170" i="1"/>
  <c r="L170" i="1" s="1"/>
  <c r="M170" i="1" s="1"/>
  <c r="F169" i="1"/>
  <c r="D165" i="1"/>
  <c r="J169" i="1" l="1"/>
  <c r="M169" i="1" s="1"/>
  <c r="H174" i="1"/>
  <c r="M174" i="1" s="1"/>
  <c r="F165" i="1"/>
  <c r="L165" i="1" s="1"/>
  <c r="M165" i="1" s="1"/>
  <c r="F167" i="1"/>
  <c r="H167" i="1" s="1"/>
  <c r="M167" i="1" s="1"/>
  <c r="F24" i="5" l="1"/>
  <c r="F22" i="5"/>
  <c r="F129" i="1"/>
  <c r="F126" i="1"/>
  <c r="F130" i="1" l="1"/>
  <c r="F131" i="1"/>
  <c r="J130" i="1"/>
  <c r="H130" i="1"/>
  <c r="B249" i="4"/>
  <c r="B242" i="4"/>
  <c r="E240" i="4"/>
  <c r="E239" i="4"/>
  <c r="E238" i="4"/>
  <c r="E241" i="4"/>
  <c r="G241" i="4" s="1"/>
  <c r="L241" i="4" s="1"/>
  <c r="G240" i="4"/>
  <c r="L240" i="4" s="1"/>
  <c r="G239" i="4"/>
  <c r="L239" i="4" s="1"/>
  <c r="E237" i="4"/>
  <c r="G237" i="4" s="1"/>
  <c r="L237" i="4" s="1"/>
  <c r="E236" i="4"/>
  <c r="G236" i="4" s="1"/>
  <c r="L236" i="4" s="1"/>
  <c r="E235" i="4"/>
  <c r="G235" i="4" s="1"/>
  <c r="L235" i="4" s="1"/>
  <c r="E234" i="4"/>
  <c r="K234" i="4" s="1"/>
  <c r="L234" i="4" s="1"/>
  <c r="E233" i="4"/>
  <c r="K233" i="4" s="1"/>
  <c r="L233" i="4" s="1"/>
  <c r="E232" i="4"/>
  <c r="E229" i="4"/>
  <c r="E228" i="4"/>
  <c r="E227" i="4"/>
  <c r="E230" i="4"/>
  <c r="G230" i="4" s="1"/>
  <c r="L230" i="4" s="1"/>
  <c r="G229" i="4"/>
  <c r="L229" i="4" s="1"/>
  <c r="G228" i="4"/>
  <c r="L228" i="4" s="1"/>
  <c r="E226" i="4"/>
  <c r="G226" i="4" s="1"/>
  <c r="L226" i="4" s="1"/>
  <c r="E225" i="4"/>
  <c r="G225" i="4" s="1"/>
  <c r="L225" i="4" s="1"/>
  <c r="E224" i="4"/>
  <c r="E223" i="4"/>
  <c r="K223" i="4" s="1"/>
  <c r="L223" i="4" s="1"/>
  <c r="E222" i="4"/>
  <c r="K222" i="4" s="1"/>
  <c r="L222" i="4" s="1"/>
  <c r="E221" i="4"/>
  <c r="E218" i="4"/>
  <c r="E217" i="4"/>
  <c r="E216" i="4"/>
  <c r="E219" i="4"/>
  <c r="G219" i="4" s="1"/>
  <c r="L219" i="4" s="1"/>
  <c r="G218" i="4"/>
  <c r="L218" i="4" s="1"/>
  <c r="G217" i="4"/>
  <c r="L217" i="4" s="1"/>
  <c r="G216" i="4"/>
  <c r="L216" i="4" s="1"/>
  <c r="E214" i="4"/>
  <c r="G214" i="4" s="1"/>
  <c r="L214" i="4" s="1"/>
  <c r="E213" i="4"/>
  <c r="E212" i="4"/>
  <c r="K212" i="4" s="1"/>
  <c r="L212" i="4" s="1"/>
  <c r="E211" i="4"/>
  <c r="K211" i="4" s="1"/>
  <c r="L211" i="4" s="1"/>
  <c r="E210" i="4"/>
  <c r="E207" i="4"/>
  <c r="E206" i="4"/>
  <c r="E205" i="4"/>
  <c r="E208" i="4"/>
  <c r="G208" i="4" s="1"/>
  <c r="L208" i="4" s="1"/>
  <c r="G207" i="4"/>
  <c r="L207" i="4" s="1"/>
  <c r="E204" i="4"/>
  <c r="G204" i="4" s="1"/>
  <c r="L204" i="4" s="1"/>
  <c r="E203" i="4"/>
  <c r="G203" i="4" s="1"/>
  <c r="L203" i="4" s="1"/>
  <c r="E202" i="4"/>
  <c r="E201" i="4"/>
  <c r="K201" i="4" s="1"/>
  <c r="L201" i="4" s="1"/>
  <c r="E200" i="4"/>
  <c r="K200" i="4" s="1"/>
  <c r="L200" i="4" s="1"/>
  <c r="E199" i="4"/>
  <c r="E196" i="4"/>
  <c r="E195" i="4"/>
  <c r="E194" i="4"/>
  <c r="E197" i="4"/>
  <c r="G197" i="4" s="1"/>
  <c r="L197" i="4" s="1"/>
  <c r="G196" i="4"/>
  <c r="L196" i="4" s="1"/>
  <c r="G195" i="4"/>
  <c r="L195" i="4" s="1"/>
  <c r="E193" i="4"/>
  <c r="G193" i="4" s="1"/>
  <c r="L193" i="4" s="1"/>
  <c r="E192" i="4"/>
  <c r="G192" i="4" s="1"/>
  <c r="L192" i="4" s="1"/>
  <c r="E191" i="4"/>
  <c r="E190" i="4"/>
  <c r="K190" i="4" s="1"/>
  <c r="L190" i="4" s="1"/>
  <c r="E189" i="4"/>
  <c r="K189" i="4" s="1"/>
  <c r="L189" i="4" s="1"/>
  <c r="E188" i="4"/>
  <c r="E185" i="4"/>
  <c r="E184" i="4"/>
  <c r="E183" i="4"/>
  <c r="E186" i="4"/>
  <c r="G186" i="4" s="1"/>
  <c r="L186" i="4" s="1"/>
  <c r="G185" i="4"/>
  <c r="L185" i="4" s="1"/>
  <c r="E181" i="4"/>
  <c r="G181" i="4" s="1"/>
  <c r="L181" i="4" s="1"/>
  <c r="E180" i="4"/>
  <c r="E179" i="4"/>
  <c r="K179" i="4" s="1"/>
  <c r="L179" i="4" s="1"/>
  <c r="E178" i="4"/>
  <c r="K178" i="4" s="1"/>
  <c r="L178" i="4" s="1"/>
  <c r="E177" i="4"/>
  <c r="E174" i="4"/>
  <c r="E173" i="4"/>
  <c r="E172" i="4"/>
  <c r="E175" i="4"/>
  <c r="G175" i="4" s="1"/>
  <c r="L175" i="4" s="1"/>
  <c r="E170" i="4"/>
  <c r="G170" i="4" s="1"/>
  <c r="L170" i="4" s="1"/>
  <c r="E169" i="4"/>
  <c r="E168" i="4"/>
  <c r="K168" i="4" s="1"/>
  <c r="L168" i="4" s="1"/>
  <c r="E167" i="4"/>
  <c r="K167" i="4" s="1"/>
  <c r="L167" i="4" s="1"/>
  <c r="E166" i="4"/>
  <c r="E163" i="4"/>
  <c r="E162" i="4"/>
  <c r="E161" i="4"/>
  <c r="E164" i="4"/>
  <c r="G164" i="4" s="1"/>
  <c r="L164" i="4" s="1"/>
  <c r="E159" i="4"/>
  <c r="G159" i="4" s="1"/>
  <c r="L159" i="4" s="1"/>
  <c r="E158" i="4"/>
  <c r="E157" i="4"/>
  <c r="K157" i="4" s="1"/>
  <c r="L157" i="4" s="1"/>
  <c r="E156" i="4"/>
  <c r="K156" i="4" s="1"/>
  <c r="L156" i="4" s="1"/>
  <c r="E155" i="4"/>
  <c r="E152" i="4"/>
  <c r="E151" i="4"/>
  <c r="E150" i="4"/>
  <c r="E153" i="4"/>
  <c r="G153" i="4" s="1"/>
  <c r="L153" i="4" s="1"/>
  <c r="E148" i="4"/>
  <c r="G148" i="4" s="1"/>
  <c r="L148" i="4" s="1"/>
  <c r="E147" i="4"/>
  <c r="G147" i="4" s="1"/>
  <c r="L147" i="4" s="1"/>
  <c r="E146" i="4"/>
  <c r="K146" i="4" s="1"/>
  <c r="L146" i="4" s="1"/>
  <c r="E145" i="4"/>
  <c r="K145" i="4" s="1"/>
  <c r="L145" i="4" s="1"/>
  <c r="E144" i="4"/>
  <c r="I144" i="4" s="1"/>
  <c r="L144" i="4" s="1"/>
  <c r="E141" i="4"/>
  <c r="E140" i="4"/>
  <c r="E139" i="4"/>
  <c r="E142" i="4"/>
  <c r="G142" i="4" s="1"/>
  <c r="L142" i="4" s="1"/>
  <c r="E137" i="4"/>
  <c r="G137" i="4" s="1"/>
  <c r="L137" i="4" s="1"/>
  <c r="E136" i="4"/>
  <c r="E135" i="4"/>
  <c r="K135" i="4" s="1"/>
  <c r="L135" i="4" s="1"/>
  <c r="E134" i="4"/>
  <c r="K134" i="4" s="1"/>
  <c r="L134" i="4" s="1"/>
  <c r="E133" i="4"/>
  <c r="E130" i="4"/>
  <c r="E129" i="4"/>
  <c r="E128" i="4"/>
  <c r="E131" i="4"/>
  <c r="G131" i="4" s="1"/>
  <c r="L131" i="4" s="1"/>
  <c r="E126" i="4"/>
  <c r="G126" i="4" s="1"/>
  <c r="L126" i="4" s="1"/>
  <c r="E125" i="4"/>
  <c r="E124" i="4"/>
  <c r="K124" i="4" s="1"/>
  <c r="L124" i="4" s="1"/>
  <c r="E123" i="4"/>
  <c r="K123" i="4" s="1"/>
  <c r="L123" i="4" s="1"/>
  <c r="E122" i="4"/>
  <c r="E119" i="4"/>
  <c r="E118" i="4"/>
  <c r="E117" i="4"/>
  <c r="E120" i="4"/>
  <c r="G120" i="4" s="1"/>
  <c r="L120" i="4" s="1"/>
  <c r="E115" i="4"/>
  <c r="G115" i="4" s="1"/>
  <c r="L115" i="4" s="1"/>
  <c r="E114" i="4"/>
  <c r="E113" i="4"/>
  <c r="K113" i="4" s="1"/>
  <c r="L113" i="4" s="1"/>
  <c r="E112" i="4"/>
  <c r="K112" i="4" s="1"/>
  <c r="L112" i="4" s="1"/>
  <c r="E111" i="4"/>
  <c r="E108" i="4"/>
  <c r="E107" i="4"/>
  <c r="E106" i="4"/>
  <c r="E109" i="4"/>
  <c r="G109" i="4" s="1"/>
  <c r="L109" i="4" s="1"/>
  <c r="E104" i="4"/>
  <c r="G104" i="4" s="1"/>
  <c r="L104" i="4" s="1"/>
  <c r="E103" i="4"/>
  <c r="E102" i="4"/>
  <c r="K102" i="4" s="1"/>
  <c r="L102" i="4" s="1"/>
  <c r="E101" i="4"/>
  <c r="K101" i="4" s="1"/>
  <c r="L101" i="4" s="1"/>
  <c r="E100" i="4"/>
  <c r="E97" i="4"/>
  <c r="E96" i="4"/>
  <c r="E95" i="4"/>
  <c r="E98" i="4"/>
  <c r="G98" i="4" s="1"/>
  <c r="L98" i="4" s="1"/>
  <c r="E93" i="4"/>
  <c r="G93" i="4" s="1"/>
  <c r="L93" i="4" s="1"/>
  <c r="E92" i="4"/>
  <c r="E91" i="4"/>
  <c r="K91" i="4" s="1"/>
  <c r="L91" i="4" s="1"/>
  <c r="E90" i="4"/>
  <c r="K90" i="4" s="1"/>
  <c r="L90" i="4" s="1"/>
  <c r="E89" i="4"/>
  <c r="E86" i="4"/>
  <c r="E85" i="4"/>
  <c r="E84" i="4"/>
  <c r="E87" i="4"/>
  <c r="G87" i="4" s="1"/>
  <c r="L87" i="4" s="1"/>
  <c r="E82" i="4"/>
  <c r="G82" i="4" s="1"/>
  <c r="L82" i="4" s="1"/>
  <c r="E81" i="4"/>
  <c r="E80" i="4"/>
  <c r="K80" i="4" s="1"/>
  <c r="L80" i="4" s="1"/>
  <c r="E79" i="4"/>
  <c r="K79" i="4" s="1"/>
  <c r="L79" i="4" s="1"/>
  <c r="E78" i="4"/>
  <c r="E75" i="4"/>
  <c r="E74" i="4"/>
  <c r="E76" i="4"/>
  <c r="G76" i="4" s="1"/>
  <c r="L76" i="4" s="1"/>
  <c r="E72" i="4"/>
  <c r="G72" i="4" s="1"/>
  <c r="L72" i="4" s="1"/>
  <c r="E71" i="4"/>
  <c r="E70" i="4"/>
  <c r="K70" i="4" s="1"/>
  <c r="L70" i="4" s="1"/>
  <c r="E69" i="4"/>
  <c r="K69" i="4" s="1"/>
  <c r="L69" i="4" s="1"/>
  <c r="E68" i="4"/>
  <c r="E65" i="4"/>
  <c r="E66" i="4"/>
  <c r="G66" i="4" s="1"/>
  <c r="L66" i="4" s="1"/>
  <c r="E63" i="4"/>
  <c r="G63" i="4" s="1"/>
  <c r="L63" i="4" s="1"/>
  <c r="E62" i="4"/>
  <c r="E61" i="4"/>
  <c r="K61" i="4" s="1"/>
  <c r="L61" i="4" s="1"/>
  <c r="E60" i="4"/>
  <c r="K60" i="4" s="1"/>
  <c r="L60" i="4" s="1"/>
  <c r="E59" i="4"/>
  <c r="M130" i="1" l="1"/>
  <c r="I232" i="4"/>
  <c r="L232" i="4" s="1"/>
  <c r="I221" i="4"/>
  <c r="L221" i="4" s="1"/>
  <c r="G238" i="4"/>
  <c r="L238" i="4" s="1"/>
  <c r="I155" i="4"/>
  <c r="L155" i="4" s="1"/>
  <c r="G224" i="4"/>
  <c r="L224" i="4" s="1"/>
  <c r="I199" i="4"/>
  <c r="L199" i="4" s="1"/>
  <c r="I210" i="4"/>
  <c r="L210" i="4" s="1"/>
  <c r="G227" i="4"/>
  <c r="L227" i="4" s="1"/>
  <c r="G191" i="4"/>
  <c r="L191" i="4" s="1"/>
  <c r="G202" i="4"/>
  <c r="L202" i="4" s="1"/>
  <c r="G213" i="4"/>
  <c r="L213" i="4" s="1"/>
  <c r="I59" i="4"/>
  <c r="L59" i="4" s="1"/>
  <c r="G206" i="4"/>
  <c r="L206" i="4" s="1"/>
  <c r="I177" i="4"/>
  <c r="L177" i="4" s="1"/>
  <c r="E215" i="4"/>
  <c r="G215" i="4" s="1"/>
  <c r="L215" i="4" s="1"/>
  <c r="G205" i="4"/>
  <c r="L205" i="4" s="1"/>
  <c r="E94" i="4"/>
  <c r="G94" i="4" s="1"/>
  <c r="L94" i="4" s="1"/>
  <c r="I188" i="4"/>
  <c r="L188" i="4" s="1"/>
  <c r="G194" i="4"/>
  <c r="L194" i="4" s="1"/>
  <c r="I111" i="4"/>
  <c r="L111" i="4" s="1"/>
  <c r="G162" i="4"/>
  <c r="L162" i="4" s="1"/>
  <c r="E149" i="4"/>
  <c r="G149" i="4" s="1"/>
  <c r="L149" i="4" s="1"/>
  <c r="I78" i="4"/>
  <c r="L78" i="4" s="1"/>
  <c r="I166" i="4"/>
  <c r="L166" i="4" s="1"/>
  <c r="G183" i="4"/>
  <c r="L183" i="4" s="1"/>
  <c r="G151" i="4"/>
  <c r="L151" i="4" s="1"/>
  <c r="G152" i="4"/>
  <c r="L152" i="4" s="1"/>
  <c r="E171" i="4"/>
  <c r="G171" i="4" s="1"/>
  <c r="L171" i="4" s="1"/>
  <c r="G119" i="4"/>
  <c r="L119" i="4" s="1"/>
  <c r="G184" i="4"/>
  <c r="L184" i="4" s="1"/>
  <c r="G129" i="4"/>
  <c r="L129" i="4" s="1"/>
  <c r="G108" i="4"/>
  <c r="L108" i="4" s="1"/>
  <c r="G141" i="4"/>
  <c r="L141" i="4" s="1"/>
  <c r="G130" i="4"/>
  <c r="L130" i="4" s="1"/>
  <c r="G118" i="4"/>
  <c r="L118" i="4" s="1"/>
  <c r="G97" i="4"/>
  <c r="L97" i="4" s="1"/>
  <c r="G173" i="4"/>
  <c r="L173" i="4" s="1"/>
  <c r="G139" i="4"/>
  <c r="L139" i="4" s="1"/>
  <c r="E160" i="4"/>
  <c r="G160" i="4" s="1"/>
  <c r="L160" i="4" s="1"/>
  <c r="G174" i="4"/>
  <c r="L174" i="4" s="1"/>
  <c r="G180" i="4"/>
  <c r="L180" i="4" s="1"/>
  <c r="E182" i="4"/>
  <c r="G182" i="4" s="1"/>
  <c r="L182" i="4" s="1"/>
  <c r="G169" i="4"/>
  <c r="L169" i="4" s="1"/>
  <c r="G140" i="4"/>
  <c r="L140" i="4" s="1"/>
  <c r="G163" i="4"/>
  <c r="L163" i="4" s="1"/>
  <c r="E105" i="4"/>
  <c r="G105" i="4" s="1"/>
  <c r="L105" i="4" s="1"/>
  <c r="E116" i="4"/>
  <c r="G116" i="4" s="1"/>
  <c r="L116" i="4" s="1"/>
  <c r="E127" i="4"/>
  <c r="G127" i="4" s="1"/>
  <c r="L127" i="4" s="1"/>
  <c r="G96" i="4"/>
  <c r="L96" i="4" s="1"/>
  <c r="G172" i="4"/>
  <c r="L172" i="4" s="1"/>
  <c r="G107" i="4"/>
  <c r="L107" i="4" s="1"/>
  <c r="G158" i="4"/>
  <c r="L158" i="4" s="1"/>
  <c r="G161" i="4"/>
  <c r="L161" i="4" s="1"/>
  <c r="G150" i="4"/>
  <c r="L150" i="4" s="1"/>
  <c r="G136" i="4"/>
  <c r="L136" i="4" s="1"/>
  <c r="I133" i="4"/>
  <c r="L133" i="4" s="1"/>
  <c r="I100" i="4"/>
  <c r="L100" i="4" s="1"/>
  <c r="E138" i="4"/>
  <c r="G138" i="4" s="1"/>
  <c r="L138" i="4" s="1"/>
  <c r="G125" i="4"/>
  <c r="L125" i="4" s="1"/>
  <c r="I122" i="4"/>
  <c r="L122" i="4" s="1"/>
  <c r="G128" i="4"/>
  <c r="L128" i="4" s="1"/>
  <c r="I68" i="4"/>
  <c r="L68" i="4" s="1"/>
  <c r="G114" i="4"/>
  <c r="L114" i="4" s="1"/>
  <c r="G117" i="4"/>
  <c r="L117" i="4" s="1"/>
  <c r="G103" i="4"/>
  <c r="L103" i="4" s="1"/>
  <c r="G62" i="4"/>
  <c r="L62" i="4" s="1"/>
  <c r="I89" i="4"/>
  <c r="L89" i="4" s="1"/>
  <c r="G106" i="4"/>
  <c r="L106" i="4" s="1"/>
  <c r="G92" i="4"/>
  <c r="L92" i="4" s="1"/>
  <c r="G84" i="4"/>
  <c r="L84" i="4" s="1"/>
  <c r="G74" i="4"/>
  <c r="L74" i="4" s="1"/>
  <c r="G95" i="4"/>
  <c r="L95" i="4" s="1"/>
  <c r="G85" i="4"/>
  <c r="L85" i="4" s="1"/>
  <c r="E83" i="4"/>
  <c r="G83" i="4" s="1"/>
  <c r="L83" i="4" s="1"/>
  <c r="G81" i="4"/>
  <c r="L81" i="4" s="1"/>
  <c r="G75" i="4"/>
  <c r="L75" i="4" s="1"/>
  <c r="G86" i="4"/>
  <c r="L86" i="4" s="1"/>
  <c r="E73" i="4"/>
  <c r="G73" i="4" s="1"/>
  <c r="L73" i="4" s="1"/>
  <c r="G71" i="4"/>
  <c r="L71" i="4" s="1"/>
  <c r="G65" i="4"/>
  <c r="L65" i="4" s="1"/>
  <c r="E64" i="4"/>
  <c r="G64" i="4" s="1"/>
  <c r="L64" i="4" s="1"/>
  <c r="E56" i="4"/>
  <c r="E55" i="4"/>
  <c r="E54" i="4"/>
  <c r="E57" i="4"/>
  <c r="G57" i="4" s="1"/>
  <c r="L57" i="4" s="1"/>
  <c r="E52" i="4"/>
  <c r="G52" i="4" s="1"/>
  <c r="L52" i="4" s="1"/>
  <c r="E51" i="4"/>
  <c r="E50" i="4"/>
  <c r="K50" i="4" s="1"/>
  <c r="L50" i="4" s="1"/>
  <c r="E49" i="4"/>
  <c r="K49" i="4" s="1"/>
  <c r="L49" i="4" s="1"/>
  <c r="E48" i="4"/>
  <c r="E45" i="4"/>
  <c r="E44" i="4"/>
  <c r="E46" i="4"/>
  <c r="G46" i="4" s="1"/>
  <c r="L46" i="4" s="1"/>
  <c r="E42" i="4"/>
  <c r="G42" i="4" s="1"/>
  <c r="L42" i="4" s="1"/>
  <c r="E41" i="4"/>
  <c r="E40" i="4"/>
  <c r="K40" i="4" s="1"/>
  <c r="L40" i="4" s="1"/>
  <c r="E39" i="4"/>
  <c r="K39" i="4" s="1"/>
  <c r="L39" i="4" s="1"/>
  <c r="E38" i="4"/>
  <c r="I38" i="4" s="1"/>
  <c r="L38" i="4" s="1"/>
  <c r="E35" i="4"/>
  <c r="E36" i="4"/>
  <c r="G36" i="4" s="1"/>
  <c r="L36" i="4" s="1"/>
  <c r="E33" i="4"/>
  <c r="G33" i="4" s="1"/>
  <c r="L33" i="4" s="1"/>
  <c r="E32" i="4"/>
  <c r="E31" i="4"/>
  <c r="K31" i="4" s="1"/>
  <c r="L31" i="4" s="1"/>
  <c r="E30" i="4"/>
  <c r="K30" i="4" s="1"/>
  <c r="L30" i="4" s="1"/>
  <c r="E29" i="4"/>
  <c r="E26" i="4"/>
  <c r="E27" i="4"/>
  <c r="G27" i="4" s="1"/>
  <c r="L27" i="4" s="1"/>
  <c r="E24" i="4"/>
  <c r="G24" i="4" s="1"/>
  <c r="L24" i="4" s="1"/>
  <c r="E23" i="4"/>
  <c r="E22" i="4"/>
  <c r="K22" i="4" s="1"/>
  <c r="L22" i="4" s="1"/>
  <c r="E21" i="4"/>
  <c r="K21" i="4" s="1"/>
  <c r="L21" i="4" s="1"/>
  <c r="E20" i="4"/>
  <c r="G54" i="4" l="1"/>
  <c r="L54" i="4" s="1"/>
  <c r="G55" i="4"/>
  <c r="L55" i="4" s="1"/>
  <c r="G56" i="4"/>
  <c r="L56" i="4" s="1"/>
  <c r="I48" i="4"/>
  <c r="L48" i="4" s="1"/>
  <c r="G44" i="4"/>
  <c r="L44" i="4" s="1"/>
  <c r="G51" i="4"/>
  <c r="L51" i="4" s="1"/>
  <c r="G45" i="4"/>
  <c r="L45" i="4" s="1"/>
  <c r="E53" i="4"/>
  <c r="G53" i="4" s="1"/>
  <c r="L53" i="4" s="1"/>
  <c r="G35" i="4"/>
  <c r="L35" i="4" s="1"/>
  <c r="G41" i="4"/>
  <c r="L41" i="4" s="1"/>
  <c r="E43" i="4"/>
  <c r="G43" i="4" s="1"/>
  <c r="L43" i="4" s="1"/>
  <c r="I29" i="4"/>
  <c r="L29" i="4" s="1"/>
  <c r="I20" i="4"/>
  <c r="L20" i="4" s="1"/>
  <c r="G32" i="4"/>
  <c r="L32" i="4" s="1"/>
  <c r="E34" i="4"/>
  <c r="G34" i="4" s="1"/>
  <c r="L34" i="4" s="1"/>
  <c r="G26" i="4"/>
  <c r="L26" i="4" s="1"/>
  <c r="G23" i="4"/>
  <c r="L23" i="4" s="1"/>
  <c r="E25" i="4"/>
  <c r="G25" i="4" s="1"/>
  <c r="L25" i="4" s="1"/>
  <c r="F134" i="1"/>
  <c r="F133" i="1" l="1"/>
  <c r="J133" i="1" s="1"/>
  <c r="M133" i="1" s="1"/>
  <c r="H134" i="1"/>
  <c r="M134" i="1" s="1"/>
  <c r="F37" i="3" l="1"/>
  <c r="L37" i="3" s="1"/>
  <c r="M37" i="3" s="1"/>
  <c r="M36" i="3"/>
  <c r="F127" i="1" l="1"/>
  <c r="H131" i="1" s="1"/>
  <c r="M131" i="1" s="1"/>
  <c r="F128" i="1"/>
  <c r="J128" i="1" s="1"/>
  <c r="H127" i="1" l="1"/>
  <c r="J127" i="1"/>
  <c r="M127" i="1" s="1"/>
  <c r="M123" i="1" l="1"/>
  <c r="J27" i="5" l="1"/>
  <c r="J28" i="5"/>
  <c r="L31" i="5"/>
  <c r="L30" i="5"/>
  <c r="L29" i="5"/>
  <c r="L28" i="5"/>
  <c r="H27" i="5"/>
  <c r="M27" i="5" l="1"/>
  <c r="C7" i="7" l="1"/>
  <c r="D7" i="7" s="1"/>
  <c r="F23" i="5" l="1"/>
  <c r="L23" i="5" s="1"/>
  <c r="M23" i="5" s="1"/>
  <c r="F16" i="5"/>
  <c r="B26" i="5"/>
  <c r="M42" i="5"/>
  <c r="M36" i="5"/>
  <c r="F25" i="5"/>
  <c r="M19" i="5"/>
  <c r="F20" i="5"/>
  <c r="H20" i="5" s="1"/>
  <c r="M20" i="5" s="1"/>
  <c r="M14" i="5"/>
  <c r="F11" i="5"/>
  <c r="F13" i="5" s="1"/>
  <c r="L13" i="5" s="1"/>
  <c r="M13" i="5" s="1"/>
  <c r="B11" i="5"/>
  <c r="B16" i="5" s="1"/>
  <c r="B22" i="5" s="1"/>
  <c r="B24" i="5" s="1"/>
  <c r="B33" i="5" s="1"/>
  <c r="B39" i="5" s="1"/>
  <c r="F10" i="5"/>
  <c r="H10" i="5" s="1"/>
  <c r="M10" i="5" s="1"/>
  <c r="F9" i="5"/>
  <c r="M8" i="5"/>
  <c r="F7" i="5"/>
  <c r="L7" i="5" s="1"/>
  <c r="M7" i="5" s="1"/>
  <c r="F6" i="5"/>
  <c r="H9" i="5" l="1"/>
  <c r="M9" i="5" s="1"/>
  <c r="F44" i="5"/>
  <c r="H44" i="5" s="1"/>
  <c r="M44" i="5" s="1"/>
  <c r="F43" i="5"/>
  <c r="H43" i="5" s="1"/>
  <c r="M43" i="5" s="1"/>
  <c r="F41" i="5"/>
  <c r="L41" i="5" s="1"/>
  <c r="M41" i="5" s="1"/>
  <c r="F40" i="5"/>
  <c r="J40" i="5" s="1"/>
  <c r="M40" i="5" s="1"/>
  <c r="F35" i="5"/>
  <c r="L35" i="5" s="1"/>
  <c r="M35" i="5" s="1"/>
  <c r="F37" i="5"/>
  <c r="H37" i="5" s="1"/>
  <c r="M37" i="5" s="1"/>
  <c r="F34" i="5"/>
  <c r="J34" i="5" s="1"/>
  <c r="M34" i="5" s="1"/>
  <c r="F38" i="5"/>
  <c r="H38" i="5" s="1"/>
  <c r="M38" i="5" s="1"/>
  <c r="J25" i="5"/>
  <c r="H25" i="5"/>
  <c r="F17" i="5"/>
  <c r="F21" i="5" s="1"/>
  <c r="H21" i="5" s="1"/>
  <c r="M21" i="5" s="1"/>
  <c r="J6" i="5"/>
  <c r="M6" i="5" s="1"/>
  <c r="F18" i="5"/>
  <c r="L18" i="5" s="1"/>
  <c r="M18" i="5" s="1"/>
  <c r="F15" i="5"/>
  <c r="H15" i="5" s="1"/>
  <c r="F12" i="5"/>
  <c r="J12" i="5" s="1"/>
  <c r="L45" i="5" l="1"/>
  <c r="M15" i="5"/>
  <c r="M12" i="5"/>
  <c r="M25" i="5"/>
  <c r="J17" i="5"/>
  <c r="M17" i="5" s="1"/>
  <c r="J32" i="5" l="1"/>
  <c r="H32" i="5"/>
  <c r="J31" i="5"/>
  <c r="H31" i="5"/>
  <c r="J30" i="5"/>
  <c r="H30" i="5"/>
  <c r="J29" i="5"/>
  <c r="H29" i="5"/>
  <c r="H28" i="5"/>
  <c r="J45" i="5" l="1"/>
  <c r="H45" i="5"/>
  <c r="M46" i="5" s="1"/>
  <c r="M32" i="5"/>
  <c r="M30" i="5"/>
  <c r="M29" i="5"/>
  <c r="M31" i="5"/>
  <c r="M28" i="5"/>
  <c r="M45" i="5" l="1"/>
  <c r="M47" i="5" s="1"/>
  <c r="M48" i="5" s="1"/>
  <c r="M49" i="5" s="1"/>
  <c r="M50" i="5" s="1"/>
  <c r="M51" i="5" s="1"/>
  <c r="M52" i="5" s="1"/>
  <c r="M53" i="5" s="1"/>
  <c r="C6" i="7" s="1"/>
  <c r="E242" i="4"/>
  <c r="E10" i="4"/>
  <c r="E14" i="4" s="1"/>
  <c r="E6" i="4"/>
  <c r="F175" i="1"/>
  <c r="F191" i="1"/>
  <c r="F198" i="1" s="1"/>
  <c r="H198" i="1" s="1"/>
  <c r="M198" i="1" s="1"/>
  <c r="M196" i="1"/>
  <c r="E194" i="1"/>
  <c r="E193" i="1"/>
  <c r="M189" i="1"/>
  <c r="F186" i="1"/>
  <c r="H186" i="1" s="1"/>
  <c r="M186" i="1" s="1"/>
  <c r="F185" i="1"/>
  <c r="H185" i="1" s="1"/>
  <c r="M185" i="1" s="1"/>
  <c r="M184" i="1"/>
  <c r="E183" i="1"/>
  <c r="F183" i="1" s="1"/>
  <c r="L183" i="1" s="1"/>
  <c r="M183" i="1" s="1"/>
  <c r="E182" i="1"/>
  <c r="F182" i="1" s="1"/>
  <c r="L182" i="1" s="1"/>
  <c r="M182" i="1" s="1"/>
  <c r="E181" i="1"/>
  <c r="F181" i="1" s="1"/>
  <c r="L181" i="1" s="1"/>
  <c r="M181" i="1" s="1"/>
  <c r="F180" i="1"/>
  <c r="J180" i="1" s="1"/>
  <c r="M177" i="1"/>
  <c r="F187" i="1" l="1"/>
  <c r="F188" i="1" s="1"/>
  <c r="L188" i="1" s="1"/>
  <c r="M188" i="1" s="1"/>
  <c r="F193" i="1"/>
  <c r="L193" i="1" s="1"/>
  <c r="M193" i="1" s="1"/>
  <c r="F195" i="1"/>
  <c r="L195" i="1" s="1"/>
  <c r="M195" i="1" s="1"/>
  <c r="F197" i="1"/>
  <c r="H197" i="1" s="1"/>
  <c r="M197" i="1" s="1"/>
  <c r="F192" i="1"/>
  <c r="L192" i="1" s="1"/>
  <c r="F194" i="1"/>
  <c r="L194" i="1" s="1"/>
  <c r="M194" i="1" s="1"/>
  <c r="D6" i="7"/>
  <c r="F178" i="1"/>
  <c r="H178" i="1" s="1"/>
  <c r="M178" i="1" s="1"/>
  <c r="F176" i="1"/>
  <c r="L176" i="1" s="1"/>
  <c r="M176" i="1" s="1"/>
  <c r="F190" i="1"/>
  <c r="H190" i="1" s="1"/>
  <c r="M190" i="1" s="1"/>
  <c r="J192" i="1"/>
  <c r="M192" i="1" s="1"/>
  <c r="L180" i="1"/>
  <c r="M180" i="1" s="1"/>
  <c r="B10" i="4" l="1"/>
  <c r="E252" i="4"/>
  <c r="G252" i="4" s="1"/>
  <c r="L252" i="4" s="1"/>
  <c r="E251" i="4"/>
  <c r="K251" i="4" s="1"/>
  <c r="L251" i="4" s="1"/>
  <c r="E247" i="4"/>
  <c r="G247" i="4" s="1"/>
  <c r="L247" i="4" s="1"/>
  <c r="E16" i="4"/>
  <c r="G16" i="4" s="1"/>
  <c r="L16" i="4" s="1"/>
  <c r="E13" i="4"/>
  <c r="G13" i="4" s="1"/>
  <c r="L13" i="4" s="1"/>
  <c r="E9" i="4"/>
  <c r="G9" i="4" s="1"/>
  <c r="L9" i="4" s="1"/>
  <c r="E8" i="4"/>
  <c r="K8" i="4" s="1"/>
  <c r="L8" i="4" s="1"/>
  <c r="E7" i="4"/>
  <c r="I7" i="4" s="1"/>
  <c r="L7" i="4" s="1"/>
  <c r="F57" i="1"/>
  <c r="B14" i="4" l="1"/>
  <c r="E248" i="4"/>
  <c r="G248" i="4" s="1"/>
  <c r="L248" i="4" s="1"/>
  <c r="E243" i="4"/>
  <c r="I243" i="4" s="1"/>
  <c r="L243" i="4" s="1"/>
  <c r="E244" i="4"/>
  <c r="G244" i="4" s="1"/>
  <c r="L244" i="4" s="1"/>
  <c r="E250" i="4"/>
  <c r="K250" i="4" s="1"/>
  <c r="L250" i="4" s="1"/>
  <c r="E245" i="4"/>
  <c r="G245" i="4" s="1"/>
  <c r="L245" i="4" s="1"/>
  <c r="E246" i="4"/>
  <c r="G246" i="4" s="1"/>
  <c r="L246" i="4" s="1"/>
  <c r="E15" i="4"/>
  <c r="I15" i="4" s="1"/>
  <c r="L15" i="4" s="1"/>
  <c r="E17" i="4"/>
  <c r="G17" i="4" s="1"/>
  <c r="L17" i="4" s="1"/>
  <c r="E18" i="4"/>
  <c r="G18" i="4" s="1"/>
  <c r="L18" i="4" s="1"/>
  <c r="E11" i="4"/>
  <c r="I11" i="4" s="1"/>
  <c r="L11" i="4" s="1"/>
  <c r="E12" i="4"/>
  <c r="K12" i="4" s="1"/>
  <c r="L12" i="4" s="1"/>
  <c r="L254" i="4" l="1"/>
  <c r="K254" i="4"/>
  <c r="G254" i="4"/>
  <c r="I254" i="4"/>
  <c r="B19" i="4" l="1"/>
  <c r="H33" i="3"/>
  <c r="M33" i="3" s="1"/>
  <c r="H24" i="3"/>
  <c r="M24" i="3" s="1"/>
  <c r="H23" i="3"/>
  <c r="M23" i="3" s="1"/>
  <c r="H22" i="3"/>
  <c r="M22" i="3" s="1"/>
  <c r="F16" i="3"/>
  <c r="F32" i="3"/>
  <c r="F21" i="3"/>
  <c r="H18" i="3"/>
  <c r="H17" i="3"/>
  <c r="F35" i="3"/>
  <c r="F29" i="3"/>
  <c r="H29" i="3" s="1"/>
  <c r="M29" i="3" s="1"/>
  <c r="F28" i="3"/>
  <c r="M27" i="3"/>
  <c r="F26" i="3"/>
  <c r="M34" i="3"/>
  <c r="F13" i="3"/>
  <c r="F11" i="3"/>
  <c r="B8" i="3"/>
  <c r="F9" i="3"/>
  <c r="F7" i="3"/>
  <c r="B28" i="4" l="1"/>
  <c r="B37" i="4" s="1"/>
  <c r="B10" i="3"/>
  <c r="L255" i="4"/>
  <c r="J13" i="3"/>
  <c r="M13" i="3" s="1"/>
  <c r="J11" i="3"/>
  <c r="M11" i="3" s="1"/>
  <c r="J9" i="3"/>
  <c r="M9" i="3" s="1"/>
  <c r="F30" i="3"/>
  <c r="F31" i="3" s="1"/>
  <c r="J31" i="3" s="1"/>
  <c r="M31" i="3" s="1"/>
  <c r="F19" i="3"/>
  <c r="F20" i="3" s="1"/>
  <c r="J20" i="3" s="1"/>
  <c r="M20" i="3" s="1"/>
  <c r="F14" i="3"/>
  <c r="F15" i="3" s="1"/>
  <c r="J15" i="3" s="1"/>
  <c r="M15" i="3" s="1"/>
  <c r="M17" i="3"/>
  <c r="M18" i="3"/>
  <c r="H28" i="3"/>
  <c r="M28" i="3" s="1"/>
  <c r="J26" i="3"/>
  <c r="M26" i="3" s="1"/>
  <c r="H35" i="3"/>
  <c r="M35" i="3" s="1"/>
  <c r="B12" i="3"/>
  <c r="B14" i="3" s="1"/>
  <c r="J7" i="3"/>
  <c r="M7" i="3" s="1"/>
  <c r="F120" i="1"/>
  <c r="M37" i="1"/>
  <c r="B47" i="4" l="1"/>
  <c r="F125" i="1"/>
  <c r="H125" i="1" s="1"/>
  <c r="M125" i="1" s="1"/>
  <c r="F124" i="1"/>
  <c r="L256" i="4"/>
  <c r="B16" i="3"/>
  <c r="J124" i="1" l="1"/>
  <c r="M124" i="1" s="1"/>
  <c r="H128" i="1"/>
  <c r="M128" i="1" s="1"/>
  <c r="B58" i="4"/>
  <c r="L257" i="4"/>
  <c r="L258" i="4" s="1"/>
  <c r="B19" i="3"/>
  <c r="B21" i="3" s="1"/>
  <c r="B67" i="4" l="1"/>
  <c r="L259" i="4"/>
  <c r="L260" i="4" s="1"/>
  <c r="L261" i="4" s="1"/>
  <c r="L262" i="4" s="1"/>
  <c r="C5" i="7" s="1"/>
  <c r="D5" i="7" s="1"/>
  <c r="B25" i="3"/>
  <c r="B30" i="3" s="1"/>
  <c r="J40" i="3"/>
  <c r="L40" i="3"/>
  <c r="B77" i="4" l="1"/>
  <c r="B32" i="3"/>
  <c r="B34" i="3" s="1"/>
  <c r="M40" i="3"/>
  <c r="H40" i="3"/>
  <c r="M41" i="3" s="1"/>
  <c r="B88" i="4" l="1"/>
  <c r="B36" i="3"/>
  <c r="M42" i="3"/>
  <c r="M43" i="3" s="1"/>
  <c r="M44" i="3" s="1"/>
  <c r="B99" i="4" l="1"/>
  <c r="M45" i="3"/>
  <c r="M46" i="3" s="1"/>
  <c r="M47" i="3" s="1"/>
  <c r="M48" i="3" s="1"/>
  <c r="C4" i="7" s="1"/>
  <c r="D4" i="7" s="1"/>
  <c r="B110" i="4" l="1"/>
  <c r="F109" i="1"/>
  <c r="B121" i="4" l="1"/>
  <c r="F122" i="1"/>
  <c r="H122" i="1" s="1"/>
  <c r="M122" i="1" s="1"/>
  <c r="F121" i="1"/>
  <c r="H121" i="1" s="1"/>
  <c r="M121" i="1" s="1"/>
  <c r="H120" i="1"/>
  <c r="M120" i="1" s="1"/>
  <c r="F119" i="1"/>
  <c r="F118" i="1"/>
  <c r="F117" i="1"/>
  <c r="M116" i="1"/>
  <c r="F115" i="1"/>
  <c r="L115" i="1" s="1"/>
  <c r="M115" i="1" s="1"/>
  <c r="F114" i="1"/>
  <c r="M113" i="1"/>
  <c r="M109" i="1"/>
  <c r="F107" i="1"/>
  <c r="F108" i="1" s="1"/>
  <c r="M106" i="1"/>
  <c r="F105" i="1"/>
  <c r="M104" i="1"/>
  <c r="F61" i="1"/>
  <c r="H61" i="1" s="1"/>
  <c r="M61" i="1" s="1"/>
  <c r="F60" i="1"/>
  <c r="F59" i="1"/>
  <c r="H59" i="1" s="1"/>
  <c r="M59" i="1" s="1"/>
  <c r="M58" i="1"/>
  <c r="B132" i="4" l="1"/>
  <c r="H119" i="1"/>
  <c r="M119" i="1" s="1"/>
  <c r="J114" i="1"/>
  <c r="M114" i="1" s="1"/>
  <c r="H118" i="1"/>
  <c r="M118" i="1" s="1"/>
  <c r="H117" i="1"/>
  <c r="M117" i="1" s="1"/>
  <c r="H105" i="1"/>
  <c r="M105" i="1" s="1"/>
  <c r="H108" i="1"/>
  <c r="M108" i="1" s="1"/>
  <c r="J107" i="1"/>
  <c r="M107" i="1" s="1"/>
  <c r="F56" i="1"/>
  <c r="F62" i="1" s="1"/>
  <c r="H62" i="1" s="1"/>
  <c r="M62" i="1" s="1"/>
  <c r="H60" i="1"/>
  <c r="M60" i="1" s="1"/>
  <c r="B143" i="4" l="1"/>
  <c r="F63" i="1"/>
  <c r="H63" i="1" s="1"/>
  <c r="M63" i="1" s="1"/>
  <c r="J57" i="1"/>
  <c r="M57" i="1" s="1"/>
  <c r="M82" i="1"/>
  <c r="B154" i="4" l="1"/>
  <c r="B165" i="4" s="1"/>
  <c r="B176" i="4" s="1"/>
  <c r="B187" i="4" s="1"/>
  <c r="B198" i="4" s="1"/>
  <c r="B209" i="4" s="1"/>
  <c r="B220" i="4" s="1"/>
  <c r="B231" i="4" s="1"/>
  <c r="F84" i="1"/>
  <c r="E83" i="1"/>
  <c r="M79" i="1"/>
  <c r="M15" i="1"/>
  <c r="D14" i="1"/>
  <c r="F110" i="1" l="1"/>
  <c r="J110" i="1" s="1"/>
  <c r="M110" i="1" s="1"/>
  <c r="F112" i="1"/>
  <c r="H112" i="1" s="1"/>
  <c r="M112" i="1" s="1"/>
  <c r="F111" i="1"/>
  <c r="H111" i="1" s="1"/>
  <c r="M111" i="1" s="1"/>
  <c r="F83" i="1"/>
  <c r="F80" i="1"/>
  <c r="H83" i="1" l="1"/>
  <c r="M83" i="1" s="1"/>
  <c r="F81" i="1"/>
  <c r="L81" i="1" s="1"/>
  <c r="M81" i="1" s="1"/>
  <c r="H84" i="1"/>
  <c r="M84" i="1" s="1"/>
  <c r="J80" i="1"/>
  <c r="M80" i="1" s="1"/>
  <c r="F73" i="1" l="1"/>
  <c r="M71" i="1"/>
  <c r="M66" i="1"/>
  <c r="M49" i="1"/>
  <c r="M41" i="1"/>
  <c r="F67" i="1"/>
  <c r="H67" i="1" s="1"/>
  <c r="M67" i="1" s="1"/>
  <c r="F52" i="1"/>
  <c r="H52" i="1" s="1"/>
  <c r="M52" i="1" s="1"/>
  <c r="F53" i="1"/>
  <c r="H53" i="1" s="1"/>
  <c r="M53" i="1" s="1"/>
  <c r="F51" i="1"/>
  <c r="H51" i="1" s="1"/>
  <c r="M51" i="1" s="1"/>
  <c r="F50" i="1"/>
  <c r="E30" i="1"/>
  <c r="M28" i="1"/>
  <c r="F12" i="1"/>
  <c r="F44" i="1"/>
  <c r="H44" i="1" s="1"/>
  <c r="M44" i="1" s="1"/>
  <c r="F43" i="1"/>
  <c r="H43" i="1" s="1"/>
  <c r="M43" i="1" s="1"/>
  <c r="F42" i="1"/>
  <c r="H42" i="1" s="1"/>
  <c r="M42" i="1" s="1"/>
  <c r="F17" i="1"/>
  <c r="B7" i="1"/>
  <c r="M22" i="1"/>
  <c r="F47" i="1" l="1"/>
  <c r="F23" i="1"/>
  <c r="H23" i="1" s="1"/>
  <c r="F18" i="1"/>
  <c r="J18" i="1" s="1"/>
  <c r="B12" i="1"/>
  <c r="B17" i="1" s="1"/>
  <c r="F16" i="1"/>
  <c r="H16" i="1" s="1"/>
  <c r="M16" i="1" s="1"/>
  <c r="F14" i="1"/>
  <c r="L14" i="1" s="1"/>
  <c r="M14" i="1" s="1"/>
  <c r="F13" i="1"/>
  <c r="J13" i="1" s="1"/>
  <c r="M13" i="1" s="1"/>
  <c r="F39" i="1"/>
  <c r="F32" i="1" s="1"/>
  <c r="F48" i="1"/>
  <c r="J48" i="1" s="1"/>
  <c r="M48" i="1" s="1"/>
  <c r="F55" i="1"/>
  <c r="H55" i="1" s="1"/>
  <c r="M55" i="1" s="1"/>
  <c r="F54" i="1"/>
  <c r="H54" i="1" s="1"/>
  <c r="M54" i="1" s="1"/>
  <c r="H50" i="1"/>
  <c r="M50" i="1" s="1"/>
  <c r="F19" i="1"/>
  <c r="L19" i="1" s="1"/>
  <c r="F20" i="1"/>
  <c r="L20" i="1" s="1"/>
  <c r="M20" i="1" s="1"/>
  <c r="F21" i="1"/>
  <c r="L21" i="1" s="1"/>
  <c r="M21" i="1" s="1"/>
  <c r="D9" i="1"/>
  <c r="L6" i="1"/>
  <c r="N21" i="1" l="1"/>
  <c r="B24" i="1"/>
  <c r="F45" i="1"/>
  <c r="H45" i="1" s="1"/>
  <c r="M45" i="1" s="1"/>
  <c r="F40" i="1"/>
  <c r="J40" i="1" s="1"/>
  <c r="M40" i="1" s="1"/>
  <c r="M6" i="1"/>
  <c r="M18" i="1"/>
  <c r="M23" i="1"/>
  <c r="M19" i="1"/>
  <c r="B28" i="1"/>
  <c r="F46" i="1"/>
  <c r="H46" i="1" s="1"/>
  <c r="M46" i="1" s="1"/>
  <c r="F28" i="1"/>
  <c r="F38" i="1" l="1"/>
  <c r="H38" i="1" s="1"/>
  <c r="M38" i="1" s="1"/>
  <c r="F33" i="1"/>
  <c r="J33" i="1" s="1"/>
  <c r="M33" i="1" s="1"/>
  <c r="F36" i="1"/>
  <c r="L36" i="1" s="1"/>
  <c r="M36" i="1" s="1"/>
  <c r="F34" i="1"/>
  <c r="L34" i="1" s="1"/>
  <c r="F35" i="1"/>
  <c r="L35" i="1" s="1"/>
  <c r="M35" i="1" s="1"/>
  <c r="B39" i="1"/>
  <c r="F26" i="1"/>
  <c r="H26" i="1" s="1"/>
  <c r="F25" i="1"/>
  <c r="J25" i="1" s="1"/>
  <c r="M34" i="1" l="1"/>
  <c r="M25" i="1"/>
  <c r="M26" i="1"/>
  <c r="B47" i="1"/>
  <c r="F30" i="1"/>
  <c r="H30" i="1" s="1"/>
  <c r="F29" i="1"/>
  <c r="J29" i="1" s="1"/>
  <c r="M29" i="1" s="1"/>
  <c r="B56" i="1" l="1"/>
  <c r="M30" i="1"/>
  <c r="H31" i="1"/>
  <c r="M31" i="1" s="1"/>
  <c r="B64" i="1" l="1"/>
  <c r="B69" i="1" s="1"/>
  <c r="B76" i="1" s="1"/>
  <c r="B79" i="1" s="1"/>
  <c r="B85" i="1" s="1"/>
  <c r="B93" i="1" s="1"/>
  <c r="B104" i="1" l="1"/>
  <c r="B106" i="1" l="1"/>
  <c r="B109" i="1" s="1"/>
  <c r="B113" i="1" s="1"/>
  <c r="B123" i="1" s="1"/>
  <c r="B126" i="1" l="1"/>
  <c r="F68" i="1"/>
  <c r="H68" i="1" s="1"/>
  <c r="M68" i="1" s="1"/>
  <c r="F65" i="1"/>
  <c r="J65" i="1" s="1"/>
  <c r="H72" i="1"/>
  <c r="M72" i="1" s="1"/>
  <c r="F69" i="1"/>
  <c r="F7" i="1" s="1"/>
  <c r="H73" i="1"/>
  <c r="M73" i="1" s="1"/>
  <c r="B129" i="1" l="1"/>
  <c r="B132" i="1" s="1"/>
  <c r="B135" i="1" s="1"/>
  <c r="B138" i="1" s="1"/>
  <c r="B141" i="1" s="1"/>
  <c r="B144" i="1" s="1"/>
  <c r="F9" i="1"/>
  <c r="L9" i="1" s="1"/>
  <c r="F11" i="1"/>
  <c r="H11" i="1" s="1"/>
  <c r="M11" i="1" s="1"/>
  <c r="F8" i="1"/>
  <c r="J8" i="1" s="1"/>
  <c r="M8" i="1" s="1"/>
  <c r="F74" i="1"/>
  <c r="H74" i="1" s="1"/>
  <c r="M74" i="1" s="1"/>
  <c r="M65" i="1"/>
  <c r="F70" i="1"/>
  <c r="F75" i="1"/>
  <c r="H75" i="1" s="1"/>
  <c r="M9" i="1" l="1"/>
  <c r="L200" i="1"/>
  <c r="J70" i="1"/>
  <c r="M70" i="1" s="1"/>
  <c r="M75" i="1"/>
  <c r="H136" i="1"/>
  <c r="J136" i="1"/>
  <c r="J137" i="1"/>
  <c r="F135" i="1"/>
  <c r="H137" i="1"/>
  <c r="H200" i="1"/>
  <c r="M201" i="1" s="1"/>
  <c r="M137" i="1" l="1"/>
  <c r="J200" i="1"/>
  <c r="M136" i="1"/>
  <c r="M200" i="1" s="1"/>
  <c r="M202" i="1" s="1"/>
  <c r="M203" i="1" s="1"/>
  <c r="M204" i="1" s="1"/>
  <c r="M205" i="1" l="1"/>
  <c r="M206" i="1" s="1"/>
  <c r="M207" i="1" s="1"/>
  <c r="M208" i="1" s="1"/>
  <c r="C3" i="7" s="1"/>
  <c r="C8" i="7" l="1"/>
  <c r="D3" i="7"/>
  <c r="D8" i="7" s="1"/>
  <c r="B149" i="1" l="1"/>
  <c r="B156" i="1" s="1"/>
  <c r="B163" i="1" s="1"/>
  <c r="B175" i="1" s="1"/>
  <c r="B168" i="1" l="1"/>
  <c r="B179" i="1" s="1"/>
  <c r="B187" i="1" s="1"/>
  <c r="B191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<sst xmlns="http://schemas.openxmlformats.org/spreadsheetml/2006/main" count="1221" uniqueCount="277">
  <si>
    <t>#</t>
  </si>
  <si>
    <t>სამუშაოს დასახელება</t>
  </si>
  <si>
    <t>განზომილება</t>
  </si>
  <si>
    <t>ნორმ. ერთეული</t>
  </si>
  <si>
    <t>რაოდენობა</t>
  </si>
  <si>
    <t>მასალა</t>
  </si>
  <si>
    <t>ხელფასი</t>
  </si>
  <si>
    <t>მანქანა- მექანიზმები</t>
  </si>
  <si>
    <t>სულ</t>
  </si>
  <si>
    <t>ერთ. ფასი</t>
  </si>
  <si>
    <t>ჯამი</t>
  </si>
  <si>
    <t>კუბ.მ</t>
  </si>
  <si>
    <t>ბალასტით უკუშევსება</t>
  </si>
  <si>
    <t>მ³</t>
  </si>
  <si>
    <t>შრომის დანახარჯები</t>
  </si>
  <si>
    <t>მანქანა-მექანიზმები</t>
  </si>
  <si>
    <t>მასალა:</t>
  </si>
  <si>
    <t>ბალასტი</t>
  </si>
  <si>
    <r>
      <t>მ</t>
    </r>
    <r>
      <rPr>
        <b/>
        <vertAlign val="superscript"/>
        <sz val="10"/>
        <color theme="0"/>
        <rFont val="Calibri Light"/>
        <family val="2"/>
      </rPr>
      <t>3</t>
    </r>
  </si>
  <si>
    <t>კაც/სთ</t>
  </si>
  <si>
    <t>ავტოგრეიდერი საშუალო 108ცხ.ძ</t>
  </si>
  <si>
    <t>მანქ/სთ</t>
  </si>
  <si>
    <t>საგზაო თვითმავალი სატკეპნი პნევმოსვლაზე 5ტ-მდე</t>
  </si>
  <si>
    <t>საგზაო თვითმავალი სატკეპნი პნევმოსვლაზე 10ტ-მდე</t>
  </si>
  <si>
    <t>ღორღის ფენის მოწყობა სისქით 15სმ</t>
  </si>
  <si>
    <r>
      <t>მ</t>
    </r>
    <r>
      <rPr>
        <vertAlign val="superscript"/>
        <sz val="10"/>
        <color theme="1"/>
        <rFont val="Calibri Light"/>
        <family val="2"/>
      </rPr>
      <t>3</t>
    </r>
  </si>
  <si>
    <t>პარკინგის თავზე ზედაპირის მომზადება ჰიდროიზოლაციის მოსაწყობად და იზოლაციის მოწყობა</t>
  </si>
  <si>
    <t>მ²</t>
  </si>
  <si>
    <t>შრომის დანახარჯი</t>
  </si>
  <si>
    <t xml:space="preserve">iKote MTR 50 </t>
  </si>
  <si>
    <t>ლიტ</t>
  </si>
  <si>
    <t>ქვიშა-ცემენტის ხსნარი</t>
  </si>
  <si>
    <t>სხვა მასალა</t>
  </si>
  <si>
    <t>ლარი</t>
  </si>
  <si>
    <t>ტროტუარის მოწყობა ბაზალტის ფილებით (VF-02), (VF-03), (VF-04)</t>
  </si>
  <si>
    <t>მ3</t>
  </si>
  <si>
    <t>ტ</t>
  </si>
  <si>
    <t xml:space="preserve">სხვა მასალა </t>
  </si>
  <si>
    <t>მოჭიმვა ქვიშაცემენტის ხსნარით  სისქით 65მმ</t>
  </si>
  <si>
    <t>ტროტუარის მოწყობა ბაზალტის ფილებით (VF-01), (VF-05), (VF-06), (VF-07)</t>
  </si>
  <si>
    <t>ბეტონის ბორდიურების მოწყობა</t>
  </si>
  <si>
    <t>გრძ.მ</t>
  </si>
  <si>
    <t>ცემენტის ხსნარი მ100</t>
  </si>
  <si>
    <t>სხვა მანქანა</t>
  </si>
  <si>
    <t>ქვიშა-ცემენტის ნარევი 10%</t>
  </si>
  <si>
    <t>ფხაჭიანი ბეტონის მოწყობა</t>
  </si>
  <si>
    <t xml:space="preserve">შრომის დანახარჯები </t>
  </si>
  <si>
    <t>ბეტონის ტუმბო</t>
  </si>
  <si>
    <t>კგ</t>
  </si>
  <si>
    <t>ბეტონი B25</t>
  </si>
  <si>
    <t>ფხვიერი მიწა</t>
  </si>
  <si>
    <t>წყალი</t>
  </si>
  <si>
    <t>ზედნადები ხარჯები</t>
  </si>
  <si>
    <t>სატრანსპორტო ხარჯი მასალიდან</t>
  </si>
  <si>
    <t>გეგმიური დაგროვება</t>
  </si>
  <si>
    <t>დღგ</t>
  </si>
  <si>
    <t>ბეტონის სანიაღვრე არხის მოწყობა</t>
  </si>
  <si>
    <t>კვ.მ</t>
  </si>
  <si>
    <t>ცალი</t>
  </si>
  <si>
    <t>ანტიკოროზიული საღებავი</t>
  </si>
  <si>
    <t>ბეტონის თავების მოპირკეთება ბაზალტის ფილებით (ქუდები)</t>
  </si>
  <si>
    <t>წებო ცემენტი ყინვაგამძლე</t>
  </si>
  <si>
    <t>ბაზალტის ფილა 20 x 60 x 5</t>
  </si>
  <si>
    <t>ბაზალტის ფილა 25 x 60 x 5</t>
  </si>
  <si>
    <t>ბაზალტის ფილა 30 x 60 x 5</t>
  </si>
  <si>
    <t>კომპ.</t>
  </si>
  <si>
    <t>გაზონის მოწყობა და ირიგაცია</t>
  </si>
  <si>
    <t>ლითონის კონსტრუქცია</t>
  </si>
  <si>
    <t>ანტიკოროზიული გრუნტი</t>
  </si>
  <si>
    <t>ლითონის მოაჯირის მოწყობა საყრდენ კედელზე</t>
  </si>
  <si>
    <t>მოაჯირის დამუშავება და შეღებვა</t>
  </si>
  <si>
    <t>სავენტილაციო შახტების თავზე გალვანიზირებული თუნუქის ქოლგის მოწყობა, სისქით 0.5მმ, ლითონის კარკასზე</t>
  </si>
  <si>
    <t>კვადრატული მილი 40x40x3</t>
  </si>
  <si>
    <t>სჭვალი</t>
  </si>
  <si>
    <r>
      <t>მ</t>
    </r>
    <r>
      <rPr>
        <vertAlign val="superscript"/>
        <sz val="11"/>
        <rFont val="Calibri Light"/>
        <family val="2"/>
      </rPr>
      <t>3</t>
    </r>
  </si>
  <si>
    <r>
      <t xml:space="preserve">არმატურის შენადუღები ბადე </t>
    </r>
    <r>
      <rPr>
        <sz val="9"/>
        <rFont val="Calibri Light"/>
        <family val="2"/>
      </rPr>
      <t>Ø6</t>
    </r>
  </si>
  <si>
    <t>პადელის მოედნის მოწყობა (სკამების გათვალისწინებით)</t>
  </si>
  <si>
    <t xml:space="preserve">III კატ გრუნტის მოჭრა, დატვირთვა თვითმცლელებზე და გატანა ნაყარში 15 კმ-მდე მანძილზე </t>
  </si>
  <si>
    <t>ღორღი 0-10 მმ</t>
  </si>
  <si>
    <t>საფუძვლის მოწყობა ქვიშა-ხრეშოვანი ნარევით H=10 სმ</t>
  </si>
  <si>
    <t>ღრუტანიანი ფილა 32 x 48 x 10 სმ  (VF-09)</t>
  </si>
  <si>
    <t>გარე პარკინგის ზონის მოწყობა ღრუტანიანი ფილებით</t>
  </si>
  <si>
    <t>ლითონის ფურცელი 3მმ</t>
  </si>
  <si>
    <t>კვადრატული მილი 50x50x4</t>
  </si>
  <si>
    <t>ცხაური</t>
  </si>
  <si>
    <t>გარე განათება</t>
  </si>
  <si>
    <t>დენდროლოგია</t>
  </si>
  <si>
    <t>საყრდენი კედლები</t>
  </si>
  <si>
    <t>არსებული მცენარეების ფორმირება (გამხმარი ტოტების მოჭრა, გასხვლა)</t>
  </si>
  <si>
    <t>არსებული ზეხმელი,ხმობადი და ხილ-კენკროვანი ხეების მოჭრა</t>
  </si>
  <si>
    <t>არსებული ხეების გადარგვა საპროექტო ტერიტორიაზე</t>
  </si>
  <si>
    <t>ხეების დამაგრება (საპროექტო და გადასარგავი) ქარისგან დასაცავად (აკაციის 2 სარზე)</t>
  </si>
  <si>
    <t>ადგილების მომზადება წიწვიანი ხეების დასარგავად ნოყიერი მიწის ნაზავის დამატებით ორმოებში. (ორმოს ზომა 0.8X0.8X0.8)</t>
  </si>
  <si>
    <t>წიწვიანი ხეების დარგვა</t>
  </si>
  <si>
    <t>ადგილების მომზადება ფოთლოვანი ხეების დასარგავად 50% ნოყიერი მიწის ნაზავის დამატებით ორმოებში. (ორმოს ზომა ) 0.8X0.8X0.8</t>
  </si>
  <si>
    <t xml:space="preserve">ფოთლოვანი ხეების დარგვა </t>
  </si>
  <si>
    <t>ადგილების მომზადება ბუჩქების დასარგავად 50% ნოყიერი მიწის დამატებით ორმოებში. ორმოს ზომა 0.5X0.5X0.5</t>
  </si>
  <si>
    <t>ბუჩქების დარგვა</t>
  </si>
  <si>
    <t>15 სმ. სისქის ნოყიერი მიწის ნაზავის (ჰუმუსიანი ფენის შეტანა და გაშლა, ჩვეულებრივი გაზონის მოსაწყობად</t>
  </si>
  <si>
    <t>ჰიმალაური კედარი</t>
  </si>
  <si>
    <t>არიზონის კვიპაროსი</t>
  </si>
  <si>
    <t>შაქრის ნეკერჩხალი</t>
  </si>
  <si>
    <t>ცაცხვი წვრილფოთოლა</t>
  </si>
  <si>
    <t>ნეკერჩხალი ჩადარფოთოლა</t>
  </si>
  <si>
    <t>მანქანა-მექანიზმები (ექსკავატორი და თვითმცლელი)</t>
  </si>
  <si>
    <t>საძირკვლის ფილის ქვეშ ღორღის საფუძვლის  მოწყობა</t>
  </si>
  <si>
    <t>სატკეპნი</t>
  </si>
  <si>
    <t>ღორღი</t>
  </si>
  <si>
    <t>ბეტონის მომზადების მოწყობა</t>
  </si>
  <si>
    <t>საძირკვლის ფილის ქვეშ 1 ფენა იზოლაციის მოწყობა</t>
  </si>
  <si>
    <t>ბიტუმის პრაიმერი</t>
  </si>
  <si>
    <t xml:space="preserve">საიზოლაციო მასალა </t>
  </si>
  <si>
    <t>გაზი</t>
  </si>
  <si>
    <t>სხვა მანქანები</t>
  </si>
  <si>
    <t>საყალიბე სისტემა - კედლები</t>
  </si>
  <si>
    <t xml:space="preserve">არმატურის კარკასის დამზადების მასალები </t>
  </si>
  <si>
    <t>არმატურა А500С Ø=8მმ</t>
  </si>
  <si>
    <t>არმატურა А500С Ø=10მმ</t>
  </si>
  <si>
    <t>არმატურა А500С Ø=12მმ</t>
  </si>
  <si>
    <t>არმატურა А500С Ø=14მმ</t>
  </si>
  <si>
    <t>სხვა მასალები</t>
  </si>
  <si>
    <t>რკინაბეტონის კონსტრუქციების გრუნტთან შეხების ადგილებში იზოლაციის მოწყობა</t>
  </si>
  <si>
    <t>დამცავი მემბრანა</t>
  </si>
  <si>
    <t>კონსტრუქციების მოწყობის შემდგომ  ბალასტით შევსება და დატკეპნა</t>
  </si>
  <si>
    <t>მანქანა-მექანიზმები (ექსკავატორი)</t>
  </si>
  <si>
    <t xml:space="preserve">ბალასტი  </t>
  </si>
  <si>
    <t>ბიტუმის მოსხმა მომასწორებელ ფენაზე</t>
  </si>
  <si>
    <t>ავტოგუდრონატორი</t>
  </si>
  <si>
    <t>ბიტუმის ემულსია</t>
  </si>
  <si>
    <t>მსხვილმარცვლოვანი ა/ბეტონის საფარის მოწყობა სისქით 6სმ</t>
  </si>
  <si>
    <r>
      <t>მ</t>
    </r>
    <r>
      <rPr>
        <b/>
        <sz val="10"/>
        <color theme="0"/>
        <rFont val="Calibri Light"/>
        <family val="2"/>
      </rPr>
      <t>²</t>
    </r>
  </si>
  <si>
    <t>ასფალტობეტონის დამგები</t>
  </si>
  <si>
    <t>ასფალტობეტონის ნარევი</t>
  </si>
  <si>
    <t>ბიტუმის მოსხმა პირველ ფენაზე</t>
  </si>
  <si>
    <t>წვრილმარცვლოვანი ა/ბეტონის საფარის მოწყობა სისქით 4სმ</t>
  </si>
  <si>
    <t>ბეტონი B7.5</t>
  </si>
  <si>
    <t>ბეტონი В25</t>
  </si>
  <si>
    <t>არმატურა А500С Ø=18მმ</t>
  </si>
  <si>
    <t>ც</t>
  </si>
  <si>
    <t>სპილენძის კაბელის ჩადება თხრილში</t>
  </si>
  <si>
    <t>სპილენძის კაბელი N2XY 3*10</t>
  </si>
  <si>
    <t>სასიგნალო ლენტი</t>
  </si>
  <si>
    <t>კაბელის გატარება გოფრირებულ მილში Ø40</t>
  </si>
  <si>
    <r>
      <t xml:space="preserve">გოფრირებული მილი </t>
    </r>
    <r>
      <rPr>
        <sz val="11"/>
        <color theme="1"/>
        <rFont val="Calibri Light"/>
        <family val="2"/>
      </rPr>
      <t>Ø40 (წითელი)</t>
    </r>
  </si>
  <si>
    <t>სპილენძის კაბელის მოწყობა განათების ბოძებისთვის</t>
  </si>
  <si>
    <t>სპილენძის კაბელი N2XY 3x1.5მმ²</t>
  </si>
  <si>
    <r>
      <t xml:space="preserve">გოფრირებული მილი </t>
    </r>
    <r>
      <rPr>
        <sz val="11"/>
        <color theme="1"/>
        <rFont val="Calibri Light"/>
        <family val="2"/>
      </rPr>
      <t>Ø20 (წითელი)</t>
    </r>
  </si>
  <si>
    <t>გრუნტის მოჭრა სანათი ბოძებისთვის</t>
  </si>
  <si>
    <t>მიწის სამუშაოები</t>
  </si>
  <si>
    <t>რკ/ბ საძირკვლის მოწყობა სანათი ბოძებისთვის</t>
  </si>
  <si>
    <t>ბეტონის ბალიში</t>
  </si>
  <si>
    <t xml:space="preserve">ფოლადის ნაგნილი მავთული დამიწებისთვის </t>
  </si>
  <si>
    <r>
      <t xml:space="preserve">დამიწების გლინულა </t>
    </r>
    <r>
      <rPr>
        <sz val="10"/>
        <color theme="1"/>
        <rFont val="Calibri"/>
        <family val="2"/>
      </rPr>
      <t>Ø</t>
    </r>
    <r>
      <rPr>
        <sz val="10"/>
        <color theme="1"/>
        <rFont val="Calibri Light"/>
        <family val="2"/>
      </rPr>
      <t>10მმ</t>
    </r>
  </si>
  <si>
    <t>დამიწების ღერო D=20მმ L=1500მმ</t>
  </si>
  <si>
    <t xml:space="preserve">სანათების მოწყობა </t>
  </si>
  <si>
    <t>ასფალტის დაგება</t>
  </si>
  <si>
    <t>საკანალიზაციო მილის მონტაჟი</t>
  </si>
  <si>
    <t>მ</t>
  </si>
  <si>
    <t>საკანალიზაციო მილსადენის შეჭრა-დაერთება</t>
  </si>
  <si>
    <t>კანალიზაციის მილი PVC 160მმ საძირკვლის კედელში გასვლა</t>
  </si>
  <si>
    <t>კანალიზაციის მილის PVC 160მმ შეჭრა ჭაში</t>
  </si>
  <si>
    <t>კანალიზაციის მილის PVC 200მმ შეჭრა ჭაში</t>
  </si>
  <si>
    <t>კანალიზაციის ჭის სამონტაჟო სამუშაოები D = 1000 მმ</t>
  </si>
  <si>
    <t>საკანალიზაციო ჭის საძირკველი 1500x1500x180</t>
  </si>
  <si>
    <t>კანალიზაციის ჭის რგოლი, D = 1000 მმ. H = 500 მმ</t>
  </si>
  <si>
    <t>კანალიზაციის ჭის რგოლი, D = 1000 მმ. H = 1000 მმ</t>
  </si>
  <si>
    <t xml:space="preserve">კანალიზაციის ჭის გადახურვა, 1680x1680x150
</t>
  </si>
  <si>
    <t>მიწის სამუშაოები კანალიზაციის სისტემის მოსაწყობად</t>
  </si>
  <si>
    <t>ქვიშა Kcom = 0,95 ფენა</t>
  </si>
  <si>
    <t>ხრეშის ფენა 4-22 მმ</t>
  </si>
  <si>
    <t>წვიმის წყლის სისტემის სამონტაჟო სამუშაოები</t>
  </si>
  <si>
    <t>წვიმის წყლის ჭის სამონტაჟო სამუშაოები D = 1000 მმ</t>
  </si>
  <si>
    <t>წვიმის წყლი ჭის საძირკველი 1500x1500x180</t>
  </si>
  <si>
    <t>წვიმის წყლი ჭის რგოლი, D = 1000 მმ. H = 500 მმ</t>
  </si>
  <si>
    <t>წვიმის წყლი ჭის რგოლი, D = 1000 მმ. H = 1000 მმ</t>
  </si>
  <si>
    <t>წვიმის წყლის ჭის გადახურვა 1180x1180x150</t>
  </si>
  <si>
    <t>სანიაღვრე მილსადენის შეჭრა-დაერთება</t>
  </si>
  <si>
    <t>სანიაღვრე მილი PVC 110მმ საძირკვლის კედელში გასვლა</t>
  </si>
  <si>
    <t>სანიაღვრე მილი PVC 160მმ საძირკვლის კედელში გასვლა</t>
  </si>
  <si>
    <t>სანიაღვრე მილის PVC 110მმ შეჭრა ჭაში</t>
  </si>
  <si>
    <t>სანიაღვრე მილის PVC 160მმ შეჭრა ჭაში</t>
  </si>
  <si>
    <t>სანიაღვრე მილის PVC 250მმ შეჭრა ჭაში</t>
  </si>
  <si>
    <t>წვიმის წყლის ჭის სამონტაჟო სამუშაოები D = 1500 მმ</t>
  </si>
  <si>
    <t>წვიმის წყლის ჭის საძირკველი 2000x2000x180</t>
  </si>
  <si>
    <t>წვიმის წყლის ჭის რგოლი, D = 1500 მმ. H =500 მმ</t>
  </si>
  <si>
    <t>წვიმის წყლის ჭის რგოლი, D = 1500 მმ. H =1000 მმ</t>
  </si>
  <si>
    <t>წვიმის წყლის ჭის გადახურვა, 1680x1680x150</t>
  </si>
  <si>
    <t>წვიმის წყლის გვერდმიმღები ჭები და მილები</t>
  </si>
  <si>
    <t>გრუნტის ამოღება და გატანა</t>
  </si>
  <si>
    <t>ვერტიკალური გეგმარება</t>
  </si>
  <si>
    <t>გარე კომუნიკაცია</t>
  </si>
  <si>
    <t>დასახელება</t>
  </si>
  <si>
    <t>ჯამი ლარში</t>
  </si>
  <si>
    <t>ჯამი დოლარში</t>
  </si>
  <si>
    <t>სანათის მოდული 50 w</t>
  </si>
  <si>
    <t>კედლის სანათი,გარე განათება LED ტიპის 45 W,IP 66, 400K,ფოტორელეთი</t>
  </si>
  <si>
    <t>წყავი კავკასიური</t>
  </si>
  <si>
    <t>ბეტონის ბორდიური 15*30*100</t>
  </si>
  <si>
    <t>გარე სახანძრო ჰიდრანტის მოწყობა</t>
  </si>
  <si>
    <t>განათების ბოძი კომპლექტში, გამანაწილებელი კოლოფით, ავტომატური ამომრთველით და საკლემო ბლოკით  H=5.8m</t>
  </si>
  <si>
    <t>განათების ბოძი კომპლექტში, გამანაწილებელი კოლოფით, ავტომატური ამომრთველით და საკლემო ბლოკით  H=3.5m</t>
  </si>
  <si>
    <t>განათების ბოძი კომპლექტში, გამანაწილებელი კოლოფით, ავტომატური ამომრთველით და საკლემო ბლოკით  H=4.0m</t>
  </si>
  <si>
    <t>განათების ბოძი კომპლექტში, გამანაწილებელი კოლოფით, ავტომატური ამომრთველით და საკლემო ბლოკით  H=7.5m</t>
  </si>
  <si>
    <t>გენერატორის კაბელის მოწყობა</t>
  </si>
  <si>
    <t>ნაგვის გატანა</t>
  </si>
  <si>
    <t>რეისი</t>
  </si>
  <si>
    <t>სიჩქარის შემზღუდავი ბარიერის მოწყობა</t>
  </si>
  <si>
    <t>სიჩქარის შემზღუდავი ბარიერი</t>
  </si>
  <si>
    <t>საგზაო ნიშნების მოწყობა</t>
  </si>
  <si>
    <t>რკინის საგზაო ნიშნები</t>
  </si>
  <si>
    <t>ნიშნების დგარი ( გალვანიზირებული)</t>
  </si>
  <si>
    <t>მონოლითური რკ.ბეტონის საყრდენი კედლის მოწყობა 1.0</t>
  </si>
  <si>
    <t>მონოლითური რკ.ბეტონის საყრდენი კედლის მოწყობა 1.1</t>
  </si>
  <si>
    <t>მონოლითური რკ.ბეტონის საყრდენი კედლის მოწყობა 2.0</t>
  </si>
  <si>
    <t>მონოლითური რკ.ბეტონის საყრდენი კედლის მოწყობა 2.1</t>
  </si>
  <si>
    <t>მონოლითური რკ.ბეტონის საყრდენი კედლის მოწყობა 3.0</t>
  </si>
  <si>
    <t>მონოლითური რკ.ბეტონის საყრდენი კედლის მოწყობა 4</t>
  </si>
  <si>
    <t>მონოლითური რკ.ბეტონის საყრდენი კედლის მოწყობა 4.1</t>
  </si>
  <si>
    <t>მონოლითური რკ.ბეტონის საყრდენი კედლის მოწყობა 5</t>
  </si>
  <si>
    <t>მონოლითური რკ.ბეტონის საყრდენი კედლის მოწყობა 5.1</t>
  </si>
  <si>
    <t>მონოლითური რკ.ბეტონის საყრდენი კედლის მოწყობა 6</t>
  </si>
  <si>
    <t>მონოლითური რკ.ბეტონის საყრდენი კედლის მოწყობა 6.1</t>
  </si>
  <si>
    <t>მონოლითური რკ.ბეტონის საყრდენი კედლის მოწყობა 6.2</t>
  </si>
  <si>
    <t>მონოლითური რკ.ბეტონის საყრდენი კედლის მოწყობა 7</t>
  </si>
  <si>
    <t>მონოლითური რკ.ბეტონის საყრდენი კედლის მოწყობა 8</t>
  </si>
  <si>
    <t>მონოლითური რკ.ბეტონის საყრდენი კედლის მოწყობა 8.1</t>
  </si>
  <si>
    <t>მონოლითური რკ.ბეტონის საყრდენი კედლის მოწყობა 9</t>
  </si>
  <si>
    <t>მონოლითური რკ.ბეტონის საყრდენი კედლის მოწყობა 9.1</t>
  </si>
  <si>
    <t>მონოლითური რკ.ბეტონის საყრდენი კედლის მოწყობა 10</t>
  </si>
  <si>
    <t>მონოლითური რკ.ბეტონის საყრდენი კედლის მოწყობა 11</t>
  </si>
  <si>
    <t>მონოლითური რკ.ბეტონის საყრდენი კედლის მოწყობა 11.1</t>
  </si>
  <si>
    <t>კაბელი, NAYY  (4  x  240) мм2</t>
  </si>
  <si>
    <r>
      <t xml:space="preserve">გოფრირებული მილი </t>
    </r>
    <r>
      <rPr>
        <sz val="11"/>
        <color theme="1"/>
        <rFont val="Calibri Light"/>
        <family val="2"/>
      </rPr>
      <t>Ø100 (წითელი)</t>
    </r>
  </si>
  <si>
    <t>გენერატორის საკომუნიკაციო კაბელის მოწყობა</t>
  </si>
  <si>
    <t>კაბელი, N2XY 3*2.5 мм2</t>
  </si>
  <si>
    <t>დამიწების კონტურის მოწყობა 3 ხაზზე</t>
  </si>
  <si>
    <t>ღორღის ფენის მოწყობა სისქით 65მმ</t>
  </si>
  <si>
    <t>ღორღი 0-40 მმ</t>
  </si>
  <si>
    <t>ღორღის ფენის მოწყობა სისქით 20 სმ</t>
  </si>
  <si>
    <t>ბალასტით შევსება</t>
  </si>
  <si>
    <t/>
  </si>
  <si>
    <t>მდინარის ბალასტის შეტანა და დატკეპნა</t>
  </si>
  <si>
    <t>ჭის გარე კედლების იზოლაცია ბიტუმის მასტიკით 2ჯერ</t>
  </si>
  <si>
    <r>
      <t>მ</t>
    </r>
    <r>
      <rPr>
        <vertAlign val="superscript"/>
        <sz val="10"/>
        <color theme="1"/>
        <rFont val="Calibri Light"/>
        <family val="2"/>
      </rPr>
      <t>2</t>
    </r>
  </si>
  <si>
    <t>ჭის თავების გასწორება ნიშნულზე</t>
  </si>
  <si>
    <t>მოსამზადებელი ფენის მოწყობა B7.5 ბეტონით</t>
  </si>
  <si>
    <t>JCB</t>
  </si>
  <si>
    <t>პოლიეთილენის მილი, DN160 PN10 FIRAT</t>
  </si>
  <si>
    <t>პოლიეთილენის მილი, DN200 PN10 FIRAT</t>
  </si>
  <si>
    <t>პოლიეთილენის მილი, DN110 PN10 FIRAT</t>
  </si>
  <si>
    <t>პოლიეთილენის მილი, DN250 PN10 FIRAT</t>
  </si>
  <si>
    <t>ჰიდრანტი</t>
  </si>
  <si>
    <t>ალეას მოპირკეთება ფილებით</t>
  </si>
  <si>
    <t>ბეტონის ფილა 10 x 10 x 5 სმ</t>
  </si>
  <si>
    <t>ბეტონის ფილა 60 x 60 x 3 სმ (VF-02)</t>
  </si>
  <si>
    <t>ბეტონის ფილა 10 x 15 x 5 სმ (VF-03) (6 გვერდიდან გამოყვანილი)</t>
  </si>
  <si>
    <t>ბეტონის ფილა 10 x 10 x 5 სმ (VF-04) (6 გვერდიდან გამოყვანილი)</t>
  </si>
  <si>
    <t>ბეტონის ფილა 10 x 15 x 8 სმ (VF-01) (დაუმუშავებელი გვერდებით)</t>
  </si>
  <si>
    <t>ბეტონის ფილა 10 x 10 x 5 სმ (VF-05) (6 გვერდიდან გამოყვანილი)</t>
  </si>
  <si>
    <t>ბეტონის ფილა 10 x 15 x 5 სმ (VF-06) (6 გვერდიდან გამოყვანილი)</t>
  </si>
  <si>
    <t>ბეტონის ფილა 60 x 60 x 3 სმ (VF-07)</t>
  </si>
  <si>
    <t xml:space="preserve">კანალიზაციის ჭის ხუფი (თუჯის), 700 MF
</t>
  </si>
  <si>
    <t>წვიმის წყლის ჭის ხუფი (თუჯის), D=700 მმ. H=150 მმ</t>
  </si>
  <si>
    <t>ბეტონის ბორდიური (ჩაფლული) 10*20*100</t>
  </si>
  <si>
    <t>ნაგვის ურნების მოწყობა</t>
  </si>
  <si>
    <t>ნაგვის ურნა</t>
  </si>
  <si>
    <t>ბეტონის ბორდიურის დამუშავება, ფასკის ჩამოჭრა</t>
  </si>
  <si>
    <t>სკამის მოწყობა</t>
  </si>
  <si>
    <t>სკამი</t>
  </si>
  <si>
    <r>
      <t xml:space="preserve">არმატურა </t>
    </r>
    <r>
      <rPr>
        <sz val="10"/>
        <rFont val="Times New Roman"/>
        <family val="1"/>
        <charset val="204"/>
      </rPr>
      <t>Ø</t>
    </r>
    <r>
      <rPr>
        <sz val="10"/>
        <rFont val="Aptos Display"/>
        <family val="2"/>
        <scheme val="major"/>
      </rPr>
      <t>10</t>
    </r>
  </si>
  <si>
    <t>ყალიბი</t>
  </si>
  <si>
    <t>ელექტროდი</t>
  </si>
  <si>
    <t>საჭრელი დისკი</t>
  </si>
  <si>
    <t>თუჯის სანიაღვრე არხის ცხაურის მოწყობა ლითონის ელემენტებით და შეღებვა</t>
  </si>
  <si>
    <t>მილკვადრატი 20*40*2</t>
  </si>
  <si>
    <t>კუთხოვანა 60*5</t>
  </si>
  <si>
    <t>თუჯის სანიაღვრე ცხაური 200X500X20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</si>
</sst>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_(* #,##0_);_(* \(#,##0\);_(* &quot;-&quot;??_);_(@_)"/>
    <numFmt numFmtId="167" formatCode="_-* #,##0_-;\-* #,##0_-;_-* &quot;-&quot;??_-;_-@_-"/>
    <numFmt numFmtId="168" formatCode="#,##0.0\ [$₾-437]"/>
    <numFmt numFmtId="169" formatCode="_-* #,##0.00\ &quot;₾&quot;_-;\-* #,##0.00\ &quot;₾&quot;_-;_-* &quot;-&quot;??\ &quot;₾&quot;_-;_-@_-"/>
    <numFmt numFmtId="170" formatCode="#,##0\ [$₾-437]"/>
    <numFmt numFmtId="171" formatCode="_-* #,##0\ [$₾-437]_-;\-* #,##0\ [$₾-437]_-;_-* &quot;-&quot;??\ [$₾-437]_-;_-@_-"/>
    <numFmt numFmtId="172" formatCode="_-* #,##0.00_р_._-;\-* #,##0.00_р_._-;_-* &quot;-&quot;??_р_._-;_-@_-"/>
    <numFmt numFmtId="173" formatCode="_-* #,##0.00\ _₾_-;\-* #,##0.00\ _₾_-;_-* &quot;-&quot;??\ _₾_-;_-@_-"/>
    <numFmt numFmtId="174" formatCode="#,##0.00\ [$₾-437]"/>
    <numFmt numFmtId="175" formatCode="_-* #,##0.00\ _L_a_r_i_-;\-* #,##0.00\ _L_a_r_i_-;_-* &quot;-&quot;??\ _L_a_r_i_-;_-@_-"/>
    <numFmt numFmtId="176" formatCode="_-* #,##0.00\ [$₾-437]_-;\-* #,##0.00\ [$₾-437]_-;_-* &quot;-&quot;??\ [$₾-437]_-;_-@_-"/>
    <numFmt numFmtId="177" formatCode="_-[$$-409]* #,##0.00_ ;_-[$$-409]* \-#,##0.00\ ;_-[$$-409]* &quot;-&quot;??_ ;_-@_ "/>
  </numFmts>
  <fonts count="4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  <charset val="204"/>
    </font>
    <font>
      <sz val="10"/>
      <name val="Calibri Light"/>
      <family val="2"/>
    </font>
    <font>
      <b/>
      <sz val="11"/>
      <color theme="0"/>
      <name val="Calibri Light"/>
      <family val="2"/>
    </font>
    <font>
      <sz val="10"/>
      <color theme="1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vertAlign val="superscript"/>
      <sz val="10"/>
      <color theme="0"/>
      <name val="Calibri Light"/>
      <family val="2"/>
    </font>
    <font>
      <vertAlign val="superscript"/>
      <sz val="10"/>
      <color theme="1"/>
      <name val="Calibri Light"/>
      <family val="2"/>
    </font>
    <font>
      <sz val="10"/>
      <name val="Arial"/>
      <family val="2"/>
    </font>
    <font>
      <sz val="9"/>
      <name val="Calibri Light"/>
      <family val="2"/>
    </font>
    <font>
      <i/>
      <sz val="10"/>
      <name val="Calibri Light"/>
      <family val="2"/>
    </font>
    <font>
      <b/>
      <sz val="10"/>
      <color theme="1"/>
      <name val="Calibri Light"/>
      <family val="2"/>
    </font>
    <font>
      <b/>
      <sz val="10"/>
      <color theme="0"/>
      <name val="Calibri Light"/>
      <family val="2"/>
    </font>
    <font>
      <i/>
      <sz val="10"/>
      <color theme="1"/>
      <name val="Calibri Light"/>
      <family val="2"/>
    </font>
    <font>
      <vertAlign val="superscript"/>
      <sz val="11"/>
      <name val="Calibri Light"/>
      <family val="2"/>
    </font>
    <font>
      <b/>
      <sz val="10"/>
      <name val="Calibri Light"/>
      <family val="2"/>
    </font>
    <font>
      <sz val="11"/>
      <color theme="1"/>
      <name val="Calibri Light"/>
      <family val="2"/>
    </font>
    <font>
      <b/>
      <sz val="10"/>
      <color rgb="FFFF0000"/>
      <name val="Calibri Light"/>
      <family val="2"/>
    </font>
    <font>
      <sz val="11"/>
      <color theme="1"/>
      <name val="Aptos Narrow"/>
      <family val="2"/>
      <charset val="204"/>
      <scheme val="minor"/>
    </font>
    <font>
      <sz val="10"/>
      <color theme="1"/>
      <name val="Aptos Display"/>
      <family val="1"/>
      <scheme val="major"/>
    </font>
    <font>
      <sz val="11"/>
      <color theme="1"/>
      <name val="Aptos Display"/>
      <family val="1"/>
      <scheme val="major"/>
    </font>
    <font>
      <b/>
      <sz val="10"/>
      <color theme="1"/>
      <name val="Aptos Display"/>
      <family val="2"/>
      <scheme val="major"/>
    </font>
    <font>
      <sz val="12"/>
      <name val="Aptos Display"/>
      <family val="2"/>
      <scheme val="major"/>
    </font>
    <font>
      <sz val="11"/>
      <name val="Aptos Display"/>
      <family val="2"/>
      <scheme val="major"/>
    </font>
    <font>
      <sz val="10"/>
      <color theme="1"/>
      <name val="Aptos Display"/>
      <family val="2"/>
      <scheme val="major"/>
    </font>
    <font>
      <sz val="10"/>
      <color theme="0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sz val="10"/>
      <name val="Aptos Display"/>
      <family val="2"/>
      <scheme val="major"/>
    </font>
    <font>
      <i/>
      <sz val="10"/>
      <name val="Aptos Display"/>
      <family val="2"/>
      <scheme val="major"/>
    </font>
    <font>
      <sz val="10"/>
      <color theme="1"/>
      <name val="Calibri"/>
      <family val="2"/>
    </font>
    <font>
      <sz val="11"/>
      <name val="Times New Roman"/>
      <family val="1"/>
      <charset val="204"/>
    </font>
    <font>
      <sz val="10"/>
      <name val="Arial Cyr"/>
      <family val="2"/>
      <charset val="204"/>
    </font>
    <font>
      <b/>
      <sz val="16"/>
      <color theme="0"/>
      <name val="Calibri Light"/>
      <family val="2"/>
    </font>
    <font>
      <sz val="16"/>
      <color theme="1"/>
      <name val="Calibri Light"/>
      <family val="2"/>
    </font>
    <font>
      <sz val="11"/>
      <color rgb="FFFF0000"/>
      <name val="Calibri Light"/>
      <family val="2"/>
    </font>
    <font>
      <sz val="11"/>
      <color rgb="FFFF0000"/>
      <name val="Aptos Narrow"/>
      <family val="2"/>
      <scheme val="minor"/>
    </font>
    <font>
      <sz val="11"/>
      <color theme="0" tint="-0.499984740745262"/>
      <name val="Aptos Narrow"/>
      <family val="2"/>
      <scheme val="minor"/>
    </font>
    <font>
      <sz val="10"/>
      <color rgb="FFFF0000"/>
      <name val="Calibri Light"/>
      <family val="2"/>
    </font>
    <font>
      <sz val="10"/>
      <color rgb="FFFF0000"/>
      <name val="Aptos Display"/>
      <family val="2"/>
      <scheme val="major"/>
    </font>
    <font>
      <i/>
      <sz val="10"/>
      <name val="Calibri"/>
      <family val="2"/>
    </font>
    <font>
      <sz val="10"/>
      <name val="Aptos Display"/>
      <family val="2"/>
      <scheme val="major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195A6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68E96"/>
        <bgColor indexed="64"/>
      </patternFill>
    </fill>
  </fills>
  <borders count="22">
    <border>
      <left/>
      <right/>
      <top/>
      <bottom/>
      <diagonal/>
    </border>
    <border>
      <left style="thin">
        <color theme="0" tint="-0.34998626667073579"/>
      </left>
      <right style="thin">
        <color theme="0" tint="-4.9989318521683403E-2"/>
      </right>
      <top style="thin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34998626667073579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0.34998626667073579"/>
      </right>
      <top style="thin">
        <color theme="0" tint="-4.9989318521683403E-2"/>
      </top>
      <bottom/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 tint="-4.9989318521683403E-2"/>
      </left>
      <right/>
      <top style="thin">
        <color theme="0" tint="-0.34998626667073579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0.34998626667073579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4.9989318521683403E-2"/>
      </right>
      <top/>
      <bottom style="thin">
        <color theme="0" tint="-0.34998626667073579"/>
      </bottom>
      <diagonal/>
    </border>
    <border>
      <left style="thin">
        <color theme="0" tint="-4.9989318521683403E-2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3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9" fontId="1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1" fillId="0" borderId="0"/>
    <xf numFmtId="173" fontId="1" fillId="0" borderId="0" applyFont="0" applyFill="0" applyBorder="0" applyAlignment="0" applyProtection="0"/>
    <xf numFmtId="0" fontId="20" fillId="0" borderId="0"/>
    <xf numFmtId="0" fontId="10" fillId="0" borderId="0"/>
    <xf numFmtId="0" fontId="33" fillId="0" borderId="0"/>
    <xf numFmtId="0" fontId="1" fillId="0" borderId="0"/>
    <xf numFmtId="175" fontId="1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" fillId="0" borderId="0"/>
    <xf numFmtId="175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0" fontId="33" fillId="0" borderId="0"/>
    <xf numFmtId="9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169" fontId="20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3" applyFont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/>
    <xf numFmtId="0" fontId="6" fillId="3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165" fontId="4" fillId="4" borderId="8" xfId="0" applyNumberFormat="1" applyFont="1" applyFill="1" applyBorder="1" applyAlignment="1">
      <alignment horizontal="center" vertical="center" wrapText="1"/>
    </xf>
    <xf numFmtId="166" fontId="4" fillId="4" borderId="8" xfId="4" applyNumberFormat="1" applyFont="1" applyFill="1" applyBorder="1" applyAlignment="1">
      <alignment horizontal="center" vertical="center" wrapText="1"/>
    </xf>
    <xf numFmtId="166" fontId="4" fillId="4" borderId="8" xfId="4" applyNumberFormat="1" applyFont="1" applyFill="1" applyBorder="1" applyAlignment="1">
      <alignment vertical="center" wrapText="1"/>
    </xf>
    <xf numFmtId="166" fontId="7" fillId="4" borderId="8" xfId="4" applyNumberFormat="1" applyFont="1" applyFill="1" applyBorder="1" applyAlignment="1">
      <alignment horizontal="center" vertical="center" wrapText="1"/>
    </xf>
    <xf numFmtId="166" fontId="7" fillId="4" borderId="12" xfId="4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2" fontId="5" fillId="0" borderId="10" xfId="0" applyNumberFormat="1" applyFont="1" applyBorder="1" applyAlignment="1">
      <alignment horizontal="center" vertical="center"/>
    </xf>
    <xf numFmtId="43" fontId="5" fillId="0" borderId="10" xfId="4" applyFont="1" applyBorder="1"/>
    <xf numFmtId="43" fontId="5" fillId="0" borderId="10" xfId="4" applyFont="1" applyFill="1" applyBorder="1"/>
    <xf numFmtId="9" fontId="5" fillId="0" borderId="10" xfId="2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9" fontId="13" fillId="0" borderId="10" xfId="2" applyFont="1" applyBorder="1" applyAlignment="1">
      <alignment horizontal="center" vertical="center"/>
    </xf>
    <xf numFmtId="171" fontId="5" fillId="0" borderId="10" xfId="1" applyNumberFormat="1" applyFont="1" applyBorder="1" applyAlignment="1">
      <alignment horizontal="center" vertical="center"/>
    </xf>
    <xf numFmtId="171" fontId="13" fillId="0" borderId="10" xfId="1" applyNumberFormat="1" applyFont="1" applyBorder="1" applyAlignment="1">
      <alignment horizontal="center" vertical="center"/>
    </xf>
    <xf numFmtId="0" fontId="14" fillId="4" borderId="13" xfId="5" applyFont="1" applyFill="1" applyBorder="1" applyAlignment="1">
      <alignment horizontal="left"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18" fillId="0" borderId="0" xfId="0" applyFont="1"/>
    <xf numFmtId="0" fontId="5" fillId="3" borderId="0" xfId="0" applyFont="1" applyFill="1"/>
    <xf numFmtId="0" fontId="12" fillId="0" borderId="0" xfId="0" applyFont="1" applyAlignment="1">
      <alignment vertical="center" wrapText="1"/>
    </xf>
    <xf numFmtId="0" fontId="14" fillId="4" borderId="14" xfId="5" applyFont="1" applyFill="1" applyBorder="1" applyAlignment="1">
      <alignment horizontal="center" vertical="center" wrapText="1"/>
    </xf>
    <xf numFmtId="0" fontId="14" fillId="4" borderId="14" xfId="5" applyFont="1" applyFill="1" applyBorder="1" applyAlignment="1">
      <alignment horizontal="left" vertical="center" wrapText="1"/>
    </xf>
    <xf numFmtId="167" fontId="14" fillId="4" borderId="14" xfId="1" applyNumberFormat="1" applyFont="1" applyFill="1" applyBorder="1" applyAlignment="1">
      <alignment horizontal="center" vertical="center" wrapText="1"/>
    </xf>
    <xf numFmtId="164" fontId="14" fillId="4" borderId="14" xfId="1" applyFont="1" applyFill="1" applyBorder="1" applyAlignment="1">
      <alignment horizontal="center" vertical="center" wrapText="1"/>
    </xf>
    <xf numFmtId="166" fontId="14" fillId="2" borderId="15" xfId="6" applyNumberFormat="1" applyFont="1" applyFill="1" applyBorder="1" applyAlignment="1">
      <alignment vertical="center" wrapText="1"/>
    </xf>
    <xf numFmtId="166" fontId="14" fillId="2" borderId="15" xfId="6" applyNumberFormat="1" applyFont="1" applyFill="1" applyBorder="1" applyAlignment="1">
      <alignment horizontal="center" vertical="center" wrapText="1"/>
    </xf>
    <xf numFmtId="170" fontId="14" fillId="2" borderId="15" xfId="6" applyNumberFormat="1" applyFont="1" applyFill="1" applyBorder="1" applyAlignment="1">
      <alignment vertical="center" wrapText="1"/>
    </xf>
    <xf numFmtId="166" fontId="14" fillId="2" borderId="16" xfId="6" applyNumberFormat="1" applyFont="1" applyFill="1" applyBorder="1" applyAlignment="1">
      <alignment vertical="center" wrapText="1"/>
    </xf>
    <xf numFmtId="166" fontId="14" fillId="2" borderId="16" xfId="6" applyNumberFormat="1" applyFont="1" applyFill="1" applyBorder="1" applyAlignment="1">
      <alignment horizontal="center" vertical="center" wrapText="1"/>
    </xf>
    <xf numFmtId="169" fontId="14" fillId="2" borderId="16" xfId="7" applyFont="1" applyFill="1" applyBorder="1" applyAlignment="1">
      <alignment vertical="center" wrapText="1"/>
    </xf>
    <xf numFmtId="168" fontId="14" fillId="2" borderId="16" xfId="6" applyNumberFormat="1" applyFont="1" applyFill="1" applyBorder="1" applyAlignment="1">
      <alignment vertical="center" wrapText="1"/>
    </xf>
    <xf numFmtId="171" fontId="14" fillId="2" borderId="16" xfId="1" applyNumberFormat="1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" fontId="17" fillId="0" borderId="0" xfId="0" applyNumberFormat="1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5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4" fontId="17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12" fillId="0" borderId="0" xfId="0" applyFont="1" applyAlignment="1">
      <alignment horizontal="left" vertical="center" wrapText="1"/>
    </xf>
    <xf numFmtId="164" fontId="21" fillId="0" borderId="0" xfId="1" applyFont="1" applyFill="1" applyAlignment="1">
      <alignment horizontal="center" vertical="center" wrapText="1"/>
    </xf>
    <xf numFmtId="0" fontId="22" fillId="0" borderId="0" xfId="0" applyFont="1" applyAlignment="1">
      <alignment wrapText="1"/>
    </xf>
    <xf numFmtId="0" fontId="0" fillId="0" borderId="0" xfId="0" applyAlignment="1">
      <alignment wrapText="1"/>
    </xf>
    <xf numFmtId="172" fontId="21" fillId="0" borderId="0" xfId="8" applyFont="1" applyFill="1" applyAlignment="1">
      <alignment horizontal="center" vertical="center" wrapText="1"/>
    </xf>
    <xf numFmtId="0" fontId="24" fillId="0" borderId="0" xfId="3" applyFont="1" applyAlignment="1">
      <alignment horizontal="center"/>
    </xf>
    <xf numFmtId="0" fontId="27" fillId="3" borderId="0" xfId="0" applyFont="1" applyFill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3" borderId="0" xfId="0" applyFont="1" applyFill="1"/>
    <xf numFmtId="0" fontId="26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31" fillId="0" borderId="0" xfId="0" applyFont="1"/>
    <xf numFmtId="0" fontId="25" fillId="0" borderId="0" xfId="0" applyFont="1"/>
    <xf numFmtId="1" fontId="4" fillId="4" borderId="8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 applyProtection="1">
      <alignment vertical="center"/>
      <protection locked="0"/>
    </xf>
    <xf numFmtId="1" fontId="5" fillId="0" borderId="10" xfId="0" applyNumberFormat="1" applyFont="1" applyBorder="1" applyAlignment="1">
      <alignment horizontal="center" vertical="center"/>
    </xf>
    <xf numFmtId="0" fontId="26" fillId="3" borderId="0" xfId="12" applyFont="1" applyFill="1" applyAlignment="1">
      <alignment vertical="center"/>
    </xf>
    <xf numFmtId="0" fontId="23" fillId="3" borderId="0" xfId="12" applyFont="1" applyFill="1" applyAlignment="1">
      <alignment vertical="center"/>
    </xf>
    <xf numFmtId="174" fontId="28" fillId="0" borderId="0" xfId="0" applyNumberFormat="1" applyFont="1" applyAlignment="1">
      <alignment vertical="center"/>
    </xf>
    <xf numFmtId="165" fontId="5" fillId="0" borderId="10" xfId="0" applyNumberFormat="1" applyFont="1" applyBorder="1" applyAlignment="1">
      <alignment horizontal="center" vertical="center"/>
    </xf>
    <xf numFmtId="166" fontId="35" fillId="2" borderId="16" xfId="6" applyNumberFormat="1" applyFont="1" applyFill="1" applyBorder="1" applyAlignment="1">
      <alignment horizontal="center" vertical="center" wrapText="1"/>
    </xf>
    <xf numFmtId="0" fontId="35" fillId="4" borderId="13" xfId="5" applyFont="1" applyFill="1" applyBorder="1" applyAlignment="1">
      <alignment horizontal="left" vertical="center"/>
    </xf>
    <xf numFmtId="176" fontId="36" fillId="0" borderId="10" xfId="4" applyNumberFormat="1" applyFont="1" applyBorder="1"/>
    <xf numFmtId="176" fontId="35" fillId="2" borderId="16" xfId="6" applyNumberFormat="1" applyFont="1" applyFill="1" applyBorder="1" applyAlignment="1">
      <alignment horizontal="center" vertical="center" wrapText="1"/>
    </xf>
    <xf numFmtId="177" fontId="36" fillId="0" borderId="10" xfId="4" applyNumberFormat="1" applyFont="1" applyBorder="1"/>
    <xf numFmtId="177" fontId="35" fillId="2" borderId="16" xfId="6" applyNumberFormat="1" applyFont="1" applyFill="1" applyBorder="1" applyAlignment="1">
      <alignment horizontal="center" vertical="center" wrapText="1"/>
    </xf>
    <xf numFmtId="0" fontId="37" fillId="0" borderId="0" xfId="0" applyFont="1"/>
    <xf numFmtId="0" fontId="12" fillId="0" borderId="0" xfId="0" applyFont="1" applyAlignment="1">
      <alignment horizontal="left" vertical="center"/>
    </xf>
    <xf numFmtId="2" fontId="4" fillId="4" borderId="8" xfId="0" applyNumberFormat="1" applyFont="1" applyFill="1" applyBorder="1" applyAlignment="1">
      <alignment horizontal="center" vertical="center" wrapText="1"/>
    </xf>
    <xf numFmtId="0" fontId="38" fillId="0" borderId="0" xfId="0" applyFont="1"/>
    <xf numFmtId="0" fontId="39" fillId="0" borderId="0" xfId="0" applyFont="1"/>
    <xf numFmtId="0" fontId="40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3" fillId="0" borderId="0" xfId="3" applyFont="1" applyAlignment="1">
      <alignment horizontal="left"/>
    </xf>
    <xf numFmtId="0" fontId="24" fillId="0" borderId="0" xfId="3" applyFont="1" applyAlignment="1">
      <alignment horizontal="left"/>
    </xf>
    <xf numFmtId="0" fontId="27" fillId="0" borderId="0" xfId="0" applyFont="1" applyAlignment="1">
      <alignment horizontal="left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41" fillId="3" borderId="0" xfId="0" applyFont="1" applyFill="1"/>
    <xf numFmtId="164" fontId="6" fillId="0" borderId="0" xfId="0" applyNumberFormat="1" applyFont="1" applyAlignment="1">
      <alignment horizontal="left" vertical="center" wrapText="1"/>
    </xf>
    <xf numFmtId="0" fontId="26" fillId="3" borderId="0" xfId="0" applyFont="1" applyFill="1"/>
    <xf numFmtId="164" fontId="18" fillId="0" borderId="0" xfId="0" applyNumberFormat="1" applyFont="1" applyAlignment="1">
      <alignment horizontal="left"/>
    </xf>
    <xf numFmtId="0" fontId="42" fillId="0" borderId="0" xfId="0" applyFont="1" applyAlignment="1">
      <alignment vertical="center" wrapText="1"/>
    </xf>
    <xf numFmtId="164" fontId="42" fillId="0" borderId="0" xfId="0" applyNumberFormat="1" applyFont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</cellXfs>
  <cellStyles count="37">
    <cellStyle name="Comma" xfId="1" builtinId="3"/>
    <cellStyle name="Comma 17" xfId="35" xr:uid="{CE845A04-F3EB-4D4D-8D72-AD0DAF0396D5}"/>
    <cellStyle name="Comma 2" xfId="4" xr:uid="{319CB874-25EF-4B3C-B590-338D12C6EE65}"/>
    <cellStyle name="Comma 2 2" xfId="30" xr:uid="{1C2B8559-7F55-4D77-BD3F-1F1E0E5EE185}"/>
    <cellStyle name="Comma 2 6 3" xfId="10" xr:uid="{093CF1B8-082E-4436-A28C-F1354650E445}"/>
    <cellStyle name="Comma 22" xfId="8" xr:uid="{1C701BEC-085A-4012-948A-EAC2D362A179}"/>
    <cellStyle name="Comma 5" xfId="6" xr:uid="{C53E02CD-FB1E-4EAB-B600-A149BC9E7AD3}"/>
    <cellStyle name="Comma 5 2" xfId="27" xr:uid="{53759886-F2E0-41F4-8001-64A835E1F663}"/>
    <cellStyle name="Currency 2" xfId="7" xr:uid="{6BB0739D-1921-4D32-9133-7E24040AD485}"/>
    <cellStyle name="Currency 3" xfId="36" xr:uid="{5BAA76C8-A24F-4316-9354-910186A21AE7}"/>
    <cellStyle name="Normal" xfId="0" builtinId="0"/>
    <cellStyle name="Normal 2" xfId="28" xr:uid="{287D8597-A7DE-40DC-9891-141E667CADAB}"/>
    <cellStyle name="Normal 2 13" xfId="22" xr:uid="{231DA6C9-3E44-4D6B-98EF-3A029360C2D2}"/>
    <cellStyle name="Normal 2 2" xfId="32" xr:uid="{33A00C73-F5B8-4D4D-A671-632A7B549090}"/>
    <cellStyle name="Normal 3" xfId="11" xr:uid="{9073B2B2-E515-4A53-8CA7-454F4E3E3E40}"/>
    <cellStyle name="Normal 43" xfId="5" xr:uid="{5F23532C-511D-44CC-B3C0-F1DF7E75EC03}"/>
    <cellStyle name="Normal 8" xfId="9" xr:uid="{849509A7-BEA9-4714-9D08-3710016ADBA7}"/>
    <cellStyle name="Normal 8 2 2" xfId="12" xr:uid="{4F84211A-AFC9-45F4-A70B-BB496129DB92}"/>
    <cellStyle name="Percent" xfId="2" builtinId="5"/>
    <cellStyle name="Percent 2" xfId="31" xr:uid="{D23425F9-8CBB-45C9-B723-14D0AC98B390}"/>
    <cellStyle name="Percent 3" xfId="21" xr:uid="{37F72D24-C062-4E53-A272-8ED5B93079B0}"/>
    <cellStyle name="Обычный 2" xfId="14" xr:uid="{637EDF01-1136-4378-83B1-BF381DE96B5F}"/>
    <cellStyle name="Обычный 2 2" xfId="19" xr:uid="{DE78F82A-469F-4CAD-8CB1-9DCDC9AE3046}"/>
    <cellStyle name="Обычный 2 3" xfId="23" xr:uid="{9A12D131-6475-4317-9622-FA7E5691B6C1}"/>
    <cellStyle name="Обычный 2 4" xfId="29" xr:uid="{140044A6-28B2-4AF6-843C-204329EAA1E7}"/>
    <cellStyle name="Обычный 2 5" xfId="33" xr:uid="{A866DC30-8269-437A-91D3-35514D72BB33}"/>
    <cellStyle name="Обычный 2 6" xfId="34" xr:uid="{C60D0287-A84B-4D82-BD38-770E4185471F}"/>
    <cellStyle name="Обычный 3" xfId="13" xr:uid="{99C793CC-0B50-4656-A375-E746962A83FE}"/>
    <cellStyle name="Обычный 3 4" xfId="25" xr:uid="{552A2295-6AF1-4050-B076-2159D5228056}"/>
    <cellStyle name="Обычный 4" xfId="3" xr:uid="{7133F62D-1304-41B2-8E07-C3EA115F13A0}"/>
    <cellStyle name="Обычный 5" xfId="17" xr:uid="{BE9FF2A9-CA9E-4892-9EA2-50B2B9253E38}"/>
    <cellStyle name="Обычный 5 6" xfId="24" xr:uid="{F69FBA31-896B-4EE9-9FA1-C3F106CA489F}"/>
    <cellStyle name="Процентный 3" xfId="18" xr:uid="{7791C95F-7816-4333-8803-30275EC1B12B}"/>
    <cellStyle name="Процентный 3 3" xfId="26" xr:uid="{78841123-D6CB-4C32-91A2-5D0DE05ADCA9}"/>
    <cellStyle name="Финансовый 2" xfId="15" xr:uid="{9BF5B246-B9BB-4D4B-9EC1-47366C0605AA}"/>
    <cellStyle name="Финансовый 2 2" xfId="20" xr:uid="{F50A82ED-45E6-4957-889D-DF0CB0783D98}"/>
    <cellStyle name="Финансовый 6" xfId="16" xr:uid="{4A6415AD-0DFE-4E30-84A3-ECE7296766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228600</xdr:colOff>
      <xdr:row>53</xdr:row>
      <xdr:rowOff>0</xdr:rowOff>
    </xdr:from>
    <xdr:ext cx="65" cy="172227"/>
    <xdr:sp macro="" textlink="">
      <xdr:nvSpPr>
        <xdr:cNvPr id="2" name="TextBox 64">
          <a:extLst>
            <a:ext uri="{FF2B5EF4-FFF2-40B4-BE49-F238E27FC236}">
              <a16:creationId xmlns:a16="http://schemas.microsoft.com/office/drawing/2014/main" id="{47B0D629-F2AB-47A9-A486-18C519B0CB1E}"/>
            </a:ext>
          </a:extLst>
        </xdr:cNvPr>
        <xdr:cNvSpPr txBox="1"/>
      </xdr:nvSpPr>
      <xdr:spPr>
        <a:xfrm>
          <a:off x="1356360" y="563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228600</xdr:colOff>
      <xdr:row>53</xdr:row>
      <xdr:rowOff>0</xdr:rowOff>
    </xdr:from>
    <xdr:ext cx="65" cy="172227"/>
    <xdr:sp macro="" textlink="">
      <xdr:nvSpPr>
        <xdr:cNvPr id="3" name="TextBox 65">
          <a:extLst>
            <a:ext uri="{FF2B5EF4-FFF2-40B4-BE49-F238E27FC236}">
              <a16:creationId xmlns:a16="http://schemas.microsoft.com/office/drawing/2014/main" id="{ABDF4469-ADAD-4FE5-B64D-D5670D3EA89D}"/>
            </a:ext>
          </a:extLst>
        </xdr:cNvPr>
        <xdr:cNvSpPr txBox="1"/>
      </xdr:nvSpPr>
      <xdr:spPr>
        <a:xfrm>
          <a:off x="1356360" y="563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228600</xdr:colOff>
      <xdr:row>53</xdr:row>
      <xdr:rowOff>0</xdr:rowOff>
    </xdr:from>
    <xdr:ext cx="65" cy="172227"/>
    <xdr:sp macro="" textlink="">
      <xdr:nvSpPr>
        <xdr:cNvPr id="4" name="TextBox 67">
          <a:extLst>
            <a:ext uri="{FF2B5EF4-FFF2-40B4-BE49-F238E27FC236}">
              <a16:creationId xmlns:a16="http://schemas.microsoft.com/office/drawing/2014/main" id="{F572CEF5-EED8-41A9-A615-00E9FF5CFCB1}"/>
            </a:ext>
          </a:extLst>
        </xdr:cNvPr>
        <xdr:cNvSpPr txBox="1"/>
      </xdr:nvSpPr>
      <xdr:spPr>
        <a:xfrm>
          <a:off x="1356360" y="563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236220</xdr:colOff>
      <xdr:row>53</xdr:row>
      <xdr:rowOff>0</xdr:rowOff>
    </xdr:from>
    <xdr:ext cx="11495" cy="172227"/>
    <xdr:sp macro="" textlink="">
      <xdr:nvSpPr>
        <xdr:cNvPr id="5" name="TextBox 69">
          <a:extLst>
            <a:ext uri="{FF2B5EF4-FFF2-40B4-BE49-F238E27FC236}">
              <a16:creationId xmlns:a16="http://schemas.microsoft.com/office/drawing/2014/main" id="{0995522C-83F3-4396-9B32-6C14FD8F6DED}"/>
            </a:ext>
          </a:extLst>
        </xdr:cNvPr>
        <xdr:cNvSpPr txBox="1"/>
      </xdr:nvSpPr>
      <xdr:spPr>
        <a:xfrm>
          <a:off x="1363980" y="5638800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236220</xdr:colOff>
      <xdr:row>53</xdr:row>
      <xdr:rowOff>0</xdr:rowOff>
    </xdr:from>
    <xdr:ext cx="11495" cy="172227"/>
    <xdr:sp macro="" textlink="">
      <xdr:nvSpPr>
        <xdr:cNvPr id="6" name="TextBox 70">
          <a:extLst>
            <a:ext uri="{FF2B5EF4-FFF2-40B4-BE49-F238E27FC236}">
              <a16:creationId xmlns:a16="http://schemas.microsoft.com/office/drawing/2014/main" id="{B0C455CC-199B-4630-8DDD-A824B61B2815}"/>
            </a:ext>
          </a:extLst>
        </xdr:cNvPr>
        <xdr:cNvSpPr txBox="1"/>
      </xdr:nvSpPr>
      <xdr:spPr>
        <a:xfrm>
          <a:off x="1363980" y="5638800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236220</xdr:colOff>
      <xdr:row>53</xdr:row>
      <xdr:rowOff>0</xdr:rowOff>
    </xdr:from>
    <xdr:ext cx="11495" cy="172227"/>
    <xdr:sp macro="" textlink="">
      <xdr:nvSpPr>
        <xdr:cNvPr id="7" name="TextBox 71">
          <a:extLst>
            <a:ext uri="{FF2B5EF4-FFF2-40B4-BE49-F238E27FC236}">
              <a16:creationId xmlns:a16="http://schemas.microsoft.com/office/drawing/2014/main" id="{556B6506-B5A4-44B3-BAD1-05E5A3CCD29B}"/>
            </a:ext>
          </a:extLst>
        </xdr:cNvPr>
        <xdr:cNvSpPr txBox="1"/>
      </xdr:nvSpPr>
      <xdr:spPr>
        <a:xfrm>
          <a:off x="1363980" y="5638800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236220</xdr:colOff>
      <xdr:row>53</xdr:row>
      <xdr:rowOff>0</xdr:rowOff>
    </xdr:from>
    <xdr:ext cx="11495" cy="172227"/>
    <xdr:sp macro="" textlink="">
      <xdr:nvSpPr>
        <xdr:cNvPr id="8" name="TextBox 63">
          <a:extLst>
            <a:ext uri="{FF2B5EF4-FFF2-40B4-BE49-F238E27FC236}">
              <a16:creationId xmlns:a16="http://schemas.microsoft.com/office/drawing/2014/main" id="{EF7D5545-1A7B-4651-A8A4-3E87411A5B70}"/>
            </a:ext>
          </a:extLst>
        </xdr:cNvPr>
        <xdr:cNvSpPr txBox="1"/>
      </xdr:nvSpPr>
      <xdr:spPr>
        <a:xfrm>
          <a:off x="1363980" y="5638800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228600</xdr:colOff>
      <xdr:row>53</xdr:row>
      <xdr:rowOff>0</xdr:rowOff>
    </xdr:from>
    <xdr:ext cx="65" cy="172227"/>
    <xdr:sp macro="" textlink="">
      <xdr:nvSpPr>
        <xdr:cNvPr id="9" name="TextBox 64">
          <a:extLst>
            <a:ext uri="{FF2B5EF4-FFF2-40B4-BE49-F238E27FC236}">
              <a16:creationId xmlns:a16="http://schemas.microsoft.com/office/drawing/2014/main" id="{7E20D2E9-6A58-41C5-8321-642C83D52036}"/>
            </a:ext>
          </a:extLst>
        </xdr:cNvPr>
        <xdr:cNvSpPr txBox="1"/>
      </xdr:nvSpPr>
      <xdr:spPr>
        <a:xfrm>
          <a:off x="1356360" y="563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3</xdr:col>
      <xdr:colOff>152400</xdr:colOff>
      <xdr:row>53</xdr:row>
      <xdr:rowOff>0</xdr:rowOff>
    </xdr:from>
    <xdr:ext cx="555171" cy="258944"/>
    <xdr:sp macro="" textlink="">
      <xdr:nvSpPr>
        <xdr:cNvPr id="10" name="TextBox 66">
          <a:extLst>
            <a:ext uri="{FF2B5EF4-FFF2-40B4-BE49-F238E27FC236}">
              <a16:creationId xmlns:a16="http://schemas.microsoft.com/office/drawing/2014/main" id="{A0B24A51-AF7A-4E2B-8AEF-99E99D4461FC}"/>
            </a:ext>
          </a:extLst>
        </xdr:cNvPr>
        <xdr:cNvSpPr txBox="1"/>
      </xdr:nvSpPr>
      <xdr:spPr>
        <a:xfrm flipV="1">
          <a:off x="8755380" y="5638800"/>
          <a:ext cx="555171" cy="258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7</xdr:col>
      <xdr:colOff>152400</xdr:colOff>
      <xdr:row>53</xdr:row>
      <xdr:rowOff>0</xdr:rowOff>
    </xdr:from>
    <xdr:ext cx="555171" cy="293916"/>
    <xdr:sp macro="" textlink="">
      <xdr:nvSpPr>
        <xdr:cNvPr id="11" name="TextBox 66">
          <a:extLst>
            <a:ext uri="{FF2B5EF4-FFF2-40B4-BE49-F238E27FC236}">
              <a16:creationId xmlns:a16="http://schemas.microsoft.com/office/drawing/2014/main" id="{C83004B5-FEEB-4D66-A84B-88A93C75E659}"/>
            </a:ext>
          </a:extLst>
        </xdr:cNvPr>
        <xdr:cNvSpPr txBox="1"/>
      </xdr:nvSpPr>
      <xdr:spPr>
        <a:xfrm flipV="1">
          <a:off x="13060680" y="5638800"/>
          <a:ext cx="555171" cy="293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3</xdr:col>
      <xdr:colOff>228600</xdr:colOff>
      <xdr:row>53</xdr:row>
      <xdr:rowOff>0</xdr:rowOff>
    </xdr:from>
    <xdr:ext cx="65" cy="172227"/>
    <xdr:sp macro="" textlink="">
      <xdr:nvSpPr>
        <xdr:cNvPr id="12" name="TextBox 64">
          <a:extLst>
            <a:ext uri="{FF2B5EF4-FFF2-40B4-BE49-F238E27FC236}">
              <a16:creationId xmlns:a16="http://schemas.microsoft.com/office/drawing/2014/main" id="{0F1FD8CF-8EFF-4D73-986D-731C2DB9E0EE}"/>
            </a:ext>
          </a:extLst>
        </xdr:cNvPr>
        <xdr:cNvSpPr txBox="1"/>
      </xdr:nvSpPr>
      <xdr:spPr>
        <a:xfrm>
          <a:off x="8831580" y="52730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3</xdr:col>
      <xdr:colOff>228600</xdr:colOff>
      <xdr:row>53</xdr:row>
      <xdr:rowOff>0</xdr:rowOff>
    </xdr:from>
    <xdr:ext cx="65" cy="172227"/>
    <xdr:sp macro="" textlink="">
      <xdr:nvSpPr>
        <xdr:cNvPr id="13" name="TextBox 65">
          <a:extLst>
            <a:ext uri="{FF2B5EF4-FFF2-40B4-BE49-F238E27FC236}">
              <a16:creationId xmlns:a16="http://schemas.microsoft.com/office/drawing/2014/main" id="{D3ED2E08-9549-451E-88DC-3E384DB82390}"/>
            </a:ext>
          </a:extLst>
        </xdr:cNvPr>
        <xdr:cNvSpPr txBox="1"/>
      </xdr:nvSpPr>
      <xdr:spPr>
        <a:xfrm>
          <a:off x="8831580" y="52730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3</xdr:col>
      <xdr:colOff>228600</xdr:colOff>
      <xdr:row>53</xdr:row>
      <xdr:rowOff>0</xdr:rowOff>
    </xdr:from>
    <xdr:ext cx="65" cy="172227"/>
    <xdr:sp macro="" textlink="">
      <xdr:nvSpPr>
        <xdr:cNvPr id="14" name="TextBox 67">
          <a:extLst>
            <a:ext uri="{FF2B5EF4-FFF2-40B4-BE49-F238E27FC236}">
              <a16:creationId xmlns:a16="http://schemas.microsoft.com/office/drawing/2014/main" id="{24E132DB-4DAB-44E3-A5B4-712888376A3E}"/>
            </a:ext>
          </a:extLst>
        </xdr:cNvPr>
        <xdr:cNvSpPr txBox="1"/>
      </xdr:nvSpPr>
      <xdr:spPr>
        <a:xfrm>
          <a:off x="8831580" y="52730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3</xdr:col>
      <xdr:colOff>236220</xdr:colOff>
      <xdr:row>53</xdr:row>
      <xdr:rowOff>0</xdr:rowOff>
    </xdr:from>
    <xdr:ext cx="11495" cy="172227"/>
    <xdr:sp macro="" textlink="">
      <xdr:nvSpPr>
        <xdr:cNvPr id="15" name="TextBox 69">
          <a:extLst>
            <a:ext uri="{FF2B5EF4-FFF2-40B4-BE49-F238E27FC236}">
              <a16:creationId xmlns:a16="http://schemas.microsoft.com/office/drawing/2014/main" id="{0E195053-0C44-454F-92A1-4C5BB1FCE85D}"/>
            </a:ext>
          </a:extLst>
        </xdr:cNvPr>
        <xdr:cNvSpPr txBox="1"/>
      </xdr:nvSpPr>
      <xdr:spPr>
        <a:xfrm>
          <a:off x="8839200" y="5273040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3</xdr:col>
      <xdr:colOff>236220</xdr:colOff>
      <xdr:row>53</xdr:row>
      <xdr:rowOff>0</xdr:rowOff>
    </xdr:from>
    <xdr:ext cx="11495" cy="172227"/>
    <xdr:sp macro="" textlink="">
      <xdr:nvSpPr>
        <xdr:cNvPr id="16" name="TextBox 70">
          <a:extLst>
            <a:ext uri="{FF2B5EF4-FFF2-40B4-BE49-F238E27FC236}">
              <a16:creationId xmlns:a16="http://schemas.microsoft.com/office/drawing/2014/main" id="{8BBB1FA3-2F82-4012-B74A-A53372786058}"/>
            </a:ext>
          </a:extLst>
        </xdr:cNvPr>
        <xdr:cNvSpPr txBox="1"/>
      </xdr:nvSpPr>
      <xdr:spPr>
        <a:xfrm>
          <a:off x="8839200" y="5273040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3</xdr:col>
      <xdr:colOff>236220</xdr:colOff>
      <xdr:row>53</xdr:row>
      <xdr:rowOff>0</xdr:rowOff>
    </xdr:from>
    <xdr:ext cx="11495" cy="172227"/>
    <xdr:sp macro="" textlink="">
      <xdr:nvSpPr>
        <xdr:cNvPr id="17" name="TextBox 71">
          <a:extLst>
            <a:ext uri="{FF2B5EF4-FFF2-40B4-BE49-F238E27FC236}">
              <a16:creationId xmlns:a16="http://schemas.microsoft.com/office/drawing/2014/main" id="{70B8073C-F687-4CFF-AC5E-64D8E5281FE8}"/>
            </a:ext>
          </a:extLst>
        </xdr:cNvPr>
        <xdr:cNvSpPr txBox="1"/>
      </xdr:nvSpPr>
      <xdr:spPr>
        <a:xfrm>
          <a:off x="8839200" y="5273040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3</xdr:col>
      <xdr:colOff>236220</xdr:colOff>
      <xdr:row>53</xdr:row>
      <xdr:rowOff>0</xdr:rowOff>
    </xdr:from>
    <xdr:ext cx="11495" cy="172227"/>
    <xdr:sp macro="" textlink="">
      <xdr:nvSpPr>
        <xdr:cNvPr id="18" name="TextBox 63">
          <a:extLst>
            <a:ext uri="{FF2B5EF4-FFF2-40B4-BE49-F238E27FC236}">
              <a16:creationId xmlns:a16="http://schemas.microsoft.com/office/drawing/2014/main" id="{F8AAAADB-8F72-4DF1-A241-F8346F9DF064}"/>
            </a:ext>
          </a:extLst>
        </xdr:cNvPr>
        <xdr:cNvSpPr txBox="1"/>
      </xdr:nvSpPr>
      <xdr:spPr>
        <a:xfrm>
          <a:off x="8839200" y="5273040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3</xdr:col>
      <xdr:colOff>228600</xdr:colOff>
      <xdr:row>53</xdr:row>
      <xdr:rowOff>0</xdr:rowOff>
    </xdr:from>
    <xdr:ext cx="65" cy="172227"/>
    <xdr:sp macro="" textlink="">
      <xdr:nvSpPr>
        <xdr:cNvPr id="19" name="TextBox 64">
          <a:extLst>
            <a:ext uri="{FF2B5EF4-FFF2-40B4-BE49-F238E27FC236}">
              <a16:creationId xmlns:a16="http://schemas.microsoft.com/office/drawing/2014/main" id="{327AE6FB-A533-4451-920D-DB1D5DDEB755}"/>
            </a:ext>
          </a:extLst>
        </xdr:cNvPr>
        <xdr:cNvSpPr txBox="1"/>
      </xdr:nvSpPr>
      <xdr:spPr>
        <a:xfrm>
          <a:off x="8831580" y="52730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161925</xdr:colOff>
      <xdr:row>53</xdr:row>
      <xdr:rowOff>0</xdr:rowOff>
    </xdr:from>
    <xdr:ext cx="800100" cy="4082"/>
    <xdr:pic>
      <xdr:nvPicPr>
        <xdr:cNvPr id="20" name="Picture 5">
          <a:extLst>
            <a:ext uri="{FF2B5EF4-FFF2-40B4-BE49-F238E27FC236}">
              <a16:creationId xmlns:a16="http://schemas.microsoft.com/office/drawing/2014/main" id="{22BF8B47-53AE-49E3-94DB-8A6C89016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9685" y="399288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368445"/>
    <xdr:pic>
      <xdr:nvPicPr>
        <xdr:cNvPr id="21" name="Picture 5">
          <a:extLst>
            <a:ext uri="{FF2B5EF4-FFF2-40B4-BE49-F238E27FC236}">
              <a16:creationId xmlns:a16="http://schemas.microsoft.com/office/drawing/2014/main" id="{EFB5AF0A-FDE4-46BB-99B9-9E49328DC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368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368445"/>
    <xdr:pic>
      <xdr:nvPicPr>
        <xdr:cNvPr id="22" name="Picture 5">
          <a:extLst>
            <a:ext uri="{FF2B5EF4-FFF2-40B4-BE49-F238E27FC236}">
              <a16:creationId xmlns:a16="http://schemas.microsoft.com/office/drawing/2014/main" id="{6AF0F772-A4DA-4CAB-BC41-FAE346361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368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28575"/>
    <xdr:pic>
      <xdr:nvPicPr>
        <xdr:cNvPr id="23" name="Picture 19">
          <a:extLst>
            <a:ext uri="{FF2B5EF4-FFF2-40B4-BE49-F238E27FC236}">
              <a16:creationId xmlns:a16="http://schemas.microsoft.com/office/drawing/2014/main" id="{FF295794-F425-4798-9480-FAF9F5411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28575"/>
    <xdr:pic>
      <xdr:nvPicPr>
        <xdr:cNvPr id="24" name="Picture 4">
          <a:extLst>
            <a:ext uri="{FF2B5EF4-FFF2-40B4-BE49-F238E27FC236}">
              <a16:creationId xmlns:a16="http://schemas.microsoft.com/office/drawing/2014/main" id="{52123DD3-3135-49A8-A54B-3100F5AC1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368445"/>
    <xdr:pic>
      <xdr:nvPicPr>
        <xdr:cNvPr id="25" name="Picture 5">
          <a:extLst>
            <a:ext uri="{FF2B5EF4-FFF2-40B4-BE49-F238E27FC236}">
              <a16:creationId xmlns:a16="http://schemas.microsoft.com/office/drawing/2014/main" id="{283CC87F-85CD-4B8C-AA93-76B2C42C1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368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368445"/>
    <xdr:pic>
      <xdr:nvPicPr>
        <xdr:cNvPr id="26" name="Picture 5">
          <a:extLst>
            <a:ext uri="{FF2B5EF4-FFF2-40B4-BE49-F238E27FC236}">
              <a16:creationId xmlns:a16="http://schemas.microsoft.com/office/drawing/2014/main" id="{51ED88CE-9A33-4CD3-A49D-80C61EFB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368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19050"/>
    <xdr:pic>
      <xdr:nvPicPr>
        <xdr:cNvPr id="27" name="Picture 24">
          <a:extLst>
            <a:ext uri="{FF2B5EF4-FFF2-40B4-BE49-F238E27FC236}">
              <a16:creationId xmlns:a16="http://schemas.microsoft.com/office/drawing/2014/main" id="{622DB2D4-51C6-4AD1-A201-45F31801D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19050"/>
    <xdr:pic>
      <xdr:nvPicPr>
        <xdr:cNvPr id="28" name="Picture 5">
          <a:extLst>
            <a:ext uri="{FF2B5EF4-FFF2-40B4-BE49-F238E27FC236}">
              <a16:creationId xmlns:a16="http://schemas.microsoft.com/office/drawing/2014/main" id="{8FF367DB-58F0-4200-B429-D128F1168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104775"/>
    <xdr:pic>
      <xdr:nvPicPr>
        <xdr:cNvPr id="29" name="Picture 5">
          <a:extLst>
            <a:ext uri="{FF2B5EF4-FFF2-40B4-BE49-F238E27FC236}">
              <a16:creationId xmlns:a16="http://schemas.microsoft.com/office/drawing/2014/main" id="{97A517E8-950D-4EBA-98A7-D33142CD2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368445"/>
    <xdr:pic>
      <xdr:nvPicPr>
        <xdr:cNvPr id="30" name="Picture 5">
          <a:extLst>
            <a:ext uri="{FF2B5EF4-FFF2-40B4-BE49-F238E27FC236}">
              <a16:creationId xmlns:a16="http://schemas.microsoft.com/office/drawing/2014/main" id="{6F22421C-2618-48B9-A9BC-CB7D1B26F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368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368445"/>
    <xdr:pic>
      <xdr:nvPicPr>
        <xdr:cNvPr id="31" name="Picture 5">
          <a:extLst>
            <a:ext uri="{FF2B5EF4-FFF2-40B4-BE49-F238E27FC236}">
              <a16:creationId xmlns:a16="http://schemas.microsoft.com/office/drawing/2014/main" id="{FA95107B-3920-48A8-8BAF-46A1F93AF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368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32" name="Picture 5">
          <a:extLst>
            <a:ext uri="{FF2B5EF4-FFF2-40B4-BE49-F238E27FC236}">
              <a16:creationId xmlns:a16="http://schemas.microsoft.com/office/drawing/2014/main" id="{212C4150-6D24-42D4-B86D-D3CF9A6E1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33" name="Picture 13">
          <a:extLst>
            <a:ext uri="{FF2B5EF4-FFF2-40B4-BE49-F238E27FC236}">
              <a16:creationId xmlns:a16="http://schemas.microsoft.com/office/drawing/2014/main" id="{31F80B4E-E7B4-445D-A0DC-CB03C298F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53</xdr:row>
      <xdr:rowOff>0</xdr:rowOff>
    </xdr:from>
    <xdr:ext cx="800100" cy="4082"/>
    <xdr:pic>
      <xdr:nvPicPr>
        <xdr:cNvPr id="34" name="Picture 5">
          <a:extLst>
            <a:ext uri="{FF2B5EF4-FFF2-40B4-BE49-F238E27FC236}">
              <a16:creationId xmlns:a16="http://schemas.microsoft.com/office/drawing/2014/main" id="{DFA7CB62-4515-4267-A456-441D03741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399288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35" name="Picture 5">
          <a:extLst>
            <a:ext uri="{FF2B5EF4-FFF2-40B4-BE49-F238E27FC236}">
              <a16:creationId xmlns:a16="http://schemas.microsoft.com/office/drawing/2014/main" id="{FE10907A-51C5-4DA9-B1D3-EB7EF0219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53</xdr:row>
      <xdr:rowOff>0</xdr:rowOff>
    </xdr:from>
    <xdr:ext cx="800100" cy="4082"/>
    <xdr:pic>
      <xdr:nvPicPr>
        <xdr:cNvPr id="36" name="Picture 5">
          <a:extLst>
            <a:ext uri="{FF2B5EF4-FFF2-40B4-BE49-F238E27FC236}">
              <a16:creationId xmlns:a16="http://schemas.microsoft.com/office/drawing/2014/main" id="{76959A1B-4138-4DD1-A7C7-789B5C6AB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399288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37" name="Picture 5">
          <a:extLst>
            <a:ext uri="{FF2B5EF4-FFF2-40B4-BE49-F238E27FC236}">
              <a16:creationId xmlns:a16="http://schemas.microsoft.com/office/drawing/2014/main" id="{0555B1CE-7DE2-48AF-84AF-7686DB73C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38" name="Picture 5">
          <a:extLst>
            <a:ext uri="{FF2B5EF4-FFF2-40B4-BE49-F238E27FC236}">
              <a16:creationId xmlns:a16="http://schemas.microsoft.com/office/drawing/2014/main" id="{965F978D-2B6F-485B-8CD7-4B9803FE4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39" name="Picture 13">
          <a:extLst>
            <a:ext uri="{FF2B5EF4-FFF2-40B4-BE49-F238E27FC236}">
              <a16:creationId xmlns:a16="http://schemas.microsoft.com/office/drawing/2014/main" id="{48F48CC6-E3C4-4A9F-92E5-DE280E8EC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53</xdr:row>
      <xdr:rowOff>0</xdr:rowOff>
    </xdr:from>
    <xdr:ext cx="800100" cy="4082"/>
    <xdr:pic>
      <xdr:nvPicPr>
        <xdr:cNvPr id="40" name="Picture 5">
          <a:extLst>
            <a:ext uri="{FF2B5EF4-FFF2-40B4-BE49-F238E27FC236}">
              <a16:creationId xmlns:a16="http://schemas.microsoft.com/office/drawing/2014/main" id="{92334A6C-B468-4099-A2DA-B99DB1F23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399288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41" name="Picture 5">
          <a:extLst>
            <a:ext uri="{FF2B5EF4-FFF2-40B4-BE49-F238E27FC236}">
              <a16:creationId xmlns:a16="http://schemas.microsoft.com/office/drawing/2014/main" id="{B94ED12A-5C50-4700-ABF6-DA7A37ADE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53</xdr:row>
      <xdr:rowOff>0</xdr:rowOff>
    </xdr:from>
    <xdr:ext cx="800100" cy="4082"/>
    <xdr:pic>
      <xdr:nvPicPr>
        <xdr:cNvPr id="42" name="Picture 5">
          <a:extLst>
            <a:ext uri="{FF2B5EF4-FFF2-40B4-BE49-F238E27FC236}">
              <a16:creationId xmlns:a16="http://schemas.microsoft.com/office/drawing/2014/main" id="{75EFA73B-BF5E-47FF-BBDE-66DD78EE1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399288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43" name="Picture 5">
          <a:extLst>
            <a:ext uri="{FF2B5EF4-FFF2-40B4-BE49-F238E27FC236}">
              <a16:creationId xmlns:a16="http://schemas.microsoft.com/office/drawing/2014/main" id="{19676A48-B032-43A9-AF8F-DDDF47EC6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44" name="Picture 5">
          <a:extLst>
            <a:ext uri="{FF2B5EF4-FFF2-40B4-BE49-F238E27FC236}">
              <a16:creationId xmlns:a16="http://schemas.microsoft.com/office/drawing/2014/main" id="{6B216775-EC93-4933-A08E-29D2ACA04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45" name="Picture 13">
          <a:extLst>
            <a:ext uri="{FF2B5EF4-FFF2-40B4-BE49-F238E27FC236}">
              <a16:creationId xmlns:a16="http://schemas.microsoft.com/office/drawing/2014/main" id="{C27A5849-F668-415E-A8D8-6169C359C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53</xdr:row>
      <xdr:rowOff>0</xdr:rowOff>
    </xdr:from>
    <xdr:ext cx="800100" cy="4082"/>
    <xdr:pic>
      <xdr:nvPicPr>
        <xdr:cNvPr id="46" name="Picture 5">
          <a:extLst>
            <a:ext uri="{FF2B5EF4-FFF2-40B4-BE49-F238E27FC236}">
              <a16:creationId xmlns:a16="http://schemas.microsoft.com/office/drawing/2014/main" id="{8A95374F-A092-47D6-9571-558C30B6D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399288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47" name="Picture 5">
          <a:extLst>
            <a:ext uri="{FF2B5EF4-FFF2-40B4-BE49-F238E27FC236}">
              <a16:creationId xmlns:a16="http://schemas.microsoft.com/office/drawing/2014/main" id="{FE05BBB9-412E-4962-A384-519447607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53</xdr:row>
      <xdr:rowOff>0</xdr:rowOff>
    </xdr:from>
    <xdr:ext cx="800100" cy="4082"/>
    <xdr:pic>
      <xdr:nvPicPr>
        <xdr:cNvPr id="48" name="Picture 5">
          <a:extLst>
            <a:ext uri="{FF2B5EF4-FFF2-40B4-BE49-F238E27FC236}">
              <a16:creationId xmlns:a16="http://schemas.microsoft.com/office/drawing/2014/main" id="{F3204FC1-1478-4809-8DB8-0CA8D7226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399288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49" name="Picture 5">
          <a:extLst>
            <a:ext uri="{FF2B5EF4-FFF2-40B4-BE49-F238E27FC236}">
              <a16:creationId xmlns:a16="http://schemas.microsoft.com/office/drawing/2014/main" id="{D7A2F2EA-8108-476B-8E8B-139FB85EE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50" name="Picture 5">
          <a:extLst>
            <a:ext uri="{FF2B5EF4-FFF2-40B4-BE49-F238E27FC236}">
              <a16:creationId xmlns:a16="http://schemas.microsoft.com/office/drawing/2014/main" id="{D444AEEE-38B6-4261-B362-E9760F705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51" name="Picture 13">
          <a:extLst>
            <a:ext uri="{FF2B5EF4-FFF2-40B4-BE49-F238E27FC236}">
              <a16:creationId xmlns:a16="http://schemas.microsoft.com/office/drawing/2014/main" id="{CD6788AE-146D-471F-B6CC-3A0D0A562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53</xdr:row>
      <xdr:rowOff>0</xdr:rowOff>
    </xdr:from>
    <xdr:ext cx="800100" cy="4082"/>
    <xdr:pic>
      <xdr:nvPicPr>
        <xdr:cNvPr id="52" name="Picture 5">
          <a:extLst>
            <a:ext uri="{FF2B5EF4-FFF2-40B4-BE49-F238E27FC236}">
              <a16:creationId xmlns:a16="http://schemas.microsoft.com/office/drawing/2014/main" id="{ACA4D2F7-1A24-418F-96F7-5700CD16C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399288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53" name="Picture 5">
          <a:extLst>
            <a:ext uri="{FF2B5EF4-FFF2-40B4-BE49-F238E27FC236}">
              <a16:creationId xmlns:a16="http://schemas.microsoft.com/office/drawing/2014/main" id="{6E320415-030A-4F88-B15C-3AB422033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53</xdr:row>
      <xdr:rowOff>0</xdr:rowOff>
    </xdr:from>
    <xdr:ext cx="800100" cy="4082"/>
    <xdr:pic>
      <xdr:nvPicPr>
        <xdr:cNvPr id="54" name="Picture 5">
          <a:extLst>
            <a:ext uri="{FF2B5EF4-FFF2-40B4-BE49-F238E27FC236}">
              <a16:creationId xmlns:a16="http://schemas.microsoft.com/office/drawing/2014/main" id="{E92EB9C8-E0F9-4CFB-B322-8D208E27A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399288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55" name="Picture 5">
          <a:extLst>
            <a:ext uri="{FF2B5EF4-FFF2-40B4-BE49-F238E27FC236}">
              <a16:creationId xmlns:a16="http://schemas.microsoft.com/office/drawing/2014/main" id="{F6CDBD4A-AE69-46CB-A667-2ACD62A9C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56" name="Picture 5">
          <a:extLst>
            <a:ext uri="{FF2B5EF4-FFF2-40B4-BE49-F238E27FC236}">
              <a16:creationId xmlns:a16="http://schemas.microsoft.com/office/drawing/2014/main" id="{D3100BA9-8479-4F48-A53A-B1E925758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57" name="Picture 13">
          <a:extLst>
            <a:ext uri="{FF2B5EF4-FFF2-40B4-BE49-F238E27FC236}">
              <a16:creationId xmlns:a16="http://schemas.microsoft.com/office/drawing/2014/main" id="{9D100282-6170-4F0C-9F4F-86A1B76D9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53</xdr:row>
      <xdr:rowOff>0</xdr:rowOff>
    </xdr:from>
    <xdr:ext cx="800100" cy="4082"/>
    <xdr:pic>
      <xdr:nvPicPr>
        <xdr:cNvPr id="58" name="Picture 5">
          <a:extLst>
            <a:ext uri="{FF2B5EF4-FFF2-40B4-BE49-F238E27FC236}">
              <a16:creationId xmlns:a16="http://schemas.microsoft.com/office/drawing/2014/main" id="{B15A174B-AE4E-4C72-A5AC-83B7DC415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399288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59" name="Picture 5">
          <a:extLst>
            <a:ext uri="{FF2B5EF4-FFF2-40B4-BE49-F238E27FC236}">
              <a16:creationId xmlns:a16="http://schemas.microsoft.com/office/drawing/2014/main" id="{3F03A8B4-2847-41AB-9283-AE7EDDD34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53</xdr:row>
      <xdr:rowOff>0</xdr:rowOff>
    </xdr:from>
    <xdr:ext cx="800100" cy="4082"/>
    <xdr:pic>
      <xdr:nvPicPr>
        <xdr:cNvPr id="60" name="Picture 5">
          <a:extLst>
            <a:ext uri="{FF2B5EF4-FFF2-40B4-BE49-F238E27FC236}">
              <a16:creationId xmlns:a16="http://schemas.microsoft.com/office/drawing/2014/main" id="{D9144AD2-19E5-4C3F-867E-404D46CB0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399288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61" name="Picture 5">
          <a:extLst>
            <a:ext uri="{FF2B5EF4-FFF2-40B4-BE49-F238E27FC236}">
              <a16:creationId xmlns:a16="http://schemas.microsoft.com/office/drawing/2014/main" id="{69E76ED7-4279-45A8-9DC8-864797B2B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62" name="Picture 5">
          <a:extLst>
            <a:ext uri="{FF2B5EF4-FFF2-40B4-BE49-F238E27FC236}">
              <a16:creationId xmlns:a16="http://schemas.microsoft.com/office/drawing/2014/main" id="{B50A35C7-7E06-45D4-90CC-BD068F19D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63" name="Picture 13">
          <a:extLst>
            <a:ext uri="{FF2B5EF4-FFF2-40B4-BE49-F238E27FC236}">
              <a16:creationId xmlns:a16="http://schemas.microsoft.com/office/drawing/2014/main" id="{A4EF9119-C605-4A49-886F-73D0DAFE8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53</xdr:row>
      <xdr:rowOff>0</xdr:rowOff>
    </xdr:from>
    <xdr:ext cx="800100" cy="4082"/>
    <xdr:pic>
      <xdr:nvPicPr>
        <xdr:cNvPr id="64" name="Picture 5">
          <a:extLst>
            <a:ext uri="{FF2B5EF4-FFF2-40B4-BE49-F238E27FC236}">
              <a16:creationId xmlns:a16="http://schemas.microsoft.com/office/drawing/2014/main" id="{ACF3960E-DE00-4D37-85BD-8861E11D4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399288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65" name="Picture 5">
          <a:extLst>
            <a:ext uri="{FF2B5EF4-FFF2-40B4-BE49-F238E27FC236}">
              <a16:creationId xmlns:a16="http://schemas.microsoft.com/office/drawing/2014/main" id="{3729A4E5-A205-48F4-9ABB-7B161BB64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53</xdr:row>
      <xdr:rowOff>0</xdr:rowOff>
    </xdr:from>
    <xdr:ext cx="800100" cy="4082"/>
    <xdr:pic>
      <xdr:nvPicPr>
        <xdr:cNvPr id="66" name="Picture 5">
          <a:extLst>
            <a:ext uri="{FF2B5EF4-FFF2-40B4-BE49-F238E27FC236}">
              <a16:creationId xmlns:a16="http://schemas.microsoft.com/office/drawing/2014/main" id="{E42818A8-A128-4EB4-865A-ECD732CD4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399288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67" name="Picture 5">
          <a:extLst>
            <a:ext uri="{FF2B5EF4-FFF2-40B4-BE49-F238E27FC236}">
              <a16:creationId xmlns:a16="http://schemas.microsoft.com/office/drawing/2014/main" id="{D0D8F91F-2F77-449D-8B98-CBAE74B9E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68" name="Picture 5">
          <a:extLst>
            <a:ext uri="{FF2B5EF4-FFF2-40B4-BE49-F238E27FC236}">
              <a16:creationId xmlns:a16="http://schemas.microsoft.com/office/drawing/2014/main" id="{E9DDAB84-B9B0-4151-AACB-D74243DCF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69" name="Picture 13">
          <a:extLst>
            <a:ext uri="{FF2B5EF4-FFF2-40B4-BE49-F238E27FC236}">
              <a16:creationId xmlns:a16="http://schemas.microsoft.com/office/drawing/2014/main" id="{D38235B0-B595-4CF6-87CC-3A2A4C70A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53</xdr:row>
      <xdr:rowOff>0</xdr:rowOff>
    </xdr:from>
    <xdr:ext cx="800100" cy="4082"/>
    <xdr:pic>
      <xdr:nvPicPr>
        <xdr:cNvPr id="70" name="Picture 5">
          <a:extLst>
            <a:ext uri="{FF2B5EF4-FFF2-40B4-BE49-F238E27FC236}">
              <a16:creationId xmlns:a16="http://schemas.microsoft.com/office/drawing/2014/main" id="{53BC53F2-C22A-4ED0-A96C-1AB67928B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399288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71" name="Picture 5">
          <a:extLst>
            <a:ext uri="{FF2B5EF4-FFF2-40B4-BE49-F238E27FC236}">
              <a16:creationId xmlns:a16="http://schemas.microsoft.com/office/drawing/2014/main" id="{01F8E80C-D153-484A-8CFC-F69508836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53</xdr:row>
      <xdr:rowOff>0</xdr:rowOff>
    </xdr:from>
    <xdr:ext cx="800100" cy="4082"/>
    <xdr:pic>
      <xdr:nvPicPr>
        <xdr:cNvPr id="72" name="Picture 5">
          <a:extLst>
            <a:ext uri="{FF2B5EF4-FFF2-40B4-BE49-F238E27FC236}">
              <a16:creationId xmlns:a16="http://schemas.microsoft.com/office/drawing/2014/main" id="{8E65E415-E3B4-4C39-9FCD-E20E6E2A2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399288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73" name="Picture 5">
          <a:extLst>
            <a:ext uri="{FF2B5EF4-FFF2-40B4-BE49-F238E27FC236}">
              <a16:creationId xmlns:a16="http://schemas.microsoft.com/office/drawing/2014/main" id="{9450C5A0-54EB-4AE9-BC4F-923AFD842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74" name="Picture 5">
          <a:extLst>
            <a:ext uri="{FF2B5EF4-FFF2-40B4-BE49-F238E27FC236}">
              <a16:creationId xmlns:a16="http://schemas.microsoft.com/office/drawing/2014/main" id="{9DD00376-7468-4C0C-98B8-73AD7C60B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75" name="Picture 13">
          <a:extLst>
            <a:ext uri="{FF2B5EF4-FFF2-40B4-BE49-F238E27FC236}">
              <a16:creationId xmlns:a16="http://schemas.microsoft.com/office/drawing/2014/main" id="{5993BF96-4308-47FB-8F48-B3D83A3EE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53</xdr:row>
      <xdr:rowOff>0</xdr:rowOff>
    </xdr:from>
    <xdr:ext cx="800100" cy="4082"/>
    <xdr:pic>
      <xdr:nvPicPr>
        <xdr:cNvPr id="76" name="Picture 5">
          <a:extLst>
            <a:ext uri="{FF2B5EF4-FFF2-40B4-BE49-F238E27FC236}">
              <a16:creationId xmlns:a16="http://schemas.microsoft.com/office/drawing/2014/main" id="{0B4A99FA-0E60-4521-A095-912F6CA76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399288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77" name="Picture 5">
          <a:extLst>
            <a:ext uri="{FF2B5EF4-FFF2-40B4-BE49-F238E27FC236}">
              <a16:creationId xmlns:a16="http://schemas.microsoft.com/office/drawing/2014/main" id="{40D7C4E5-8008-44AD-A251-2B7F81E92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53</xdr:row>
      <xdr:rowOff>0</xdr:rowOff>
    </xdr:from>
    <xdr:ext cx="800100" cy="4082"/>
    <xdr:pic>
      <xdr:nvPicPr>
        <xdr:cNvPr id="78" name="Picture 5">
          <a:extLst>
            <a:ext uri="{FF2B5EF4-FFF2-40B4-BE49-F238E27FC236}">
              <a16:creationId xmlns:a16="http://schemas.microsoft.com/office/drawing/2014/main" id="{4E3ADC67-9AF0-4116-BD76-95A539B0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399288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79" name="Picture 5">
          <a:extLst>
            <a:ext uri="{FF2B5EF4-FFF2-40B4-BE49-F238E27FC236}">
              <a16:creationId xmlns:a16="http://schemas.microsoft.com/office/drawing/2014/main" id="{544502F4-2B53-40AB-8C64-BD1F22860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80" name="Picture 5">
          <a:extLst>
            <a:ext uri="{FF2B5EF4-FFF2-40B4-BE49-F238E27FC236}">
              <a16:creationId xmlns:a16="http://schemas.microsoft.com/office/drawing/2014/main" id="{B0F1D65D-AC51-4132-977C-45AF2A6DA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81" name="Picture 13">
          <a:extLst>
            <a:ext uri="{FF2B5EF4-FFF2-40B4-BE49-F238E27FC236}">
              <a16:creationId xmlns:a16="http://schemas.microsoft.com/office/drawing/2014/main" id="{FB45E5E1-14C2-4705-ACFD-F475C7F8C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53</xdr:row>
      <xdr:rowOff>0</xdr:rowOff>
    </xdr:from>
    <xdr:ext cx="800100" cy="4082"/>
    <xdr:pic>
      <xdr:nvPicPr>
        <xdr:cNvPr id="82" name="Picture 5">
          <a:extLst>
            <a:ext uri="{FF2B5EF4-FFF2-40B4-BE49-F238E27FC236}">
              <a16:creationId xmlns:a16="http://schemas.microsoft.com/office/drawing/2014/main" id="{6128BE71-DFE0-4045-A99C-BC2E35B00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399288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83" name="Picture 5">
          <a:extLst>
            <a:ext uri="{FF2B5EF4-FFF2-40B4-BE49-F238E27FC236}">
              <a16:creationId xmlns:a16="http://schemas.microsoft.com/office/drawing/2014/main" id="{DF3E9C81-493B-4A52-9D15-8D5FB9979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53</xdr:row>
      <xdr:rowOff>0</xdr:rowOff>
    </xdr:from>
    <xdr:ext cx="800100" cy="4082"/>
    <xdr:pic>
      <xdr:nvPicPr>
        <xdr:cNvPr id="84" name="Picture 5">
          <a:extLst>
            <a:ext uri="{FF2B5EF4-FFF2-40B4-BE49-F238E27FC236}">
              <a16:creationId xmlns:a16="http://schemas.microsoft.com/office/drawing/2014/main" id="{699F826E-8DFF-42FB-9E93-3C9C90CC4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399288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85" name="Picture 5">
          <a:extLst>
            <a:ext uri="{FF2B5EF4-FFF2-40B4-BE49-F238E27FC236}">
              <a16:creationId xmlns:a16="http://schemas.microsoft.com/office/drawing/2014/main" id="{774C3623-9892-48E5-8D40-CC68BFA09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86" name="Picture 5">
          <a:extLst>
            <a:ext uri="{FF2B5EF4-FFF2-40B4-BE49-F238E27FC236}">
              <a16:creationId xmlns:a16="http://schemas.microsoft.com/office/drawing/2014/main" id="{8E993177-65FE-42F2-B7DD-861393371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87" name="Picture 13">
          <a:extLst>
            <a:ext uri="{FF2B5EF4-FFF2-40B4-BE49-F238E27FC236}">
              <a16:creationId xmlns:a16="http://schemas.microsoft.com/office/drawing/2014/main" id="{E9A2E151-8693-46FB-8754-7B04DD69F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53</xdr:row>
      <xdr:rowOff>0</xdr:rowOff>
    </xdr:from>
    <xdr:ext cx="800100" cy="4082"/>
    <xdr:pic>
      <xdr:nvPicPr>
        <xdr:cNvPr id="88" name="Picture 5">
          <a:extLst>
            <a:ext uri="{FF2B5EF4-FFF2-40B4-BE49-F238E27FC236}">
              <a16:creationId xmlns:a16="http://schemas.microsoft.com/office/drawing/2014/main" id="{B1D2C83D-6EAB-4C5B-A56B-33E2D52C1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399288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89" name="Picture 5">
          <a:extLst>
            <a:ext uri="{FF2B5EF4-FFF2-40B4-BE49-F238E27FC236}">
              <a16:creationId xmlns:a16="http://schemas.microsoft.com/office/drawing/2014/main" id="{14B813D4-0313-4EF7-8450-BB027E4C9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53</xdr:row>
      <xdr:rowOff>0</xdr:rowOff>
    </xdr:from>
    <xdr:ext cx="800100" cy="4082"/>
    <xdr:pic>
      <xdr:nvPicPr>
        <xdr:cNvPr id="90" name="Picture 5">
          <a:extLst>
            <a:ext uri="{FF2B5EF4-FFF2-40B4-BE49-F238E27FC236}">
              <a16:creationId xmlns:a16="http://schemas.microsoft.com/office/drawing/2014/main" id="{3FCC737B-7FF1-4E2A-A5B5-E7EB82B90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399288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91" name="Picture 5">
          <a:extLst>
            <a:ext uri="{FF2B5EF4-FFF2-40B4-BE49-F238E27FC236}">
              <a16:creationId xmlns:a16="http://schemas.microsoft.com/office/drawing/2014/main" id="{16A2EA0C-8857-4379-A83E-377A12F43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92" name="Picture 5">
          <a:extLst>
            <a:ext uri="{FF2B5EF4-FFF2-40B4-BE49-F238E27FC236}">
              <a16:creationId xmlns:a16="http://schemas.microsoft.com/office/drawing/2014/main" id="{C4755314-1BAC-4164-BE40-F28F9E755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93" name="Picture 13">
          <a:extLst>
            <a:ext uri="{FF2B5EF4-FFF2-40B4-BE49-F238E27FC236}">
              <a16:creationId xmlns:a16="http://schemas.microsoft.com/office/drawing/2014/main" id="{8964FCA5-1E66-4F46-9F8A-C2F5261DE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53</xdr:row>
      <xdr:rowOff>0</xdr:rowOff>
    </xdr:from>
    <xdr:ext cx="800100" cy="4082"/>
    <xdr:pic>
      <xdr:nvPicPr>
        <xdr:cNvPr id="94" name="Picture 5">
          <a:extLst>
            <a:ext uri="{FF2B5EF4-FFF2-40B4-BE49-F238E27FC236}">
              <a16:creationId xmlns:a16="http://schemas.microsoft.com/office/drawing/2014/main" id="{BE5465FC-D2B9-401E-A27E-D37CABA9E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399288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95" name="Picture 5">
          <a:extLst>
            <a:ext uri="{FF2B5EF4-FFF2-40B4-BE49-F238E27FC236}">
              <a16:creationId xmlns:a16="http://schemas.microsoft.com/office/drawing/2014/main" id="{F4A41CDC-E0FE-427A-BAE8-041397D02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53</xdr:row>
      <xdr:rowOff>0</xdr:rowOff>
    </xdr:from>
    <xdr:ext cx="800100" cy="4082"/>
    <xdr:pic>
      <xdr:nvPicPr>
        <xdr:cNvPr id="96" name="Picture 5">
          <a:extLst>
            <a:ext uri="{FF2B5EF4-FFF2-40B4-BE49-F238E27FC236}">
              <a16:creationId xmlns:a16="http://schemas.microsoft.com/office/drawing/2014/main" id="{3596CDCB-2D00-45B0-9EC6-A28FF1C0B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399288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97" name="Picture 5">
          <a:extLst>
            <a:ext uri="{FF2B5EF4-FFF2-40B4-BE49-F238E27FC236}">
              <a16:creationId xmlns:a16="http://schemas.microsoft.com/office/drawing/2014/main" id="{6923E0C1-217A-48A8-AD4F-772A3AB3B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98" name="Picture 5">
          <a:extLst>
            <a:ext uri="{FF2B5EF4-FFF2-40B4-BE49-F238E27FC236}">
              <a16:creationId xmlns:a16="http://schemas.microsoft.com/office/drawing/2014/main" id="{2D2F959E-FD0C-495D-ACF0-5EB9A717D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99" name="Picture 13">
          <a:extLst>
            <a:ext uri="{FF2B5EF4-FFF2-40B4-BE49-F238E27FC236}">
              <a16:creationId xmlns:a16="http://schemas.microsoft.com/office/drawing/2014/main" id="{2A3C62AB-D88A-4FF2-B1A6-BAA4CD15E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53</xdr:row>
      <xdr:rowOff>0</xdr:rowOff>
    </xdr:from>
    <xdr:ext cx="800100" cy="4082"/>
    <xdr:pic>
      <xdr:nvPicPr>
        <xdr:cNvPr id="100" name="Picture 5">
          <a:extLst>
            <a:ext uri="{FF2B5EF4-FFF2-40B4-BE49-F238E27FC236}">
              <a16:creationId xmlns:a16="http://schemas.microsoft.com/office/drawing/2014/main" id="{452C5B33-7A4B-4F53-8B76-31F20815B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399288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101" name="Picture 5">
          <a:extLst>
            <a:ext uri="{FF2B5EF4-FFF2-40B4-BE49-F238E27FC236}">
              <a16:creationId xmlns:a16="http://schemas.microsoft.com/office/drawing/2014/main" id="{7678477F-5B27-469E-A7C6-A2D798D9E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53</xdr:row>
      <xdr:rowOff>0</xdr:rowOff>
    </xdr:from>
    <xdr:ext cx="800100" cy="4082"/>
    <xdr:pic>
      <xdr:nvPicPr>
        <xdr:cNvPr id="102" name="Picture 5">
          <a:extLst>
            <a:ext uri="{FF2B5EF4-FFF2-40B4-BE49-F238E27FC236}">
              <a16:creationId xmlns:a16="http://schemas.microsoft.com/office/drawing/2014/main" id="{230638FC-9014-45C0-B634-AB3302A25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399288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103" name="Picture 5">
          <a:extLst>
            <a:ext uri="{FF2B5EF4-FFF2-40B4-BE49-F238E27FC236}">
              <a16:creationId xmlns:a16="http://schemas.microsoft.com/office/drawing/2014/main" id="{C7427E17-A783-42DF-B95A-7A86019E6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104" name="Picture 5">
          <a:extLst>
            <a:ext uri="{FF2B5EF4-FFF2-40B4-BE49-F238E27FC236}">
              <a16:creationId xmlns:a16="http://schemas.microsoft.com/office/drawing/2014/main" id="{B9E69F87-D759-4C13-8842-9A91ECCB2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105" name="Picture 13">
          <a:extLst>
            <a:ext uri="{FF2B5EF4-FFF2-40B4-BE49-F238E27FC236}">
              <a16:creationId xmlns:a16="http://schemas.microsoft.com/office/drawing/2014/main" id="{794927AC-D179-43C6-BAB0-CE373A480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53</xdr:row>
      <xdr:rowOff>0</xdr:rowOff>
    </xdr:from>
    <xdr:ext cx="800100" cy="4082"/>
    <xdr:pic>
      <xdr:nvPicPr>
        <xdr:cNvPr id="106" name="Picture 5">
          <a:extLst>
            <a:ext uri="{FF2B5EF4-FFF2-40B4-BE49-F238E27FC236}">
              <a16:creationId xmlns:a16="http://schemas.microsoft.com/office/drawing/2014/main" id="{ADD458B4-363B-43F3-A268-44775DC83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399288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107" name="Picture 5">
          <a:extLst>
            <a:ext uri="{FF2B5EF4-FFF2-40B4-BE49-F238E27FC236}">
              <a16:creationId xmlns:a16="http://schemas.microsoft.com/office/drawing/2014/main" id="{66ADE4AA-8340-4271-9F99-C29DB0B79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108" name="Picture 5">
          <a:extLst>
            <a:ext uri="{FF2B5EF4-FFF2-40B4-BE49-F238E27FC236}">
              <a16:creationId xmlns:a16="http://schemas.microsoft.com/office/drawing/2014/main" id="{14B95C48-9DA8-4490-940B-18AC80C24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109" name="Picture 5">
          <a:extLst>
            <a:ext uri="{FF2B5EF4-FFF2-40B4-BE49-F238E27FC236}">
              <a16:creationId xmlns:a16="http://schemas.microsoft.com/office/drawing/2014/main" id="{6C0CFA7F-443C-4635-843B-BBE6F6EBC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110" name="Picture 13">
          <a:extLst>
            <a:ext uri="{FF2B5EF4-FFF2-40B4-BE49-F238E27FC236}">
              <a16:creationId xmlns:a16="http://schemas.microsoft.com/office/drawing/2014/main" id="{753E418D-1159-4190-B3C2-CDB456E9B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111" name="Picture 5">
          <a:extLst>
            <a:ext uri="{FF2B5EF4-FFF2-40B4-BE49-F238E27FC236}">
              <a16:creationId xmlns:a16="http://schemas.microsoft.com/office/drawing/2014/main" id="{F6294AC0-0ADB-4579-A390-145A14D21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53</xdr:row>
      <xdr:rowOff>0</xdr:rowOff>
    </xdr:from>
    <xdr:ext cx="0" cy="4082"/>
    <xdr:pic>
      <xdr:nvPicPr>
        <xdr:cNvPr id="112" name="Picture 5">
          <a:extLst>
            <a:ext uri="{FF2B5EF4-FFF2-40B4-BE49-F238E27FC236}">
              <a16:creationId xmlns:a16="http://schemas.microsoft.com/office/drawing/2014/main" id="{89675EAF-815D-4EE3-A6A4-A9866C916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399288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5647354</xdr:colOff>
      <xdr:row>1</xdr:row>
      <xdr:rowOff>0</xdr:rowOff>
    </xdr:from>
    <xdr:to>
      <xdr:col>10</xdr:col>
      <xdr:colOff>0</xdr:colOff>
      <xdr:row>1</xdr:row>
      <xdr:rowOff>0</xdr:rowOff>
    </xdr:to>
    <xdr:sp macro="" textlink="">
      <xdr:nvSpPr>
        <xdr:cNvPr id="113" name="Trapezoid 112">
          <a:extLst>
            <a:ext uri="{FF2B5EF4-FFF2-40B4-BE49-F238E27FC236}">
              <a16:creationId xmlns:a16="http://schemas.microsoft.com/office/drawing/2014/main" id="{ABD050F3-2717-4369-BE09-C4DB535729B2}"/>
            </a:ext>
          </a:extLst>
        </xdr:cNvPr>
        <xdr:cNvSpPr/>
      </xdr:nvSpPr>
      <xdr:spPr>
        <a:xfrm rot="10800000">
          <a:off x="6775114" y="198120"/>
          <a:ext cx="11040446" cy="0"/>
        </a:xfrm>
        <a:prstGeom prst="trapezoid">
          <a:avLst>
            <a:gd name="adj" fmla="val 95270"/>
          </a:avLst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9</xdr:col>
      <xdr:colOff>0</xdr:colOff>
      <xdr:row>53</xdr:row>
      <xdr:rowOff>0</xdr:rowOff>
    </xdr:from>
    <xdr:ext cx="555171" cy="293916"/>
    <xdr:sp macro="" textlink="">
      <xdr:nvSpPr>
        <xdr:cNvPr id="114" name="TextBox 66">
          <a:extLst>
            <a:ext uri="{FF2B5EF4-FFF2-40B4-BE49-F238E27FC236}">
              <a16:creationId xmlns:a16="http://schemas.microsoft.com/office/drawing/2014/main" id="{48372BEC-D7FE-4BE3-824F-0FE3BCEB07BB}"/>
            </a:ext>
          </a:extLst>
        </xdr:cNvPr>
        <xdr:cNvSpPr txBox="1"/>
      </xdr:nvSpPr>
      <xdr:spPr>
        <a:xfrm flipV="1">
          <a:off x="15788640" y="5638800"/>
          <a:ext cx="555171" cy="293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3</xdr:col>
      <xdr:colOff>228600</xdr:colOff>
      <xdr:row>53</xdr:row>
      <xdr:rowOff>0</xdr:rowOff>
    </xdr:from>
    <xdr:ext cx="65" cy="172227"/>
    <xdr:sp macro="" textlink="">
      <xdr:nvSpPr>
        <xdr:cNvPr id="115" name="TextBox 64">
          <a:extLst>
            <a:ext uri="{FF2B5EF4-FFF2-40B4-BE49-F238E27FC236}">
              <a16:creationId xmlns:a16="http://schemas.microsoft.com/office/drawing/2014/main" id="{C0F98E3E-AD0E-45DD-807C-23A4562D3BB3}"/>
            </a:ext>
          </a:extLst>
        </xdr:cNvPr>
        <xdr:cNvSpPr txBox="1"/>
      </xdr:nvSpPr>
      <xdr:spPr>
        <a:xfrm>
          <a:off x="8831580" y="52730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3</xdr:col>
      <xdr:colOff>228600</xdr:colOff>
      <xdr:row>53</xdr:row>
      <xdr:rowOff>0</xdr:rowOff>
    </xdr:from>
    <xdr:ext cx="65" cy="172227"/>
    <xdr:sp macro="" textlink="">
      <xdr:nvSpPr>
        <xdr:cNvPr id="116" name="TextBox 65">
          <a:extLst>
            <a:ext uri="{FF2B5EF4-FFF2-40B4-BE49-F238E27FC236}">
              <a16:creationId xmlns:a16="http://schemas.microsoft.com/office/drawing/2014/main" id="{1B43413C-0B50-48AC-85F4-5533C3B6B879}"/>
            </a:ext>
          </a:extLst>
        </xdr:cNvPr>
        <xdr:cNvSpPr txBox="1"/>
      </xdr:nvSpPr>
      <xdr:spPr>
        <a:xfrm>
          <a:off x="8831580" y="52730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3</xdr:col>
      <xdr:colOff>228600</xdr:colOff>
      <xdr:row>53</xdr:row>
      <xdr:rowOff>0</xdr:rowOff>
    </xdr:from>
    <xdr:ext cx="65" cy="172227"/>
    <xdr:sp macro="" textlink="">
      <xdr:nvSpPr>
        <xdr:cNvPr id="117" name="TextBox 67">
          <a:extLst>
            <a:ext uri="{FF2B5EF4-FFF2-40B4-BE49-F238E27FC236}">
              <a16:creationId xmlns:a16="http://schemas.microsoft.com/office/drawing/2014/main" id="{CB7560E9-A60F-42B4-BD5A-BA1EFBA1C2C8}"/>
            </a:ext>
          </a:extLst>
        </xdr:cNvPr>
        <xdr:cNvSpPr txBox="1"/>
      </xdr:nvSpPr>
      <xdr:spPr>
        <a:xfrm>
          <a:off x="8831580" y="52730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3</xdr:col>
      <xdr:colOff>236220</xdr:colOff>
      <xdr:row>53</xdr:row>
      <xdr:rowOff>0</xdr:rowOff>
    </xdr:from>
    <xdr:ext cx="11495" cy="172227"/>
    <xdr:sp macro="" textlink="">
      <xdr:nvSpPr>
        <xdr:cNvPr id="118" name="TextBox 69">
          <a:extLst>
            <a:ext uri="{FF2B5EF4-FFF2-40B4-BE49-F238E27FC236}">
              <a16:creationId xmlns:a16="http://schemas.microsoft.com/office/drawing/2014/main" id="{A6650041-4658-472C-8864-D517BF105764}"/>
            </a:ext>
          </a:extLst>
        </xdr:cNvPr>
        <xdr:cNvSpPr txBox="1"/>
      </xdr:nvSpPr>
      <xdr:spPr>
        <a:xfrm>
          <a:off x="8839200" y="5273040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3</xdr:col>
      <xdr:colOff>236220</xdr:colOff>
      <xdr:row>53</xdr:row>
      <xdr:rowOff>0</xdr:rowOff>
    </xdr:from>
    <xdr:ext cx="11495" cy="172227"/>
    <xdr:sp macro="" textlink="">
      <xdr:nvSpPr>
        <xdr:cNvPr id="119" name="TextBox 70">
          <a:extLst>
            <a:ext uri="{FF2B5EF4-FFF2-40B4-BE49-F238E27FC236}">
              <a16:creationId xmlns:a16="http://schemas.microsoft.com/office/drawing/2014/main" id="{A2D5C5BF-505F-4989-9FBD-8F369743AEF3}"/>
            </a:ext>
          </a:extLst>
        </xdr:cNvPr>
        <xdr:cNvSpPr txBox="1"/>
      </xdr:nvSpPr>
      <xdr:spPr>
        <a:xfrm>
          <a:off x="8839200" y="5273040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3</xdr:col>
      <xdr:colOff>236220</xdr:colOff>
      <xdr:row>53</xdr:row>
      <xdr:rowOff>0</xdr:rowOff>
    </xdr:from>
    <xdr:ext cx="11495" cy="172227"/>
    <xdr:sp macro="" textlink="">
      <xdr:nvSpPr>
        <xdr:cNvPr id="120" name="TextBox 71">
          <a:extLst>
            <a:ext uri="{FF2B5EF4-FFF2-40B4-BE49-F238E27FC236}">
              <a16:creationId xmlns:a16="http://schemas.microsoft.com/office/drawing/2014/main" id="{A82884E1-A722-488D-B067-68A8CB33D0D7}"/>
            </a:ext>
          </a:extLst>
        </xdr:cNvPr>
        <xdr:cNvSpPr txBox="1"/>
      </xdr:nvSpPr>
      <xdr:spPr>
        <a:xfrm>
          <a:off x="8839200" y="5273040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3</xdr:col>
      <xdr:colOff>236220</xdr:colOff>
      <xdr:row>53</xdr:row>
      <xdr:rowOff>0</xdr:rowOff>
    </xdr:from>
    <xdr:ext cx="11495" cy="172227"/>
    <xdr:sp macro="" textlink="">
      <xdr:nvSpPr>
        <xdr:cNvPr id="121" name="TextBox 63">
          <a:extLst>
            <a:ext uri="{FF2B5EF4-FFF2-40B4-BE49-F238E27FC236}">
              <a16:creationId xmlns:a16="http://schemas.microsoft.com/office/drawing/2014/main" id="{E9B119B8-2949-44DC-BF34-CDCBB7A3C84F}"/>
            </a:ext>
          </a:extLst>
        </xdr:cNvPr>
        <xdr:cNvSpPr txBox="1"/>
      </xdr:nvSpPr>
      <xdr:spPr>
        <a:xfrm>
          <a:off x="8839200" y="5273040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3</xdr:col>
      <xdr:colOff>228600</xdr:colOff>
      <xdr:row>53</xdr:row>
      <xdr:rowOff>0</xdr:rowOff>
    </xdr:from>
    <xdr:ext cx="65" cy="172227"/>
    <xdr:sp macro="" textlink="">
      <xdr:nvSpPr>
        <xdr:cNvPr id="122" name="TextBox 64">
          <a:extLst>
            <a:ext uri="{FF2B5EF4-FFF2-40B4-BE49-F238E27FC236}">
              <a16:creationId xmlns:a16="http://schemas.microsoft.com/office/drawing/2014/main" id="{370C896E-3695-4D8F-9BA9-1148F266BAB0}"/>
            </a:ext>
          </a:extLst>
        </xdr:cNvPr>
        <xdr:cNvSpPr txBox="1"/>
      </xdr:nvSpPr>
      <xdr:spPr>
        <a:xfrm>
          <a:off x="8831580" y="52730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228600</xdr:colOff>
      <xdr:row>60</xdr:row>
      <xdr:rowOff>0</xdr:rowOff>
    </xdr:from>
    <xdr:ext cx="65" cy="172227"/>
    <xdr:sp macro="" textlink="">
      <xdr:nvSpPr>
        <xdr:cNvPr id="2" name="TextBox 64">
          <a:extLst>
            <a:ext uri="{FF2B5EF4-FFF2-40B4-BE49-F238E27FC236}">
              <a16:creationId xmlns:a16="http://schemas.microsoft.com/office/drawing/2014/main" id="{FFEB5D55-A46A-4FF6-952A-CB7CA79A8084}"/>
            </a:ext>
          </a:extLst>
        </xdr:cNvPr>
        <xdr:cNvSpPr txBox="1"/>
      </xdr:nvSpPr>
      <xdr:spPr>
        <a:xfrm>
          <a:off x="1356360" y="117043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228600</xdr:colOff>
      <xdr:row>60</xdr:row>
      <xdr:rowOff>0</xdr:rowOff>
    </xdr:from>
    <xdr:ext cx="65" cy="172227"/>
    <xdr:sp macro="" textlink="">
      <xdr:nvSpPr>
        <xdr:cNvPr id="3" name="TextBox 65">
          <a:extLst>
            <a:ext uri="{FF2B5EF4-FFF2-40B4-BE49-F238E27FC236}">
              <a16:creationId xmlns:a16="http://schemas.microsoft.com/office/drawing/2014/main" id="{76FE43D1-D306-4BAD-B062-BB5736A26A1B}"/>
            </a:ext>
          </a:extLst>
        </xdr:cNvPr>
        <xdr:cNvSpPr txBox="1"/>
      </xdr:nvSpPr>
      <xdr:spPr>
        <a:xfrm>
          <a:off x="1356360" y="117043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228600</xdr:colOff>
      <xdr:row>60</xdr:row>
      <xdr:rowOff>0</xdr:rowOff>
    </xdr:from>
    <xdr:ext cx="65" cy="172227"/>
    <xdr:sp macro="" textlink="">
      <xdr:nvSpPr>
        <xdr:cNvPr id="4" name="TextBox 67">
          <a:extLst>
            <a:ext uri="{FF2B5EF4-FFF2-40B4-BE49-F238E27FC236}">
              <a16:creationId xmlns:a16="http://schemas.microsoft.com/office/drawing/2014/main" id="{A5409449-44F6-4EC5-BD28-E9FCEBA0D748}"/>
            </a:ext>
          </a:extLst>
        </xdr:cNvPr>
        <xdr:cNvSpPr txBox="1"/>
      </xdr:nvSpPr>
      <xdr:spPr>
        <a:xfrm>
          <a:off x="1356360" y="117043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236220</xdr:colOff>
      <xdr:row>60</xdr:row>
      <xdr:rowOff>0</xdr:rowOff>
    </xdr:from>
    <xdr:ext cx="11495" cy="172227"/>
    <xdr:sp macro="" textlink="">
      <xdr:nvSpPr>
        <xdr:cNvPr id="5" name="TextBox 69">
          <a:extLst>
            <a:ext uri="{FF2B5EF4-FFF2-40B4-BE49-F238E27FC236}">
              <a16:creationId xmlns:a16="http://schemas.microsoft.com/office/drawing/2014/main" id="{09A0C738-3A5C-4649-8CB2-BA180BE33B60}"/>
            </a:ext>
          </a:extLst>
        </xdr:cNvPr>
        <xdr:cNvSpPr txBox="1"/>
      </xdr:nvSpPr>
      <xdr:spPr>
        <a:xfrm>
          <a:off x="1363980" y="11704320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236220</xdr:colOff>
      <xdr:row>60</xdr:row>
      <xdr:rowOff>0</xdr:rowOff>
    </xdr:from>
    <xdr:ext cx="11495" cy="172227"/>
    <xdr:sp macro="" textlink="">
      <xdr:nvSpPr>
        <xdr:cNvPr id="6" name="TextBox 70">
          <a:extLst>
            <a:ext uri="{FF2B5EF4-FFF2-40B4-BE49-F238E27FC236}">
              <a16:creationId xmlns:a16="http://schemas.microsoft.com/office/drawing/2014/main" id="{25AC9D8A-9FCA-4887-86C9-04C3F9147C67}"/>
            </a:ext>
          </a:extLst>
        </xdr:cNvPr>
        <xdr:cNvSpPr txBox="1"/>
      </xdr:nvSpPr>
      <xdr:spPr>
        <a:xfrm>
          <a:off x="1363980" y="11704320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236220</xdr:colOff>
      <xdr:row>60</xdr:row>
      <xdr:rowOff>0</xdr:rowOff>
    </xdr:from>
    <xdr:ext cx="11495" cy="172227"/>
    <xdr:sp macro="" textlink="">
      <xdr:nvSpPr>
        <xdr:cNvPr id="7" name="TextBox 71">
          <a:extLst>
            <a:ext uri="{FF2B5EF4-FFF2-40B4-BE49-F238E27FC236}">
              <a16:creationId xmlns:a16="http://schemas.microsoft.com/office/drawing/2014/main" id="{82F60A76-EB48-46C4-9284-55989DAD1977}"/>
            </a:ext>
          </a:extLst>
        </xdr:cNvPr>
        <xdr:cNvSpPr txBox="1"/>
      </xdr:nvSpPr>
      <xdr:spPr>
        <a:xfrm>
          <a:off x="1363980" y="11704320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236220</xdr:colOff>
      <xdr:row>60</xdr:row>
      <xdr:rowOff>0</xdr:rowOff>
    </xdr:from>
    <xdr:ext cx="11495" cy="172227"/>
    <xdr:sp macro="" textlink="">
      <xdr:nvSpPr>
        <xdr:cNvPr id="8" name="TextBox 63">
          <a:extLst>
            <a:ext uri="{FF2B5EF4-FFF2-40B4-BE49-F238E27FC236}">
              <a16:creationId xmlns:a16="http://schemas.microsoft.com/office/drawing/2014/main" id="{99EC8D79-ED1C-48CB-A606-25D46BEC2D0B}"/>
            </a:ext>
          </a:extLst>
        </xdr:cNvPr>
        <xdr:cNvSpPr txBox="1"/>
      </xdr:nvSpPr>
      <xdr:spPr>
        <a:xfrm>
          <a:off x="1363980" y="11704320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228600</xdr:colOff>
      <xdr:row>60</xdr:row>
      <xdr:rowOff>0</xdr:rowOff>
    </xdr:from>
    <xdr:ext cx="65" cy="172227"/>
    <xdr:sp macro="" textlink="">
      <xdr:nvSpPr>
        <xdr:cNvPr id="9" name="TextBox 64">
          <a:extLst>
            <a:ext uri="{FF2B5EF4-FFF2-40B4-BE49-F238E27FC236}">
              <a16:creationId xmlns:a16="http://schemas.microsoft.com/office/drawing/2014/main" id="{BF5E676E-B98E-4720-A415-08587A73F15F}"/>
            </a:ext>
          </a:extLst>
        </xdr:cNvPr>
        <xdr:cNvSpPr txBox="1"/>
      </xdr:nvSpPr>
      <xdr:spPr>
        <a:xfrm>
          <a:off x="1356360" y="117043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3</xdr:col>
      <xdr:colOff>228600</xdr:colOff>
      <xdr:row>58</xdr:row>
      <xdr:rowOff>0</xdr:rowOff>
    </xdr:from>
    <xdr:ext cx="65" cy="172227"/>
    <xdr:sp macro="" textlink="">
      <xdr:nvSpPr>
        <xdr:cNvPr id="11" name="TextBox 64">
          <a:extLst>
            <a:ext uri="{FF2B5EF4-FFF2-40B4-BE49-F238E27FC236}">
              <a16:creationId xmlns:a16="http://schemas.microsoft.com/office/drawing/2014/main" id="{E5F23283-4A20-46F3-BC3C-08E1C1B0C065}"/>
            </a:ext>
          </a:extLst>
        </xdr:cNvPr>
        <xdr:cNvSpPr txBox="1"/>
      </xdr:nvSpPr>
      <xdr:spPr>
        <a:xfrm>
          <a:off x="8831580" y="113080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3</xdr:col>
      <xdr:colOff>228600</xdr:colOff>
      <xdr:row>58</xdr:row>
      <xdr:rowOff>0</xdr:rowOff>
    </xdr:from>
    <xdr:ext cx="65" cy="172227"/>
    <xdr:sp macro="" textlink="">
      <xdr:nvSpPr>
        <xdr:cNvPr id="12" name="TextBox 65">
          <a:extLst>
            <a:ext uri="{FF2B5EF4-FFF2-40B4-BE49-F238E27FC236}">
              <a16:creationId xmlns:a16="http://schemas.microsoft.com/office/drawing/2014/main" id="{F0349532-B1D8-46F6-98E5-2C6FBA553E0B}"/>
            </a:ext>
          </a:extLst>
        </xdr:cNvPr>
        <xdr:cNvSpPr txBox="1"/>
      </xdr:nvSpPr>
      <xdr:spPr>
        <a:xfrm>
          <a:off x="8831580" y="113080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3</xdr:col>
      <xdr:colOff>228600</xdr:colOff>
      <xdr:row>58</xdr:row>
      <xdr:rowOff>0</xdr:rowOff>
    </xdr:from>
    <xdr:ext cx="65" cy="172227"/>
    <xdr:sp macro="" textlink="">
      <xdr:nvSpPr>
        <xdr:cNvPr id="13" name="TextBox 67">
          <a:extLst>
            <a:ext uri="{FF2B5EF4-FFF2-40B4-BE49-F238E27FC236}">
              <a16:creationId xmlns:a16="http://schemas.microsoft.com/office/drawing/2014/main" id="{51DFE688-47C4-41BB-942F-0BDD578487CD}"/>
            </a:ext>
          </a:extLst>
        </xdr:cNvPr>
        <xdr:cNvSpPr txBox="1"/>
      </xdr:nvSpPr>
      <xdr:spPr>
        <a:xfrm>
          <a:off x="8831580" y="113080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3</xdr:col>
      <xdr:colOff>236220</xdr:colOff>
      <xdr:row>58</xdr:row>
      <xdr:rowOff>0</xdr:rowOff>
    </xdr:from>
    <xdr:ext cx="11495" cy="172227"/>
    <xdr:sp macro="" textlink="">
      <xdr:nvSpPr>
        <xdr:cNvPr id="14" name="TextBox 69">
          <a:extLst>
            <a:ext uri="{FF2B5EF4-FFF2-40B4-BE49-F238E27FC236}">
              <a16:creationId xmlns:a16="http://schemas.microsoft.com/office/drawing/2014/main" id="{C8337508-9B6B-42D3-A6DE-A8E7996DB4C6}"/>
            </a:ext>
          </a:extLst>
        </xdr:cNvPr>
        <xdr:cNvSpPr txBox="1"/>
      </xdr:nvSpPr>
      <xdr:spPr>
        <a:xfrm>
          <a:off x="8839200" y="11308080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3</xdr:col>
      <xdr:colOff>236220</xdr:colOff>
      <xdr:row>58</xdr:row>
      <xdr:rowOff>0</xdr:rowOff>
    </xdr:from>
    <xdr:ext cx="11495" cy="172227"/>
    <xdr:sp macro="" textlink="">
      <xdr:nvSpPr>
        <xdr:cNvPr id="15" name="TextBox 70">
          <a:extLst>
            <a:ext uri="{FF2B5EF4-FFF2-40B4-BE49-F238E27FC236}">
              <a16:creationId xmlns:a16="http://schemas.microsoft.com/office/drawing/2014/main" id="{36435CA8-DF82-4524-B727-C02DC246E736}"/>
            </a:ext>
          </a:extLst>
        </xdr:cNvPr>
        <xdr:cNvSpPr txBox="1"/>
      </xdr:nvSpPr>
      <xdr:spPr>
        <a:xfrm>
          <a:off x="8839200" y="11308080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3</xdr:col>
      <xdr:colOff>236220</xdr:colOff>
      <xdr:row>58</xdr:row>
      <xdr:rowOff>0</xdr:rowOff>
    </xdr:from>
    <xdr:ext cx="11495" cy="172227"/>
    <xdr:sp macro="" textlink="">
      <xdr:nvSpPr>
        <xdr:cNvPr id="16" name="TextBox 71">
          <a:extLst>
            <a:ext uri="{FF2B5EF4-FFF2-40B4-BE49-F238E27FC236}">
              <a16:creationId xmlns:a16="http://schemas.microsoft.com/office/drawing/2014/main" id="{09399803-17D3-4A78-93B5-893F38179506}"/>
            </a:ext>
          </a:extLst>
        </xdr:cNvPr>
        <xdr:cNvSpPr txBox="1"/>
      </xdr:nvSpPr>
      <xdr:spPr>
        <a:xfrm>
          <a:off x="8839200" y="11308080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3</xdr:col>
      <xdr:colOff>236220</xdr:colOff>
      <xdr:row>58</xdr:row>
      <xdr:rowOff>0</xdr:rowOff>
    </xdr:from>
    <xdr:ext cx="11495" cy="172227"/>
    <xdr:sp macro="" textlink="">
      <xdr:nvSpPr>
        <xdr:cNvPr id="17" name="TextBox 63">
          <a:extLst>
            <a:ext uri="{FF2B5EF4-FFF2-40B4-BE49-F238E27FC236}">
              <a16:creationId xmlns:a16="http://schemas.microsoft.com/office/drawing/2014/main" id="{6044D421-5754-46DB-9041-59B4FBAEA060}"/>
            </a:ext>
          </a:extLst>
        </xdr:cNvPr>
        <xdr:cNvSpPr txBox="1"/>
      </xdr:nvSpPr>
      <xdr:spPr>
        <a:xfrm>
          <a:off x="8839200" y="11308080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3</xdr:col>
      <xdr:colOff>228600</xdr:colOff>
      <xdr:row>58</xdr:row>
      <xdr:rowOff>0</xdr:rowOff>
    </xdr:from>
    <xdr:ext cx="65" cy="172227"/>
    <xdr:sp macro="" textlink="">
      <xdr:nvSpPr>
        <xdr:cNvPr id="18" name="TextBox 64">
          <a:extLst>
            <a:ext uri="{FF2B5EF4-FFF2-40B4-BE49-F238E27FC236}">
              <a16:creationId xmlns:a16="http://schemas.microsoft.com/office/drawing/2014/main" id="{C44077A5-D73E-4987-BBD5-D4F150E4FE29}"/>
            </a:ext>
          </a:extLst>
        </xdr:cNvPr>
        <xdr:cNvSpPr txBox="1"/>
      </xdr:nvSpPr>
      <xdr:spPr>
        <a:xfrm>
          <a:off x="8831580" y="113080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161925</xdr:colOff>
      <xdr:row>50</xdr:row>
      <xdr:rowOff>0</xdr:rowOff>
    </xdr:from>
    <xdr:ext cx="800100" cy="4082"/>
    <xdr:pic>
      <xdr:nvPicPr>
        <xdr:cNvPr id="19" name="Picture 5">
          <a:extLst>
            <a:ext uri="{FF2B5EF4-FFF2-40B4-BE49-F238E27FC236}">
              <a16:creationId xmlns:a16="http://schemas.microsoft.com/office/drawing/2014/main" id="{82AEFBD6-BCD7-410D-B0E1-9F8390326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9685" y="99212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368445"/>
    <xdr:pic>
      <xdr:nvPicPr>
        <xdr:cNvPr id="20" name="Picture 5">
          <a:extLst>
            <a:ext uri="{FF2B5EF4-FFF2-40B4-BE49-F238E27FC236}">
              <a16:creationId xmlns:a16="http://schemas.microsoft.com/office/drawing/2014/main" id="{163E9886-CDA0-46AC-B7E2-7A3B76690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368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368445"/>
    <xdr:pic>
      <xdr:nvPicPr>
        <xdr:cNvPr id="21" name="Picture 5">
          <a:extLst>
            <a:ext uri="{FF2B5EF4-FFF2-40B4-BE49-F238E27FC236}">
              <a16:creationId xmlns:a16="http://schemas.microsoft.com/office/drawing/2014/main" id="{D50A5ACD-69B7-4703-86C6-5F49780BE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368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28575"/>
    <xdr:pic>
      <xdr:nvPicPr>
        <xdr:cNvPr id="22" name="Picture 19">
          <a:extLst>
            <a:ext uri="{FF2B5EF4-FFF2-40B4-BE49-F238E27FC236}">
              <a16:creationId xmlns:a16="http://schemas.microsoft.com/office/drawing/2014/main" id="{138F2450-86DB-4318-985A-7129B4ADA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28575"/>
    <xdr:pic>
      <xdr:nvPicPr>
        <xdr:cNvPr id="23" name="Picture 4">
          <a:extLst>
            <a:ext uri="{FF2B5EF4-FFF2-40B4-BE49-F238E27FC236}">
              <a16:creationId xmlns:a16="http://schemas.microsoft.com/office/drawing/2014/main" id="{897A9ABD-9122-4A14-8B73-50DBA4305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368445"/>
    <xdr:pic>
      <xdr:nvPicPr>
        <xdr:cNvPr id="24" name="Picture 5">
          <a:extLst>
            <a:ext uri="{FF2B5EF4-FFF2-40B4-BE49-F238E27FC236}">
              <a16:creationId xmlns:a16="http://schemas.microsoft.com/office/drawing/2014/main" id="{E687A40B-9292-4963-9FE5-E88C6E9F6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368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368445"/>
    <xdr:pic>
      <xdr:nvPicPr>
        <xdr:cNvPr id="25" name="Picture 5">
          <a:extLst>
            <a:ext uri="{FF2B5EF4-FFF2-40B4-BE49-F238E27FC236}">
              <a16:creationId xmlns:a16="http://schemas.microsoft.com/office/drawing/2014/main" id="{4C8A7500-A9FA-472C-B38F-11DCC719C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368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19050"/>
    <xdr:pic>
      <xdr:nvPicPr>
        <xdr:cNvPr id="26" name="Picture 24">
          <a:extLst>
            <a:ext uri="{FF2B5EF4-FFF2-40B4-BE49-F238E27FC236}">
              <a16:creationId xmlns:a16="http://schemas.microsoft.com/office/drawing/2014/main" id="{6E4DFC92-CC28-45BA-A675-2B5D998A4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19050"/>
    <xdr:pic>
      <xdr:nvPicPr>
        <xdr:cNvPr id="27" name="Picture 5">
          <a:extLst>
            <a:ext uri="{FF2B5EF4-FFF2-40B4-BE49-F238E27FC236}">
              <a16:creationId xmlns:a16="http://schemas.microsoft.com/office/drawing/2014/main" id="{1FF6F2A5-C8DE-472F-901F-E2869EC2D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104775"/>
    <xdr:pic>
      <xdr:nvPicPr>
        <xdr:cNvPr id="28" name="Picture 5">
          <a:extLst>
            <a:ext uri="{FF2B5EF4-FFF2-40B4-BE49-F238E27FC236}">
              <a16:creationId xmlns:a16="http://schemas.microsoft.com/office/drawing/2014/main" id="{BDF0031F-5A60-4251-9FB0-6E7196BFD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368445"/>
    <xdr:pic>
      <xdr:nvPicPr>
        <xdr:cNvPr id="29" name="Picture 5">
          <a:extLst>
            <a:ext uri="{FF2B5EF4-FFF2-40B4-BE49-F238E27FC236}">
              <a16:creationId xmlns:a16="http://schemas.microsoft.com/office/drawing/2014/main" id="{F1B5ACB9-BDD6-44C0-87D3-F84E80506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368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368445"/>
    <xdr:pic>
      <xdr:nvPicPr>
        <xdr:cNvPr id="30" name="Picture 5">
          <a:extLst>
            <a:ext uri="{FF2B5EF4-FFF2-40B4-BE49-F238E27FC236}">
              <a16:creationId xmlns:a16="http://schemas.microsoft.com/office/drawing/2014/main" id="{5F4B79B2-729F-4507-BFC3-D749BAC56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368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31" name="Picture 5">
          <a:extLst>
            <a:ext uri="{FF2B5EF4-FFF2-40B4-BE49-F238E27FC236}">
              <a16:creationId xmlns:a16="http://schemas.microsoft.com/office/drawing/2014/main" id="{2596C607-D85B-4BB5-BD24-1A205CE6E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32" name="Picture 13">
          <a:extLst>
            <a:ext uri="{FF2B5EF4-FFF2-40B4-BE49-F238E27FC236}">
              <a16:creationId xmlns:a16="http://schemas.microsoft.com/office/drawing/2014/main" id="{4623E757-1F2C-46DF-8DFC-40B4A9A2A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33" name="Picture 5">
          <a:extLst>
            <a:ext uri="{FF2B5EF4-FFF2-40B4-BE49-F238E27FC236}">
              <a16:creationId xmlns:a16="http://schemas.microsoft.com/office/drawing/2014/main" id="{2E386792-2762-49F8-92E0-C7816C41D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9212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34" name="Picture 5">
          <a:extLst>
            <a:ext uri="{FF2B5EF4-FFF2-40B4-BE49-F238E27FC236}">
              <a16:creationId xmlns:a16="http://schemas.microsoft.com/office/drawing/2014/main" id="{7A73BE0D-AE82-4A63-A362-1F2C2B30F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35" name="Picture 5">
          <a:extLst>
            <a:ext uri="{FF2B5EF4-FFF2-40B4-BE49-F238E27FC236}">
              <a16:creationId xmlns:a16="http://schemas.microsoft.com/office/drawing/2014/main" id="{08C7B5CA-BA16-4D01-96A9-F9A617E07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9212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36" name="Picture 5">
          <a:extLst>
            <a:ext uri="{FF2B5EF4-FFF2-40B4-BE49-F238E27FC236}">
              <a16:creationId xmlns:a16="http://schemas.microsoft.com/office/drawing/2014/main" id="{47314258-90CF-44CB-8AFF-F16CD61C7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37" name="Picture 5">
          <a:extLst>
            <a:ext uri="{FF2B5EF4-FFF2-40B4-BE49-F238E27FC236}">
              <a16:creationId xmlns:a16="http://schemas.microsoft.com/office/drawing/2014/main" id="{C9B80D88-D6A9-4CF1-A137-C10DAD178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38" name="Picture 13">
          <a:extLst>
            <a:ext uri="{FF2B5EF4-FFF2-40B4-BE49-F238E27FC236}">
              <a16:creationId xmlns:a16="http://schemas.microsoft.com/office/drawing/2014/main" id="{26FBAD90-1A48-4911-8ADA-4EA418790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39" name="Picture 5">
          <a:extLst>
            <a:ext uri="{FF2B5EF4-FFF2-40B4-BE49-F238E27FC236}">
              <a16:creationId xmlns:a16="http://schemas.microsoft.com/office/drawing/2014/main" id="{496B7BCD-A4B0-4E39-AB91-98A78CBD9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9212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40" name="Picture 5">
          <a:extLst>
            <a:ext uri="{FF2B5EF4-FFF2-40B4-BE49-F238E27FC236}">
              <a16:creationId xmlns:a16="http://schemas.microsoft.com/office/drawing/2014/main" id="{5A5731E9-6A64-4BF0-BA01-B4ACDE422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41" name="Picture 5">
          <a:extLst>
            <a:ext uri="{FF2B5EF4-FFF2-40B4-BE49-F238E27FC236}">
              <a16:creationId xmlns:a16="http://schemas.microsoft.com/office/drawing/2014/main" id="{A419C899-8930-4DC0-A785-60F5C921F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9212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42" name="Picture 5">
          <a:extLst>
            <a:ext uri="{FF2B5EF4-FFF2-40B4-BE49-F238E27FC236}">
              <a16:creationId xmlns:a16="http://schemas.microsoft.com/office/drawing/2014/main" id="{C9182045-C222-4880-A419-D8462F8BE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43" name="Picture 5">
          <a:extLst>
            <a:ext uri="{FF2B5EF4-FFF2-40B4-BE49-F238E27FC236}">
              <a16:creationId xmlns:a16="http://schemas.microsoft.com/office/drawing/2014/main" id="{729399CF-8DDC-4E04-A439-B728A07FE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44" name="Picture 13">
          <a:extLst>
            <a:ext uri="{FF2B5EF4-FFF2-40B4-BE49-F238E27FC236}">
              <a16:creationId xmlns:a16="http://schemas.microsoft.com/office/drawing/2014/main" id="{6649A68C-A27D-47AD-AD04-DE381C0C4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45" name="Picture 5">
          <a:extLst>
            <a:ext uri="{FF2B5EF4-FFF2-40B4-BE49-F238E27FC236}">
              <a16:creationId xmlns:a16="http://schemas.microsoft.com/office/drawing/2014/main" id="{3623553C-0D6D-491C-8DFA-5B7209E6A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9212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46" name="Picture 5">
          <a:extLst>
            <a:ext uri="{FF2B5EF4-FFF2-40B4-BE49-F238E27FC236}">
              <a16:creationId xmlns:a16="http://schemas.microsoft.com/office/drawing/2014/main" id="{6A3D9AD0-65E0-4E29-9E99-3CBCF29A0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47" name="Picture 5">
          <a:extLst>
            <a:ext uri="{FF2B5EF4-FFF2-40B4-BE49-F238E27FC236}">
              <a16:creationId xmlns:a16="http://schemas.microsoft.com/office/drawing/2014/main" id="{B1A60CAC-E9C4-488F-960D-94912789C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9212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48" name="Picture 5">
          <a:extLst>
            <a:ext uri="{FF2B5EF4-FFF2-40B4-BE49-F238E27FC236}">
              <a16:creationId xmlns:a16="http://schemas.microsoft.com/office/drawing/2014/main" id="{E494A959-28BF-4CFE-98B2-5A97456C4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49" name="Picture 5">
          <a:extLst>
            <a:ext uri="{FF2B5EF4-FFF2-40B4-BE49-F238E27FC236}">
              <a16:creationId xmlns:a16="http://schemas.microsoft.com/office/drawing/2014/main" id="{97322C53-6D8C-4DF1-A296-6E32406DF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50" name="Picture 13">
          <a:extLst>
            <a:ext uri="{FF2B5EF4-FFF2-40B4-BE49-F238E27FC236}">
              <a16:creationId xmlns:a16="http://schemas.microsoft.com/office/drawing/2014/main" id="{E8A5ECCD-0668-45B8-AFB8-FA254A67C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51" name="Picture 5">
          <a:extLst>
            <a:ext uri="{FF2B5EF4-FFF2-40B4-BE49-F238E27FC236}">
              <a16:creationId xmlns:a16="http://schemas.microsoft.com/office/drawing/2014/main" id="{0A876B4D-B2CE-42FB-A1DA-5954D0A30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9212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52" name="Picture 5">
          <a:extLst>
            <a:ext uri="{FF2B5EF4-FFF2-40B4-BE49-F238E27FC236}">
              <a16:creationId xmlns:a16="http://schemas.microsoft.com/office/drawing/2014/main" id="{3012CE07-8D27-4B92-8ACA-06576B493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53" name="Picture 5">
          <a:extLst>
            <a:ext uri="{FF2B5EF4-FFF2-40B4-BE49-F238E27FC236}">
              <a16:creationId xmlns:a16="http://schemas.microsoft.com/office/drawing/2014/main" id="{613F62BD-EAC9-49E8-AAC6-9D39F3D8E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9212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54" name="Picture 5">
          <a:extLst>
            <a:ext uri="{FF2B5EF4-FFF2-40B4-BE49-F238E27FC236}">
              <a16:creationId xmlns:a16="http://schemas.microsoft.com/office/drawing/2014/main" id="{206D09C2-8C6C-4950-ADBF-9539C9203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55" name="Picture 5">
          <a:extLst>
            <a:ext uri="{FF2B5EF4-FFF2-40B4-BE49-F238E27FC236}">
              <a16:creationId xmlns:a16="http://schemas.microsoft.com/office/drawing/2014/main" id="{B4CF04DF-0CCB-4048-8769-83FA4CEF8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56" name="Picture 13">
          <a:extLst>
            <a:ext uri="{FF2B5EF4-FFF2-40B4-BE49-F238E27FC236}">
              <a16:creationId xmlns:a16="http://schemas.microsoft.com/office/drawing/2014/main" id="{B17809B1-98D6-4752-8F93-F56DCC123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57" name="Picture 5">
          <a:extLst>
            <a:ext uri="{FF2B5EF4-FFF2-40B4-BE49-F238E27FC236}">
              <a16:creationId xmlns:a16="http://schemas.microsoft.com/office/drawing/2014/main" id="{F64446A4-AC60-488F-A720-8494CD926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9212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58" name="Picture 5">
          <a:extLst>
            <a:ext uri="{FF2B5EF4-FFF2-40B4-BE49-F238E27FC236}">
              <a16:creationId xmlns:a16="http://schemas.microsoft.com/office/drawing/2014/main" id="{4EA1A299-F2AC-4DD0-9B5A-93FCDB319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59" name="Picture 5">
          <a:extLst>
            <a:ext uri="{FF2B5EF4-FFF2-40B4-BE49-F238E27FC236}">
              <a16:creationId xmlns:a16="http://schemas.microsoft.com/office/drawing/2014/main" id="{04BDA491-B2BD-42F0-8661-C970B321B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9212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60" name="Picture 5">
          <a:extLst>
            <a:ext uri="{FF2B5EF4-FFF2-40B4-BE49-F238E27FC236}">
              <a16:creationId xmlns:a16="http://schemas.microsoft.com/office/drawing/2014/main" id="{570E4991-C3C6-4529-9A0E-9B761EE7F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61" name="Picture 5">
          <a:extLst>
            <a:ext uri="{FF2B5EF4-FFF2-40B4-BE49-F238E27FC236}">
              <a16:creationId xmlns:a16="http://schemas.microsoft.com/office/drawing/2014/main" id="{FC62B369-2961-40AE-A1AE-3D84EAFA6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62" name="Picture 13">
          <a:extLst>
            <a:ext uri="{FF2B5EF4-FFF2-40B4-BE49-F238E27FC236}">
              <a16:creationId xmlns:a16="http://schemas.microsoft.com/office/drawing/2014/main" id="{28B1D1A7-C641-4246-9B31-986DF7F52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63" name="Picture 5">
          <a:extLst>
            <a:ext uri="{FF2B5EF4-FFF2-40B4-BE49-F238E27FC236}">
              <a16:creationId xmlns:a16="http://schemas.microsoft.com/office/drawing/2014/main" id="{0F643DD9-CA1E-458C-843E-C76DE5FF7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9212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64" name="Picture 5">
          <a:extLst>
            <a:ext uri="{FF2B5EF4-FFF2-40B4-BE49-F238E27FC236}">
              <a16:creationId xmlns:a16="http://schemas.microsoft.com/office/drawing/2014/main" id="{9343DAF2-37DA-4A2D-BEF4-6B9530FCB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65" name="Picture 5">
          <a:extLst>
            <a:ext uri="{FF2B5EF4-FFF2-40B4-BE49-F238E27FC236}">
              <a16:creationId xmlns:a16="http://schemas.microsoft.com/office/drawing/2014/main" id="{F2E80C1A-04A6-425D-98E2-E72C5A8F7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9212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66" name="Picture 5">
          <a:extLst>
            <a:ext uri="{FF2B5EF4-FFF2-40B4-BE49-F238E27FC236}">
              <a16:creationId xmlns:a16="http://schemas.microsoft.com/office/drawing/2014/main" id="{02527949-617D-450F-BCF3-A7C392C26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67" name="Picture 5">
          <a:extLst>
            <a:ext uri="{FF2B5EF4-FFF2-40B4-BE49-F238E27FC236}">
              <a16:creationId xmlns:a16="http://schemas.microsoft.com/office/drawing/2014/main" id="{51E3CCFA-9D24-4022-8D06-21AAC3BFB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68" name="Picture 13">
          <a:extLst>
            <a:ext uri="{FF2B5EF4-FFF2-40B4-BE49-F238E27FC236}">
              <a16:creationId xmlns:a16="http://schemas.microsoft.com/office/drawing/2014/main" id="{C66B6EA4-4B50-4C25-A900-BD338FD48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69" name="Picture 5">
          <a:extLst>
            <a:ext uri="{FF2B5EF4-FFF2-40B4-BE49-F238E27FC236}">
              <a16:creationId xmlns:a16="http://schemas.microsoft.com/office/drawing/2014/main" id="{8A03FF60-0D66-40E1-BFD3-FB69DBC7B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9212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70" name="Picture 5">
          <a:extLst>
            <a:ext uri="{FF2B5EF4-FFF2-40B4-BE49-F238E27FC236}">
              <a16:creationId xmlns:a16="http://schemas.microsoft.com/office/drawing/2014/main" id="{7A807C8E-D93E-498F-BA30-0AC8C05B3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71" name="Picture 5">
          <a:extLst>
            <a:ext uri="{FF2B5EF4-FFF2-40B4-BE49-F238E27FC236}">
              <a16:creationId xmlns:a16="http://schemas.microsoft.com/office/drawing/2014/main" id="{FEA54AAA-959B-485A-8526-350F7C97F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9212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72" name="Picture 5">
          <a:extLst>
            <a:ext uri="{FF2B5EF4-FFF2-40B4-BE49-F238E27FC236}">
              <a16:creationId xmlns:a16="http://schemas.microsoft.com/office/drawing/2014/main" id="{A5DBBC51-B4D8-4AA7-9369-F052AB5A8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73" name="Picture 5">
          <a:extLst>
            <a:ext uri="{FF2B5EF4-FFF2-40B4-BE49-F238E27FC236}">
              <a16:creationId xmlns:a16="http://schemas.microsoft.com/office/drawing/2014/main" id="{7A874739-E61B-411D-AAAB-7DD304589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74" name="Picture 13">
          <a:extLst>
            <a:ext uri="{FF2B5EF4-FFF2-40B4-BE49-F238E27FC236}">
              <a16:creationId xmlns:a16="http://schemas.microsoft.com/office/drawing/2014/main" id="{7363F1E1-1022-4CE8-9A19-8C4D0FE8B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75" name="Picture 5">
          <a:extLst>
            <a:ext uri="{FF2B5EF4-FFF2-40B4-BE49-F238E27FC236}">
              <a16:creationId xmlns:a16="http://schemas.microsoft.com/office/drawing/2014/main" id="{BE13D31C-FEB5-4A0E-B77E-6DB82835F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9212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76" name="Picture 5">
          <a:extLst>
            <a:ext uri="{FF2B5EF4-FFF2-40B4-BE49-F238E27FC236}">
              <a16:creationId xmlns:a16="http://schemas.microsoft.com/office/drawing/2014/main" id="{F107AC1E-ACEE-4822-BC18-697008B15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77" name="Picture 5">
          <a:extLst>
            <a:ext uri="{FF2B5EF4-FFF2-40B4-BE49-F238E27FC236}">
              <a16:creationId xmlns:a16="http://schemas.microsoft.com/office/drawing/2014/main" id="{59C2808A-5B42-48E9-824D-408E4DE22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9212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78" name="Picture 5">
          <a:extLst>
            <a:ext uri="{FF2B5EF4-FFF2-40B4-BE49-F238E27FC236}">
              <a16:creationId xmlns:a16="http://schemas.microsoft.com/office/drawing/2014/main" id="{02799EBF-5D4B-4510-ACB6-80A2590BD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79" name="Picture 5">
          <a:extLst>
            <a:ext uri="{FF2B5EF4-FFF2-40B4-BE49-F238E27FC236}">
              <a16:creationId xmlns:a16="http://schemas.microsoft.com/office/drawing/2014/main" id="{E4B2018F-5D12-4E48-BAEF-F37FB4E09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80" name="Picture 13">
          <a:extLst>
            <a:ext uri="{FF2B5EF4-FFF2-40B4-BE49-F238E27FC236}">
              <a16:creationId xmlns:a16="http://schemas.microsoft.com/office/drawing/2014/main" id="{3DF61144-00A5-45CE-BAAC-DB863A179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81" name="Picture 5">
          <a:extLst>
            <a:ext uri="{FF2B5EF4-FFF2-40B4-BE49-F238E27FC236}">
              <a16:creationId xmlns:a16="http://schemas.microsoft.com/office/drawing/2014/main" id="{608EEE43-B2BE-43FD-9CBD-F8D235760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9212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82" name="Picture 5">
          <a:extLst>
            <a:ext uri="{FF2B5EF4-FFF2-40B4-BE49-F238E27FC236}">
              <a16:creationId xmlns:a16="http://schemas.microsoft.com/office/drawing/2014/main" id="{EBCA91D6-D710-447F-A997-086883688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83" name="Picture 5">
          <a:extLst>
            <a:ext uri="{FF2B5EF4-FFF2-40B4-BE49-F238E27FC236}">
              <a16:creationId xmlns:a16="http://schemas.microsoft.com/office/drawing/2014/main" id="{E986129D-AA2F-4CB9-95BA-07FE8116C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9212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84" name="Picture 5">
          <a:extLst>
            <a:ext uri="{FF2B5EF4-FFF2-40B4-BE49-F238E27FC236}">
              <a16:creationId xmlns:a16="http://schemas.microsoft.com/office/drawing/2014/main" id="{0CFF04C2-E74E-4BF6-9A1B-F6C89D31F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85" name="Picture 5">
          <a:extLst>
            <a:ext uri="{FF2B5EF4-FFF2-40B4-BE49-F238E27FC236}">
              <a16:creationId xmlns:a16="http://schemas.microsoft.com/office/drawing/2014/main" id="{665E6C72-1372-4331-A110-A68CD4076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86" name="Picture 13">
          <a:extLst>
            <a:ext uri="{FF2B5EF4-FFF2-40B4-BE49-F238E27FC236}">
              <a16:creationId xmlns:a16="http://schemas.microsoft.com/office/drawing/2014/main" id="{13A5CD3F-A89F-4170-92F5-6B6B7F818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87" name="Picture 5">
          <a:extLst>
            <a:ext uri="{FF2B5EF4-FFF2-40B4-BE49-F238E27FC236}">
              <a16:creationId xmlns:a16="http://schemas.microsoft.com/office/drawing/2014/main" id="{DF126566-A08D-4DC0-9020-BAE3FDD0B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9212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88" name="Picture 5">
          <a:extLst>
            <a:ext uri="{FF2B5EF4-FFF2-40B4-BE49-F238E27FC236}">
              <a16:creationId xmlns:a16="http://schemas.microsoft.com/office/drawing/2014/main" id="{AF43CF49-3DA6-416D-B955-991ECC417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89" name="Picture 5">
          <a:extLst>
            <a:ext uri="{FF2B5EF4-FFF2-40B4-BE49-F238E27FC236}">
              <a16:creationId xmlns:a16="http://schemas.microsoft.com/office/drawing/2014/main" id="{0E3F46E9-D64B-420E-B9AB-91B99A5C8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9212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90" name="Picture 5">
          <a:extLst>
            <a:ext uri="{FF2B5EF4-FFF2-40B4-BE49-F238E27FC236}">
              <a16:creationId xmlns:a16="http://schemas.microsoft.com/office/drawing/2014/main" id="{EB2AA139-FBBE-4F19-84F8-45EE1DAC6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91" name="Picture 5">
          <a:extLst>
            <a:ext uri="{FF2B5EF4-FFF2-40B4-BE49-F238E27FC236}">
              <a16:creationId xmlns:a16="http://schemas.microsoft.com/office/drawing/2014/main" id="{4C3371F4-6C1A-4342-811C-075061113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92" name="Picture 13">
          <a:extLst>
            <a:ext uri="{FF2B5EF4-FFF2-40B4-BE49-F238E27FC236}">
              <a16:creationId xmlns:a16="http://schemas.microsoft.com/office/drawing/2014/main" id="{43962C37-F8C7-41D4-BF5D-0090F9813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93" name="Picture 5">
          <a:extLst>
            <a:ext uri="{FF2B5EF4-FFF2-40B4-BE49-F238E27FC236}">
              <a16:creationId xmlns:a16="http://schemas.microsoft.com/office/drawing/2014/main" id="{BA10B54A-D387-4A64-8DAA-D22B2921F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9212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94" name="Picture 5">
          <a:extLst>
            <a:ext uri="{FF2B5EF4-FFF2-40B4-BE49-F238E27FC236}">
              <a16:creationId xmlns:a16="http://schemas.microsoft.com/office/drawing/2014/main" id="{5CB3D1D3-1EA7-4640-8D68-8A432340A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95" name="Picture 5">
          <a:extLst>
            <a:ext uri="{FF2B5EF4-FFF2-40B4-BE49-F238E27FC236}">
              <a16:creationId xmlns:a16="http://schemas.microsoft.com/office/drawing/2014/main" id="{D42E1425-90B6-4912-9175-4359AF888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9212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96" name="Picture 5">
          <a:extLst>
            <a:ext uri="{FF2B5EF4-FFF2-40B4-BE49-F238E27FC236}">
              <a16:creationId xmlns:a16="http://schemas.microsoft.com/office/drawing/2014/main" id="{7E798652-8F59-4C70-AB0E-A4BD9795D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97" name="Picture 5">
          <a:extLst>
            <a:ext uri="{FF2B5EF4-FFF2-40B4-BE49-F238E27FC236}">
              <a16:creationId xmlns:a16="http://schemas.microsoft.com/office/drawing/2014/main" id="{C6B01ABC-1D4D-45F1-BB42-FF9821394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98" name="Picture 13">
          <a:extLst>
            <a:ext uri="{FF2B5EF4-FFF2-40B4-BE49-F238E27FC236}">
              <a16:creationId xmlns:a16="http://schemas.microsoft.com/office/drawing/2014/main" id="{F0D4BD25-32C5-4A95-ABFE-A39055763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99" name="Picture 5">
          <a:extLst>
            <a:ext uri="{FF2B5EF4-FFF2-40B4-BE49-F238E27FC236}">
              <a16:creationId xmlns:a16="http://schemas.microsoft.com/office/drawing/2014/main" id="{DBBC93B1-7A4C-42C3-91F6-09A472D45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9212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100" name="Picture 5">
          <a:extLst>
            <a:ext uri="{FF2B5EF4-FFF2-40B4-BE49-F238E27FC236}">
              <a16:creationId xmlns:a16="http://schemas.microsoft.com/office/drawing/2014/main" id="{7A50BFC7-6A37-445A-B7EB-881AEE85C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101" name="Picture 5">
          <a:extLst>
            <a:ext uri="{FF2B5EF4-FFF2-40B4-BE49-F238E27FC236}">
              <a16:creationId xmlns:a16="http://schemas.microsoft.com/office/drawing/2014/main" id="{4386AB58-688F-454F-9F42-C49FBFA4C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9212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102" name="Picture 5">
          <a:extLst>
            <a:ext uri="{FF2B5EF4-FFF2-40B4-BE49-F238E27FC236}">
              <a16:creationId xmlns:a16="http://schemas.microsoft.com/office/drawing/2014/main" id="{3806AAFF-EB13-4334-8026-CEBE26E1A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103" name="Picture 5">
          <a:extLst>
            <a:ext uri="{FF2B5EF4-FFF2-40B4-BE49-F238E27FC236}">
              <a16:creationId xmlns:a16="http://schemas.microsoft.com/office/drawing/2014/main" id="{C137C08A-D6CB-4179-B171-4EE0F94F2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104" name="Picture 13">
          <a:extLst>
            <a:ext uri="{FF2B5EF4-FFF2-40B4-BE49-F238E27FC236}">
              <a16:creationId xmlns:a16="http://schemas.microsoft.com/office/drawing/2014/main" id="{B1524CF0-FE88-4760-B037-532063CE5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105" name="Picture 5">
          <a:extLst>
            <a:ext uri="{FF2B5EF4-FFF2-40B4-BE49-F238E27FC236}">
              <a16:creationId xmlns:a16="http://schemas.microsoft.com/office/drawing/2014/main" id="{E1D19628-E8A6-4CA0-9BE9-0A05C63BA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9212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106" name="Picture 5">
          <a:extLst>
            <a:ext uri="{FF2B5EF4-FFF2-40B4-BE49-F238E27FC236}">
              <a16:creationId xmlns:a16="http://schemas.microsoft.com/office/drawing/2014/main" id="{2DC0A487-425C-4043-9956-90B15E151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107" name="Picture 5">
          <a:extLst>
            <a:ext uri="{FF2B5EF4-FFF2-40B4-BE49-F238E27FC236}">
              <a16:creationId xmlns:a16="http://schemas.microsoft.com/office/drawing/2014/main" id="{64EB67C6-39FA-4851-8D5F-A3050AE9D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108" name="Picture 5">
          <a:extLst>
            <a:ext uri="{FF2B5EF4-FFF2-40B4-BE49-F238E27FC236}">
              <a16:creationId xmlns:a16="http://schemas.microsoft.com/office/drawing/2014/main" id="{EFC85126-02E5-48AB-9E81-F0ACCC22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109" name="Picture 13">
          <a:extLst>
            <a:ext uri="{FF2B5EF4-FFF2-40B4-BE49-F238E27FC236}">
              <a16:creationId xmlns:a16="http://schemas.microsoft.com/office/drawing/2014/main" id="{42C10F34-3D5D-43A9-B279-A0BD90113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110" name="Picture 5">
          <a:extLst>
            <a:ext uri="{FF2B5EF4-FFF2-40B4-BE49-F238E27FC236}">
              <a16:creationId xmlns:a16="http://schemas.microsoft.com/office/drawing/2014/main" id="{A8115624-D76E-4B3A-AB9C-E68C9551C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111" name="Picture 5">
          <a:extLst>
            <a:ext uri="{FF2B5EF4-FFF2-40B4-BE49-F238E27FC236}">
              <a16:creationId xmlns:a16="http://schemas.microsoft.com/office/drawing/2014/main" id="{101AA848-36BF-4BF9-824C-CA71B8661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9212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5647354</xdr:colOff>
      <xdr:row>1</xdr:row>
      <xdr:rowOff>0</xdr:rowOff>
    </xdr:from>
    <xdr:to>
      <xdr:col>10</xdr:col>
      <xdr:colOff>0</xdr:colOff>
      <xdr:row>1</xdr:row>
      <xdr:rowOff>0</xdr:rowOff>
    </xdr:to>
    <xdr:sp macro="" textlink="">
      <xdr:nvSpPr>
        <xdr:cNvPr id="112" name="Trapezoid 111">
          <a:extLst>
            <a:ext uri="{FF2B5EF4-FFF2-40B4-BE49-F238E27FC236}">
              <a16:creationId xmlns:a16="http://schemas.microsoft.com/office/drawing/2014/main" id="{6EA6E385-75C3-49ED-8208-BD5D986D9A43}"/>
            </a:ext>
          </a:extLst>
        </xdr:cNvPr>
        <xdr:cNvSpPr/>
      </xdr:nvSpPr>
      <xdr:spPr>
        <a:xfrm rot="10800000">
          <a:off x="6775114" y="198120"/>
          <a:ext cx="13006406" cy="0"/>
        </a:xfrm>
        <a:prstGeom prst="trapezoid">
          <a:avLst>
            <a:gd name="adj" fmla="val 95270"/>
          </a:avLst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2</xdr:col>
      <xdr:colOff>228600</xdr:colOff>
      <xdr:row>69</xdr:row>
      <xdr:rowOff>0</xdr:rowOff>
    </xdr:from>
    <xdr:ext cx="65" cy="172227"/>
    <xdr:sp macro="" textlink="">
      <xdr:nvSpPr>
        <xdr:cNvPr id="113" name="TextBox 64">
          <a:extLst>
            <a:ext uri="{FF2B5EF4-FFF2-40B4-BE49-F238E27FC236}">
              <a16:creationId xmlns:a16="http://schemas.microsoft.com/office/drawing/2014/main" id="{F3EF7CB1-BA7A-435A-97F3-47779BABD825}"/>
            </a:ext>
          </a:extLst>
        </xdr:cNvPr>
        <xdr:cNvSpPr txBox="1"/>
      </xdr:nvSpPr>
      <xdr:spPr>
        <a:xfrm>
          <a:off x="1356360" y="135483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228600</xdr:colOff>
      <xdr:row>69</xdr:row>
      <xdr:rowOff>0</xdr:rowOff>
    </xdr:from>
    <xdr:ext cx="65" cy="172227"/>
    <xdr:sp macro="" textlink="">
      <xdr:nvSpPr>
        <xdr:cNvPr id="114" name="TextBox 65">
          <a:extLst>
            <a:ext uri="{FF2B5EF4-FFF2-40B4-BE49-F238E27FC236}">
              <a16:creationId xmlns:a16="http://schemas.microsoft.com/office/drawing/2014/main" id="{67FBC9AD-858A-4ADB-9B77-3409742AA56A}"/>
            </a:ext>
          </a:extLst>
        </xdr:cNvPr>
        <xdr:cNvSpPr txBox="1"/>
      </xdr:nvSpPr>
      <xdr:spPr>
        <a:xfrm>
          <a:off x="1356360" y="135483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228600</xdr:colOff>
      <xdr:row>69</xdr:row>
      <xdr:rowOff>0</xdr:rowOff>
    </xdr:from>
    <xdr:ext cx="65" cy="172227"/>
    <xdr:sp macro="" textlink="">
      <xdr:nvSpPr>
        <xdr:cNvPr id="115" name="TextBox 67">
          <a:extLst>
            <a:ext uri="{FF2B5EF4-FFF2-40B4-BE49-F238E27FC236}">
              <a16:creationId xmlns:a16="http://schemas.microsoft.com/office/drawing/2014/main" id="{1A629E34-A9A4-4AC2-BF98-6BD0C4329239}"/>
            </a:ext>
          </a:extLst>
        </xdr:cNvPr>
        <xdr:cNvSpPr txBox="1"/>
      </xdr:nvSpPr>
      <xdr:spPr>
        <a:xfrm>
          <a:off x="1356360" y="135483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236220</xdr:colOff>
      <xdr:row>69</xdr:row>
      <xdr:rowOff>0</xdr:rowOff>
    </xdr:from>
    <xdr:ext cx="11495" cy="172227"/>
    <xdr:sp macro="" textlink="">
      <xdr:nvSpPr>
        <xdr:cNvPr id="116" name="TextBox 69">
          <a:extLst>
            <a:ext uri="{FF2B5EF4-FFF2-40B4-BE49-F238E27FC236}">
              <a16:creationId xmlns:a16="http://schemas.microsoft.com/office/drawing/2014/main" id="{4B5466C9-1EAA-4880-8598-C9854218CE9F}"/>
            </a:ext>
          </a:extLst>
        </xdr:cNvPr>
        <xdr:cNvSpPr txBox="1"/>
      </xdr:nvSpPr>
      <xdr:spPr>
        <a:xfrm>
          <a:off x="1363980" y="13548360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236220</xdr:colOff>
      <xdr:row>69</xdr:row>
      <xdr:rowOff>0</xdr:rowOff>
    </xdr:from>
    <xdr:ext cx="11495" cy="172227"/>
    <xdr:sp macro="" textlink="">
      <xdr:nvSpPr>
        <xdr:cNvPr id="117" name="TextBox 70">
          <a:extLst>
            <a:ext uri="{FF2B5EF4-FFF2-40B4-BE49-F238E27FC236}">
              <a16:creationId xmlns:a16="http://schemas.microsoft.com/office/drawing/2014/main" id="{0FABF0E6-22D2-4ADD-9404-CE4294ECC00E}"/>
            </a:ext>
          </a:extLst>
        </xdr:cNvPr>
        <xdr:cNvSpPr txBox="1"/>
      </xdr:nvSpPr>
      <xdr:spPr>
        <a:xfrm>
          <a:off x="1363980" y="13548360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236220</xdr:colOff>
      <xdr:row>69</xdr:row>
      <xdr:rowOff>0</xdr:rowOff>
    </xdr:from>
    <xdr:ext cx="11495" cy="172227"/>
    <xdr:sp macro="" textlink="">
      <xdr:nvSpPr>
        <xdr:cNvPr id="118" name="TextBox 71">
          <a:extLst>
            <a:ext uri="{FF2B5EF4-FFF2-40B4-BE49-F238E27FC236}">
              <a16:creationId xmlns:a16="http://schemas.microsoft.com/office/drawing/2014/main" id="{1531111A-6AD2-4568-B455-51DFA2A825C5}"/>
            </a:ext>
          </a:extLst>
        </xdr:cNvPr>
        <xdr:cNvSpPr txBox="1"/>
      </xdr:nvSpPr>
      <xdr:spPr>
        <a:xfrm>
          <a:off x="1363980" y="13548360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236220</xdr:colOff>
      <xdr:row>69</xdr:row>
      <xdr:rowOff>0</xdr:rowOff>
    </xdr:from>
    <xdr:ext cx="11495" cy="172227"/>
    <xdr:sp macro="" textlink="">
      <xdr:nvSpPr>
        <xdr:cNvPr id="119" name="TextBox 63">
          <a:extLst>
            <a:ext uri="{FF2B5EF4-FFF2-40B4-BE49-F238E27FC236}">
              <a16:creationId xmlns:a16="http://schemas.microsoft.com/office/drawing/2014/main" id="{5B05F5C9-5319-4518-B864-75230636FF05}"/>
            </a:ext>
          </a:extLst>
        </xdr:cNvPr>
        <xdr:cNvSpPr txBox="1"/>
      </xdr:nvSpPr>
      <xdr:spPr>
        <a:xfrm>
          <a:off x="1363980" y="13548360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228600</xdr:colOff>
      <xdr:row>69</xdr:row>
      <xdr:rowOff>0</xdr:rowOff>
    </xdr:from>
    <xdr:ext cx="65" cy="172227"/>
    <xdr:sp macro="" textlink="">
      <xdr:nvSpPr>
        <xdr:cNvPr id="120" name="TextBox 64">
          <a:extLst>
            <a:ext uri="{FF2B5EF4-FFF2-40B4-BE49-F238E27FC236}">
              <a16:creationId xmlns:a16="http://schemas.microsoft.com/office/drawing/2014/main" id="{18D8DE15-3157-4A7F-B343-04823F16445A}"/>
            </a:ext>
          </a:extLst>
        </xdr:cNvPr>
        <xdr:cNvSpPr txBox="1"/>
      </xdr:nvSpPr>
      <xdr:spPr>
        <a:xfrm>
          <a:off x="1356360" y="135483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3</xdr:col>
      <xdr:colOff>152400</xdr:colOff>
      <xdr:row>69</xdr:row>
      <xdr:rowOff>0</xdr:rowOff>
    </xdr:from>
    <xdr:ext cx="555171" cy="258944"/>
    <xdr:sp macro="" textlink="">
      <xdr:nvSpPr>
        <xdr:cNvPr id="121" name="TextBox 66">
          <a:extLst>
            <a:ext uri="{FF2B5EF4-FFF2-40B4-BE49-F238E27FC236}">
              <a16:creationId xmlns:a16="http://schemas.microsoft.com/office/drawing/2014/main" id="{55E4CA22-90EB-493D-9448-0DED1A84A65B}"/>
            </a:ext>
          </a:extLst>
        </xdr:cNvPr>
        <xdr:cNvSpPr txBox="1"/>
      </xdr:nvSpPr>
      <xdr:spPr>
        <a:xfrm flipV="1">
          <a:off x="8755380" y="13548360"/>
          <a:ext cx="555171" cy="258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7</xdr:col>
      <xdr:colOff>152400</xdr:colOff>
      <xdr:row>69</xdr:row>
      <xdr:rowOff>0</xdr:rowOff>
    </xdr:from>
    <xdr:ext cx="555171" cy="293916"/>
    <xdr:sp macro="" textlink="">
      <xdr:nvSpPr>
        <xdr:cNvPr id="122" name="TextBox 66">
          <a:extLst>
            <a:ext uri="{FF2B5EF4-FFF2-40B4-BE49-F238E27FC236}">
              <a16:creationId xmlns:a16="http://schemas.microsoft.com/office/drawing/2014/main" id="{8D5F86C4-1449-4FA3-A2D3-EB757CA21465}"/>
            </a:ext>
          </a:extLst>
        </xdr:cNvPr>
        <xdr:cNvSpPr txBox="1"/>
      </xdr:nvSpPr>
      <xdr:spPr>
        <a:xfrm flipV="1">
          <a:off x="13807440" y="13548360"/>
          <a:ext cx="555171" cy="293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3</xdr:col>
      <xdr:colOff>228600</xdr:colOff>
      <xdr:row>69</xdr:row>
      <xdr:rowOff>0</xdr:rowOff>
    </xdr:from>
    <xdr:ext cx="65" cy="172227"/>
    <xdr:sp macro="" textlink="">
      <xdr:nvSpPr>
        <xdr:cNvPr id="123" name="TextBox 64">
          <a:extLst>
            <a:ext uri="{FF2B5EF4-FFF2-40B4-BE49-F238E27FC236}">
              <a16:creationId xmlns:a16="http://schemas.microsoft.com/office/drawing/2014/main" id="{4521C4F7-7839-4804-8294-57EC046B1B9D}"/>
            </a:ext>
          </a:extLst>
        </xdr:cNvPr>
        <xdr:cNvSpPr txBox="1"/>
      </xdr:nvSpPr>
      <xdr:spPr>
        <a:xfrm>
          <a:off x="8831580" y="13182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3</xdr:col>
      <xdr:colOff>228600</xdr:colOff>
      <xdr:row>69</xdr:row>
      <xdr:rowOff>0</xdr:rowOff>
    </xdr:from>
    <xdr:ext cx="65" cy="172227"/>
    <xdr:sp macro="" textlink="">
      <xdr:nvSpPr>
        <xdr:cNvPr id="124" name="TextBox 65">
          <a:extLst>
            <a:ext uri="{FF2B5EF4-FFF2-40B4-BE49-F238E27FC236}">
              <a16:creationId xmlns:a16="http://schemas.microsoft.com/office/drawing/2014/main" id="{1D2E90D6-19F1-4F3D-BF25-A28DCA3CE75D}"/>
            </a:ext>
          </a:extLst>
        </xdr:cNvPr>
        <xdr:cNvSpPr txBox="1"/>
      </xdr:nvSpPr>
      <xdr:spPr>
        <a:xfrm>
          <a:off x="8831580" y="13182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3</xdr:col>
      <xdr:colOff>228600</xdr:colOff>
      <xdr:row>69</xdr:row>
      <xdr:rowOff>0</xdr:rowOff>
    </xdr:from>
    <xdr:ext cx="65" cy="172227"/>
    <xdr:sp macro="" textlink="">
      <xdr:nvSpPr>
        <xdr:cNvPr id="125" name="TextBox 67">
          <a:extLst>
            <a:ext uri="{FF2B5EF4-FFF2-40B4-BE49-F238E27FC236}">
              <a16:creationId xmlns:a16="http://schemas.microsoft.com/office/drawing/2014/main" id="{A54209D0-7C7B-4478-9B35-B283319D7A28}"/>
            </a:ext>
          </a:extLst>
        </xdr:cNvPr>
        <xdr:cNvSpPr txBox="1"/>
      </xdr:nvSpPr>
      <xdr:spPr>
        <a:xfrm>
          <a:off x="8831580" y="13182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3</xdr:col>
      <xdr:colOff>236220</xdr:colOff>
      <xdr:row>69</xdr:row>
      <xdr:rowOff>0</xdr:rowOff>
    </xdr:from>
    <xdr:ext cx="11495" cy="172227"/>
    <xdr:sp macro="" textlink="">
      <xdr:nvSpPr>
        <xdr:cNvPr id="126" name="TextBox 69">
          <a:extLst>
            <a:ext uri="{FF2B5EF4-FFF2-40B4-BE49-F238E27FC236}">
              <a16:creationId xmlns:a16="http://schemas.microsoft.com/office/drawing/2014/main" id="{5C2744A4-EF81-420B-8BC5-C189A1BA9F5D}"/>
            </a:ext>
          </a:extLst>
        </xdr:cNvPr>
        <xdr:cNvSpPr txBox="1"/>
      </xdr:nvSpPr>
      <xdr:spPr>
        <a:xfrm>
          <a:off x="8839200" y="13182600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3</xdr:col>
      <xdr:colOff>236220</xdr:colOff>
      <xdr:row>69</xdr:row>
      <xdr:rowOff>0</xdr:rowOff>
    </xdr:from>
    <xdr:ext cx="11495" cy="172227"/>
    <xdr:sp macro="" textlink="">
      <xdr:nvSpPr>
        <xdr:cNvPr id="127" name="TextBox 70">
          <a:extLst>
            <a:ext uri="{FF2B5EF4-FFF2-40B4-BE49-F238E27FC236}">
              <a16:creationId xmlns:a16="http://schemas.microsoft.com/office/drawing/2014/main" id="{2E9528D2-B115-4876-9A56-9912570A9BD4}"/>
            </a:ext>
          </a:extLst>
        </xdr:cNvPr>
        <xdr:cNvSpPr txBox="1"/>
      </xdr:nvSpPr>
      <xdr:spPr>
        <a:xfrm>
          <a:off x="8839200" y="13182600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3</xdr:col>
      <xdr:colOff>236220</xdr:colOff>
      <xdr:row>69</xdr:row>
      <xdr:rowOff>0</xdr:rowOff>
    </xdr:from>
    <xdr:ext cx="11495" cy="172227"/>
    <xdr:sp macro="" textlink="">
      <xdr:nvSpPr>
        <xdr:cNvPr id="128" name="TextBox 71">
          <a:extLst>
            <a:ext uri="{FF2B5EF4-FFF2-40B4-BE49-F238E27FC236}">
              <a16:creationId xmlns:a16="http://schemas.microsoft.com/office/drawing/2014/main" id="{14ED2589-B6FE-46C3-992B-3AA63C931904}"/>
            </a:ext>
          </a:extLst>
        </xdr:cNvPr>
        <xdr:cNvSpPr txBox="1"/>
      </xdr:nvSpPr>
      <xdr:spPr>
        <a:xfrm>
          <a:off x="8839200" y="13182600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3</xdr:col>
      <xdr:colOff>236220</xdr:colOff>
      <xdr:row>69</xdr:row>
      <xdr:rowOff>0</xdr:rowOff>
    </xdr:from>
    <xdr:ext cx="11495" cy="172227"/>
    <xdr:sp macro="" textlink="">
      <xdr:nvSpPr>
        <xdr:cNvPr id="129" name="TextBox 63">
          <a:extLst>
            <a:ext uri="{FF2B5EF4-FFF2-40B4-BE49-F238E27FC236}">
              <a16:creationId xmlns:a16="http://schemas.microsoft.com/office/drawing/2014/main" id="{A75C25C7-87BD-43EC-93F3-72C40B517AEB}"/>
            </a:ext>
          </a:extLst>
        </xdr:cNvPr>
        <xdr:cNvSpPr txBox="1"/>
      </xdr:nvSpPr>
      <xdr:spPr>
        <a:xfrm>
          <a:off x="8839200" y="13182600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3</xdr:col>
      <xdr:colOff>228600</xdr:colOff>
      <xdr:row>69</xdr:row>
      <xdr:rowOff>0</xdr:rowOff>
    </xdr:from>
    <xdr:ext cx="65" cy="172227"/>
    <xdr:sp macro="" textlink="">
      <xdr:nvSpPr>
        <xdr:cNvPr id="130" name="TextBox 64">
          <a:extLst>
            <a:ext uri="{FF2B5EF4-FFF2-40B4-BE49-F238E27FC236}">
              <a16:creationId xmlns:a16="http://schemas.microsoft.com/office/drawing/2014/main" id="{48776633-9429-4E16-B415-67591D0F530E}"/>
            </a:ext>
          </a:extLst>
        </xdr:cNvPr>
        <xdr:cNvSpPr txBox="1"/>
      </xdr:nvSpPr>
      <xdr:spPr>
        <a:xfrm>
          <a:off x="8831580" y="13182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161925</xdr:colOff>
      <xdr:row>69</xdr:row>
      <xdr:rowOff>0</xdr:rowOff>
    </xdr:from>
    <xdr:ext cx="800100" cy="4082"/>
    <xdr:pic>
      <xdr:nvPicPr>
        <xdr:cNvPr id="131" name="Picture 5">
          <a:extLst>
            <a:ext uri="{FF2B5EF4-FFF2-40B4-BE49-F238E27FC236}">
              <a16:creationId xmlns:a16="http://schemas.microsoft.com/office/drawing/2014/main" id="{4F4C74DC-1D5B-4D9B-9B24-AE0FA98B2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9685" y="119024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368445"/>
    <xdr:pic>
      <xdr:nvPicPr>
        <xdr:cNvPr id="132" name="Picture 5">
          <a:extLst>
            <a:ext uri="{FF2B5EF4-FFF2-40B4-BE49-F238E27FC236}">
              <a16:creationId xmlns:a16="http://schemas.microsoft.com/office/drawing/2014/main" id="{5C9221F7-8981-4DAE-9C08-9CF7ADD6F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368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368445"/>
    <xdr:pic>
      <xdr:nvPicPr>
        <xdr:cNvPr id="133" name="Picture 5">
          <a:extLst>
            <a:ext uri="{FF2B5EF4-FFF2-40B4-BE49-F238E27FC236}">
              <a16:creationId xmlns:a16="http://schemas.microsoft.com/office/drawing/2014/main" id="{C269ADB4-A1B3-4CE5-BF9C-2BB19E238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368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28575"/>
    <xdr:pic>
      <xdr:nvPicPr>
        <xdr:cNvPr id="134" name="Picture 19">
          <a:extLst>
            <a:ext uri="{FF2B5EF4-FFF2-40B4-BE49-F238E27FC236}">
              <a16:creationId xmlns:a16="http://schemas.microsoft.com/office/drawing/2014/main" id="{C7BB919B-B154-4EC2-AE33-7C7EB332D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28575"/>
    <xdr:pic>
      <xdr:nvPicPr>
        <xdr:cNvPr id="135" name="Picture 4">
          <a:extLst>
            <a:ext uri="{FF2B5EF4-FFF2-40B4-BE49-F238E27FC236}">
              <a16:creationId xmlns:a16="http://schemas.microsoft.com/office/drawing/2014/main" id="{135D1FE4-EE43-48DE-9236-46683DD2D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368445"/>
    <xdr:pic>
      <xdr:nvPicPr>
        <xdr:cNvPr id="136" name="Picture 5">
          <a:extLst>
            <a:ext uri="{FF2B5EF4-FFF2-40B4-BE49-F238E27FC236}">
              <a16:creationId xmlns:a16="http://schemas.microsoft.com/office/drawing/2014/main" id="{96A0C139-4E14-4339-88BB-8893B1E6A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368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368445"/>
    <xdr:pic>
      <xdr:nvPicPr>
        <xdr:cNvPr id="137" name="Picture 5">
          <a:extLst>
            <a:ext uri="{FF2B5EF4-FFF2-40B4-BE49-F238E27FC236}">
              <a16:creationId xmlns:a16="http://schemas.microsoft.com/office/drawing/2014/main" id="{AF3329B0-5EB7-4C90-85D0-32A103B8E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368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19050"/>
    <xdr:pic>
      <xdr:nvPicPr>
        <xdr:cNvPr id="138" name="Picture 24">
          <a:extLst>
            <a:ext uri="{FF2B5EF4-FFF2-40B4-BE49-F238E27FC236}">
              <a16:creationId xmlns:a16="http://schemas.microsoft.com/office/drawing/2014/main" id="{37468B5F-44A2-44CA-B43E-158307DA1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19050"/>
    <xdr:pic>
      <xdr:nvPicPr>
        <xdr:cNvPr id="139" name="Picture 5">
          <a:extLst>
            <a:ext uri="{FF2B5EF4-FFF2-40B4-BE49-F238E27FC236}">
              <a16:creationId xmlns:a16="http://schemas.microsoft.com/office/drawing/2014/main" id="{0B5FA244-3240-4DFF-924F-68458AAA5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104775"/>
    <xdr:pic>
      <xdr:nvPicPr>
        <xdr:cNvPr id="140" name="Picture 5">
          <a:extLst>
            <a:ext uri="{FF2B5EF4-FFF2-40B4-BE49-F238E27FC236}">
              <a16:creationId xmlns:a16="http://schemas.microsoft.com/office/drawing/2014/main" id="{06EA72BA-31AD-47C3-9D33-F9184AC99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368445"/>
    <xdr:pic>
      <xdr:nvPicPr>
        <xdr:cNvPr id="141" name="Picture 5">
          <a:extLst>
            <a:ext uri="{FF2B5EF4-FFF2-40B4-BE49-F238E27FC236}">
              <a16:creationId xmlns:a16="http://schemas.microsoft.com/office/drawing/2014/main" id="{00FE92D8-E6B8-481B-962D-32C81D7F3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368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368445"/>
    <xdr:pic>
      <xdr:nvPicPr>
        <xdr:cNvPr id="142" name="Picture 5">
          <a:extLst>
            <a:ext uri="{FF2B5EF4-FFF2-40B4-BE49-F238E27FC236}">
              <a16:creationId xmlns:a16="http://schemas.microsoft.com/office/drawing/2014/main" id="{5E3C5F41-612C-40C8-9D50-F7F899159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368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143" name="Picture 5">
          <a:extLst>
            <a:ext uri="{FF2B5EF4-FFF2-40B4-BE49-F238E27FC236}">
              <a16:creationId xmlns:a16="http://schemas.microsoft.com/office/drawing/2014/main" id="{84622F9E-AC63-4711-8EB2-B15CABB56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144" name="Picture 13">
          <a:extLst>
            <a:ext uri="{FF2B5EF4-FFF2-40B4-BE49-F238E27FC236}">
              <a16:creationId xmlns:a16="http://schemas.microsoft.com/office/drawing/2014/main" id="{5A37C373-873F-46DF-ACC2-9A286E4AD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69</xdr:row>
      <xdr:rowOff>0</xdr:rowOff>
    </xdr:from>
    <xdr:ext cx="800100" cy="4082"/>
    <xdr:pic>
      <xdr:nvPicPr>
        <xdr:cNvPr id="145" name="Picture 5">
          <a:extLst>
            <a:ext uri="{FF2B5EF4-FFF2-40B4-BE49-F238E27FC236}">
              <a16:creationId xmlns:a16="http://schemas.microsoft.com/office/drawing/2014/main" id="{5F69CB6C-818D-4F4C-B1A3-D0E465669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119024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146" name="Picture 5">
          <a:extLst>
            <a:ext uri="{FF2B5EF4-FFF2-40B4-BE49-F238E27FC236}">
              <a16:creationId xmlns:a16="http://schemas.microsoft.com/office/drawing/2014/main" id="{0B394F52-6C27-41EB-852E-07F73EEF3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69</xdr:row>
      <xdr:rowOff>0</xdr:rowOff>
    </xdr:from>
    <xdr:ext cx="800100" cy="4082"/>
    <xdr:pic>
      <xdr:nvPicPr>
        <xdr:cNvPr id="147" name="Picture 5">
          <a:extLst>
            <a:ext uri="{FF2B5EF4-FFF2-40B4-BE49-F238E27FC236}">
              <a16:creationId xmlns:a16="http://schemas.microsoft.com/office/drawing/2014/main" id="{32FAA4FA-4360-4799-8DD6-DF63CFF48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119024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148" name="Picture 5">
          <a:extLst>
            <a:ext uri="{FF2B5EF4-FFF2-40B4-BE49-F238E27FC236}">
              <a16:creationId xmlns:a16="http://schemas.microsoft.com/office/drawing/2014/main" id="{323687A3-EBF0-4875-81CA-B2419033C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149" name="Picture 5">
          <a:extLst>
            <a:ext uri="{FF2B5EF4-FFF2-40B4-BE49-F238E27FC236}">
              <a16:creationId xmlns:a16="http://schemas.microsoft.com/office/drawing/2014/main" id="{9863A130-A007-4C99-A99D-05516DA02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150" name="Picture 13">
          <a:extLst>
            <a:ext uri="{FF2B5EF4-FFF2-40B4-BE49-F238E27FC236}">
              <a16:creationId xmlns:a16="http://schemas.microsoft.com/office/drawing/2014/main" id="{88953D02-9943-4613-A8A2-631A3AE87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69</xdr:row>
      <xdr:rowOff>0</xdr:rowOff>
    </xdr:from>
    <xdr:ext cx="800100" cy="4082"/>
    <xdr:pic>
      <xdr:nvPicPr>
        <xdr:cNvPr id="151" name="Picture 5">
          <a:extLst>
            <a:ext uri="{FF2B5EF4-FFF2-40B4-BE49-F238E27FC236}">
              <a16:creationId xmlns:a16="http://schemas.microsoft.com/office/drawing/2014/main" id="{04773CBD-4938-4F05-BDFD-976AB5AD1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119024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152" name="Picture 5">
          <a:extLst>
            <a:ext uri="{FF2B5EF4-FFF2-40B4-BE49-F238E27FC236}">
              <a16:creationId xmlns:a16="http://schemas.microsoft.com/office/drawing/2014/main" id="{4AC066F4-73FA-4EE1-8B58-A9CE824AF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69</xdr:row>
      <xdr:rowOff>0</xdr:rowOff>
    </xdr:from>
    <xdr:ext cx="800100" cy="4082"/>
    <xdr:pic>
      <xdr:nvPicPr>
        <xdr:cNvPr id="153" name="Picture 5">
          <a:extLst>
            <a:ext uri="{FF2B5EF4-FFF2-40B4-BE49-F238E27FC236}">
              <a16:creationId xmlns:a16="http://schemas.microsoft.com/office/drawing/2014/main" id="{F3A5127E-6033-49CA-BF48-55DAC0417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119024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154" name="Picture 5">
          <a:extLst>
            <a:ext uri="{FF2B5EF4-FFF2-40B4-BE49-F238E27FC236}">
              <a16:creationId xmlns:a16="http://schemas.microsoft.com/office/drawing/2014/main" id="{9067AB5B-E9C4-4133-A88F-58F0FCD49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155" name="Picture 5">
          <a:extLst>
            <a:ext uri="{FF2B5EF4-FFF2-40B4-BE49-F238E27FC236}">
              <a16:creationId xmlns:a16="http://schemas.microsoft.com/office/drawing/2014/main" id="{A14DFA78-F3D9-46B4-8AF5-D08E622AC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156" name="Picture 13">
          <a:extLst>
            <a:ext uri="{FF2B5EF4-FFF2-40B4-BE49-F238E27FC236}">
              <a16:creationId xmlns:a16="http://schemas.microsoft.com/office/drawing/2014/main" id="{9D60A229-01F4-42C7-9107-22DA4CE8E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69</xdr:row>
      <xdr:rowOff>0</xdr:rowOff>
    </xdr:from>
    <xdr:ext cx="800100" cy="4082"/>
    <xdr:pic>
      <xdr:nvPicPr>
        <xdr:cNvPr id="157" name="Picture 5">
          <a:extLst>
            <a:ext uri="{FF2B5EF4-FFF2-40B4-BE49-F238E27FC236}">
              <a16:creationId xmlns:a16="http://schemas.microsoft.com/office/drawing/2014/main" id="{6FA4281F-0F7E-48A0-82ED-74F386F66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119024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158" name="Picture 5">
          <a:extLst>
            <a:ext uri="{FF2B5EF4-FFF2-40B4-BE49-F238E27FC236}">
              <a16:creationId xmlns:a16="http://schemas.microsoft.com/office/drawing/2014/main" id="{B9A474AE-41E8-4B14-B857-24715FD2C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69</xdr:row>
      <xdr:rowOff>0</xdr:rowOff>
    </xdr:from>
    <xdr:ext cx="800100" cy="4082"/>
    <xdr:pic>
      <xdr:nvPicPr>
        <xdr:cNvPr id="159" name="Picture 5">
          <a:extLst>
            <a:ext uri="{FF2B5EF4-FFF2-40B4-BE49-F238E27FC236}">
              <a16:creationId xmlns:a16="http://schemas.microsoft.com/office/drawing/2014/main" id="{1C6AA678-00EE-485B-BD37-E4E69548A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119024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160" name="Picture 5">
          <a:extLst>
            <a:ext uri="{FF2B5EF4-FFF2-40B4-BE49-F238E27FC236}">
              <a16:creationId xmlns:a16="http://schemas.microsoft.com/office/drawing/2014/main" id="{C3AEA7A6-3572-402D-BD74-6F8BD001F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161" name="Picture 5">
          <a:extLst>
            <a:ext uri="{FF2B5EF4-FFF2-40B4-BE49-F238E27FC236}">
              <a16:creationId xmlns:a16="http://schemas.microsoft.com/office/drawing/2014/main" id="{8227F268-03B0-4AB2-82C1-FE388A4C4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162" name="Picture 13">
          <a:extLst>
            <a:ext uri="{FF2B5EF4-FFF2-40B4-BE49-F238E27FC236}">
              <a16:creationId xmlns:a16="http://schemas.microsoft.com/office/drawing/2014/main" id="{F1E55D21-FCCE-441A-9E33-E47EF6410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69</xdr:row>
      <xdr:rowOff>0</xdr:rowOff>
    </xdr:from>
    <xdr:ext cx="800100" cy="4082"/>
    <xdr:pic>
      <xdr:nvPicPr>
        <xdr:cNvPr id="163" name="Picture 5">
          <a:extLst>
            <a:ext uri="{FF2B5EF4-FFF2-40B4-BE49-F238E27FC236}">
              <a16:creationId xmlns:a16="http://schemas.microsoft.com/office/drawing/2014/main" id="{DD65D7E2-1BF5-4982-AF40-060A9906B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119024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164" name="Picture 5">
          <a:extLst>
            <a:ext uri="{FF2B5EF4-FFF2-40B4-BE49-F238E27FC236}">
              <a16:creationId xmlns:a16="http://schemas.microsoft.com/office/drawing/2014/main" id="{7E2FBA38-86A5-4915-8612-58D217803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69</xdr:row>
      <xdr:rowOff>0</xdr:rowOff>
    </xdr:from>
    <xdr:ext cx="800100" cy="4082"/>
    <xdr:pic>
      <xdr:nvPicPr>
        <xdr:cNvPr id="165" name="Picture 5">
          <a:extLst>
            <a:ext uri="{FF2B5EF4-FFF2-40B4-BE49-F238E27FC236}">
              <a16:creationId xmlns:a16="http://schemas.microsoft.com/office/drawing/2014/main" id="{188E5A84-4592-4F7B-8765-6C6FA1335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119024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166" name="Picture 5">
          <a:extLst>
            <a:ext uri="{FF2B5EF4-FFF2-40B4-BE49-F238E27FC236}">
              <a16:creationId xmlns:a16="http://schemas.microsoft.com/office/drawing/2014/main" id="{3A073D22-15EF-4105-879E-4BBB1259D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167" name="Picture 5">
          <a:extLst>
            <a:ext uri="{FF2B5EF4-FFF2-40B4-BE49-F238E27FC236}">
              <a16:creationId xmlns:a16="http://schemas.microsoft.com/office/drawing/2014/main" id="{CD80264C-7E3E-4D0C-AACE-9D3BCC854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168" name="Picture 13">
          <a:extLst>
            <a:ext uri="{FF2B5EF4-FFF2-40B4-BE49-F238E27FC236}">
              <a16:creationId xmlns:a16="http://schemas.microsoft.com/office/drawing/2014/main" id="{4EC3A9D4-9455-4709-9192-2E219DF26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69</xdr:row>
      <xdr:rowOff>0</xdr:rowOff>
    </xdr:from>
    <xdr:ext cx="800100" cy="4082"/>
    <xdr:pic>
      <xdr:nvPicPr>
        <xdr:cNvPr id="169" name="Picture 5">
          <a:extLst>
            <a:ext uri="{FF2B5EF4-FFF2-40B4-BE49-F238E27FC236}">
              <a16:creationId xmlns:a16="http://schemas.microsoft.com/office/drawing/2014/main" id="{7234DC90-DB62-4290-85BB-14AE68A97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119024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170" name="Picture 5">
          <a:extLst>
            <a:ext uri="{FF2B5EF4-FFF2-40B4-BE49-F238E27FC236}">
              <a16:creationId xmlns:a16="http://schemas.microsoft.com/office/drawing/2014/main" id="{684F2C06-B766-4373-A043-64452C7DD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69</xdr:row>
      <xdr:rowOff>0</xdr:rowOff>
    </xdr:from>
    <xdr:ext cx="800100" cy="4082"/>
    <xdr:pic>
      <xdr:nvPicPr>
        <xdr:cNvPr id="171" name="Picture 5">
          <a:extLst>
            <a:ext uri="{FF2B5EF4-FFF2-40B4-BE49-F238E27FC236}">
              <a16:creationId xmlns:a16="http://schemas.microsoft.com/office/drawing/2014/main" id="{F95A440D-BD43-4DE4-BAFF-10C66AE5E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119024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172" name="Picture 5">
          <a:extLst>
            <a:ext uri="{FF2B5EF4-FFF2-40B4-BE49-F238E27FC236}">
              <a16:creationId xmlns:a16="http://schemas.microsoft.com/office/drawing/2014/main" id="{608AADF4-BC6A-46C1-AE33-E0ABB9B55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173" name="Picture 5">
          <a:extLst>
            <a:ext uri="{FF2B5EF4-FFF2-40B4-BE49-F238E27FC236}">
              <a16:creationId xmlns:a16="http://schemas.microsoft.com/office/drawing/2014/main" id="{C190A3B6-C3A2-4ECB-AA7E-4EBDD8278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174" name="Picture 13">
          <a:extLst>
            <a:ext uri="{FF2B5EF4-FFF2-40B4-BE49-F238E27FC236}">
              <a16:creationId xmlns:a16="http://schemas.microsoft.com/office/drawing/2014/main" id="{049AD7FC-556A-42A7-9D8E-C22542937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69</xdr:row>
      <xdr:rowOff>0</xdr:rowOff>
    </xdr:from>
    <xdr:ext cx="800100" cy="4082"/>
    <xdr:pic>
      <xdr:nvPicPr>
        <xdr:cNvPr id="175" name="Picture 5">
          <a:extLst>
            <a:ext uri="{FF2B5EF4-FFF2-40B4-BE49-F238E27FC236}">
              <a16:creationId xmlns:a16="http://schemas.microsoft.com/office/drawing/2014/main" id="{B3BE6459-C0A6-441B-8911-55D42A11E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119024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176" name="Picture 5">
          <a:extLst>
            <a:ext uri="{FF2B5EF4-FFF2-40B4-BE49-F238E27FC236}">
              <a16:creationId xmlns:a16="http://schemas.microsoft.com/office/drawing/2014/main" id="{ACE8EF64-EC21-4D48-B554-A04CEBDA9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69</xdr:row>
      <xdr:rowOff>0</xdr:rowOff>
    </xdr:from>
    <xdr:ext cx="800100" cy="4082"/>
    <xdr:pic>
      <xdr:nvPicPr>
        <xdr:cNvPr id="177" name="Picture 5">
          <a:extLst>
            <a:ext uri="{FF2B5EF4-FFF2-40B4-BE49-F238E27FC236}">
              <a16:creationId xmlns:a16="http://schemas.microsoft.com/office/drawing/2014/main" id="{9559B0F4-EAE5-4BCA-B6B4-A94C33502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119024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178" name="Picture 5">
          <a:extLst>
            <a:ext uri="{FF2B5EF4-FFF2-40B4-BE49-F238E27FC236}">
              <a16:creationId xmlns:a16="http://schemas.microsoft.com/office/drawing/2014/main" id="{0C9D6C75-137D-484F-8C49-EDED162C9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179" name="Picture 5">
          <a:extLst>
            <a:ext uri="{FF2B5EF4-FFF2-40B4-BE49-F238E27FC236}">
              <a16:creationId xmlns:a16="http://schemas.microsoft.com/office/drawing/2014/main" id="{22166496-774C-414D-9D03-6CEC1DAA7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180" name="Picture 13">
          <a:extLst>
            <a:ext uri="{FF2B5EF4-FFF2-40B4-BE49-F238E27FC236}">
              <a16:creationId xmlns:a16="http://schemas.microsoft.com/office/drawing/2014/main" id="{2A535E83-8F9F-4739-86BE-F69DDC442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69</xdr:row>
      <xdr:rowOff>0</xdr:rowOff>
    </xdr:from>
    <xdr:ext cx="800100" cy="4082"/>
    <xdr:pic>
      <xdr:nvPicPr>
        <xdr:cNvPr id="181" name="Picture 5">
          <a:extLst>
            <a:ext uri="{FF2B5EF4-FFF2-40B4-BE49-F238E27FC236}">
              <a16:creationId xmlns:a16="http://schemas.microsoft.com/office/drawing/2014/main" id="{343D652F-566D-42E5-B63A-E93CA4448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119024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182" name="Picture 5">
          <a:extLst>
            <a:ext uri="{FF2B5EF4-FFF2-40B4-BE49-F238E27FC236}">
              <a16:creationId xmlns:a16="http://schemas.microsoft.com/office/drawing/2014/main" id="{516CBB78-5E1A-491B-B461-493A51F9E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69</xdr:row>
      <xdr:rowOff>0</xdr:rowOff>
    </xdr:from>
    <xdr:ext cx="800100" cy="4082"/>
    <xdr:pic>
      <xdr:nvPicPr>
        <xdr:cNvPr id="183" name="Picture 5">
          <a:extLst>
            <a:ext uri="{FF2B5EF4-FFF2-40B4-BE49-F238E27FC236}">
              <a16:creationId xmlns:a16="http://schemas.microsoft.com/office/drawing/2014/main" id="{2CD5A16C-A4EB-44DB-BCDC-99826A8FD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119024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184" name="Picture 5">
          <a:extLst>
            <a:ext uri="{FF2B5EF4-FFF2-40B4-BE49-F238E27FC236}">
              <a16:creationId xmlns:a16="http://schemas.microsoft.com/office/drawing/2014/main" id="{CDDB16F2-4092-4B15-92D3-7E26CF2FF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185" name="Picture 5">
          <a:extLst>
            <a:ext uri="{FF2B5EF4-FFF2-40B4-BE49-F238E27FC236}">
              <a16:creationId xmlns:a16="http://schemas.microsoft.com/office/drawing/2014/main" id="{70E251D9-F209-4AD3-A2AB-58BE8B4DB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186" name="Picture 13">
          <a:extLst>
            <a:ext uri="{FF2B5EF4-FFF2-40B4-BE49-F238E27FC236}">
              <a16:creationId xmlns:a16="http://schemas.microsoft.com/office/drawing/2014/main" id="{2C73729D-5E1E-4592-8703-3E75206C2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69</xdr:row>
      <xdr:rowOff>0</xdr:rowOff>
    </xdr:from>
    <xdr:ext cx="800100" cy="4082"/>
    <xdr:pic>
      <xdr:nvPicPr>
        <xdr:cNvPr id="187" name="Picture 5">
          <a:extLst>
            <a:ext uri="{FF2B5EF4-FFF2-40B4-BE49-F238E27FC236}">
              <a16:creationId xmlns:a16="http://schemas.microsoft.com/office/drawing/2014/main" id="{047BD362-6760-4C13-BC46-0838FB3BF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119024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188" name="Picture 5">
          <a:extLst>
            <a:ext uri="{FF2B5EF4-FFF2-40B4-BE49-F238E27FC236}">
              <a16:creationId xmlns:a16="http://schemas.microsoft.com/office/drawing/2014/main" id="{5A6FADAB-6B70-4478-86BA-5527718B9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69</xdr:row>
      <xdr:rowOff>0</xdr:rowOff>
    </xdr:from>
    <xdr:ext cx="800100" cy="4082"/>
    <xdr:pic>
      <xdr:nvPicPr>
        <xdr:cNvPr id="189" name="Picture 5">
          <a:extLst>
            <a:ext uri="{FF2B5EF4-FFF2-40B4-BE49-F238E27FC236}">
              <a16:creationId xmlns:a16="http://schemas.microsoft.com/office/drawing/2014/main" id="{C02821F4-61F7-4D61-BFAC-26BAD55C3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119024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190" name="Picture 5">
          <a:extLst>
            <a:ext uri="{FF2B5EF4-FFF2-40B4-BE49-F238E27FC236}">
              <a16:creationId xmlns:a16="http://schemas.microsoft.com/office/drawing/2014/main" id="{25FDEBC0-5E7B-4872-A930-04F88E1A5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191" name="Picture 5">
          <a:extLst>
            <a:ext uri="{FF2B5EF4-FFF2-40B4-BE49-F238E27FC236}">
              <a16:creationId xmlns:a16="http://schemas.microsoft.com/office/drawing/2014/main" id="{2CCA5209-F6FC-46D2-958B-06E16CC89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192" name="Picture 13">
          <a:extLst>
            <a:ext uri="{FF2B5EF4-FFF2-40B4-BE49-F238E27FC236}">
              <a16:creationId xmlns:a16="http://schemas.microsoft.com/office/drawing/2014/main" id="{F6D276F2-8ABD-4085-AC1F-980B5487A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69</xdr:row>
      <xdr:rowOff>0</xdr:rowOff>
    </xdr:from>
    <xdr:ext cx="800100" cy="4082"/>
    <xdr:pic>
      <xdr:nvPicPr>
        <xdr:cNvPr id="193" name="Picture 5">
          <a:extLst>
            <a:ext uri="{FF2B5EF4-FFF2-40B4-BE49-F238E27FC236}">
              <a16:creationId xmlns:a16="http://schemas.microsoft.com/office/drawing/2014/main" id="{6B1E24BD-B982-483F-818B-AB76DECB2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119024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194" name="Picture 5">
          <a:extLst>
            <a:ext uri="{FF2B5EF4-FFF2-40B4-BE49-F238E27FC236}">
              <a16:creationId xmlns:a16="http://schemas.microsoft.com/office/drawing/2014/main" id="{767AD12F-A4FE-460D-A32F-251F10141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69</xdr:row>
      <xdr:rowOff>0</xdr:rowOff>
    </xdr:from>
    <xdr:ext cx="800100" cy="4082"/>
    <xdr:pic>
      <xdr:nvPicPr>
        <xdr:cNvPr id="195" name="Picture 5">
          <a:extLst>
            <a:ext uri="{FF2B5EF4-FFF2-40B4-BE49-F238E27FC236}">
              <a16:creationId xmlns:a16="http://schemas.microsoft.com/office/drawing/2014/main" id="{4D333805-BDA4-4006-A7C7-B6DA76C93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119024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196" name="Picture 5">
          <a:extLst>
            <a:ext uri="{FF2B5EF4-FFF2-40B4-BE49-F238E27FC236}">
              <a16:creationId xmlns:a16="http://schemas.microsoft.com/office/drawing/2014/main" id="{11B395E6-885F-4CD5-80D1-CD916A557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197" name="Picture 5">
          <a:extLst>
            <a:ext uri="{FF2B5EF4-FFF2-40B4-BE49-F238E27FC236}">
              <a16:creationId xmlns:a16="http://schemas.microsoft.com/office/drawing/2014/main" id="{CDF00F36-5405-45B8-A7D2-9F2DE8FED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198" name="Picture 13">
          <a:extLst>
            <a:ext uri="{FF2B5EF4-FFF2-40B4-BE49-F238E27FC236}">
              <a16:creationId xmlns:a16="http://schemas.microsoft.com/office/drawing/2014/main" id="{59FDC315-A470-470D-86EA-40693AE8F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69</xdr:row>
      <xdr:rowOff>0</xdr:rowOff>
    </xdr:from>
    <xdr:ext cx="800100" cy="4082"/>
    <xdr:pic>
      <xdr:nvPicPr>
        <xdr:cNvPr id="199" name="Picture 5">
          <a:extLst>
            <a:ext uri="{FF2B5EF4-FFF2-40B4-BE49-F238E27FC236}">
              <a16:creationId xmlns:a16="http://schemas.microsoft.com/office/drawing/2014/main" id="{30FABEFE-010B-44CE-9EFF-EA1A4332F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119024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200" name="Picture 5">
          <a:extLst>
            <a:ext uri="{FF2B5EF4-FFF2-40B4-BE49-F238E27FC236}">
              <a16:creationId xmlns:a16="http://schemas.microsoft.com/office/drawing/2014/main" id="{CFBE5B8A-96F0-4084-9F11-E3C984F96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69</xdr:row>
      <xdr:rowOff>0</xdr:rowOff>
    </xdr:from>
    <xdr:ext cx="800100" cy="4082"/>
    <xdr:pic>
      <xdr:nvPicPr>
        <xdr:cNvPr id="201" name="Picture 5">
          <a:extLst>
            <a:ext uri="{FF2B5EF4-FFF2-40B4-BE49-F238E27FC236}">
              <a16:creationId xmlns:a16="http://schemas.microsoft.com/office/drawing/2014/main" id="{467E9087-6BB7-4D7F-9A77-2F7933F8B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119024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202" name="Picture 5">
          <a:extLst>
            <a:ext uri="{FF2B5EF4-FFF2-40B4-BE49-F238E27FC236}">
              <a16:creationId xmlns:a16="http://schemas.microsoft.com/office/drawing/2014/main" id="{15895E9B-9043-4577-B307-DC49822B5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203" name="Picture 5">
          <a:extLst>
            <a:ext uri="{FF2B5EF4-FFF2-40B4-BE49-F238E27FC236}">
              <a16:creationId xmlns:a16="http://schemas.microsoft.com/office/drawing/2014/main" id="{A196FD1F-F104-4969-8190-F2A7B376E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204" name="Picture 13">
          <a:extLst>
            <a:ext uri="{FF2B5EF4-FFF2-40B4-BE49-F238E27FC236}">
              <a16:creationId xmlns:a16="http://schemas.microsoft.com/office/drawing/2014/main" id="{3ECCDC15-3C06-4A61-8C2C-D22B1E4C1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69</xdr:row>
      <xdr:rowOff>0</xdr:rowOff>
    </xdr:from>
    <xdr:ext cx="800100" cy="4082"/>
    <xdr:pic>
      <xdr:nvPicPr>
        <xdr:cNvPr id="205" name="Picture 5">
          <a:extLst>
            <a:ext uri="{FF2B5EF4-FFF2-40B4-BE49-F238E27FC236}">
              <a16:creationId xmlns:a16="http://schemas.microsoft.com/office/drawing/2014/main" id="{131F6F84-34B2-4C9E-90F0-7FC87CB5C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119024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206" name="Picture 5">
          <a:extLst>
            <a:ext uri="{FF2B5EF4-FFF2-40B4-BE49-F238E27FC236}">
              <a16:creationId xmlns:a16="http://schemas.microsoft.com/office/drawing/2014/main" id="{468ED713-5EC7-46F7-8C33-698533864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69</xdr:row>
      <xdr:rowOff>0</xdr:rowOff>
    </xdr:from>
    <xdr:ext cx="800100" cy="4082"/>
    <xdr:pic>
      <xdr:nvPicPr>
        <xdr:cNvPr id="207" name="Picture 5">
          <a:extLst>
            <a:ext uri="{FF2B5EF4-FFF2-40B4-BE49-F238E27FC236}">
              <a16:creationId xmlns:a16="http://schemas.microsoft.com/office/drawing/2014/main" id="{583CF8B3-307C-4941-88FE-B8B350021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119024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208" name="Picture 5">
          <a:extLst>
            <a:ext uri="{FF2B5EF4-FFF2-40B4-BE49-F238E27FC236}">
              <a16:creationId xmlns:a16="http://schemas.microsoft.com/office/drawing/2014/main" id="{7252E56E-F904-432A-AD3F-B940EAC73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209" name="Picture 5">
          <a:extLst>
            <a:ext uri="{FF2B5EF4-FFF2-40B4-BE49-F238E27FC236}">
              <a16:creationId xmlns:a16="http://schemas.microsoft.com/office/drawing/2014/main" id="{2FBC0821-0B4E-407F-90FD-95EBB59AE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210" name="Picture 13">
          <a:extLst>
            <a:ext uri="{FF2B5EF4-FFF2-40B4-BE49-F238E27FC236}">
              <a16:creationId xmlns:a16="http://schemas.microsoft.com/office/drawing/2014/main" id="{CCAEF264-8CD6-47D8-AB6E-890678712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69</xdr:row>
      <xdr:rowOff>0</xdr:rowOff>
    </xdr:from>
    <xdr:ext cx="800100" cy="4082"/>
    <xdr:pic>
      <xdr:nvPicPr>
        <xdr:cNvPr id="211" name="Picture 5">
          <a:extLst>
            <a:ext uri="{FF2B5EF4-FFF2-40B4-BE49-F238E27FC236}">
              <a16:creationId xmlns:a16="http://schemas.microsoft.com/office/drawing/2014/main" id="{07FA8043-63A5-4C49-B2F2-70D41A498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119024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212" name="Picture 5">
          <a:extLst>
            <a:ext uri="{FF2B5EF4-FFF2-40B4-BE49-F238E27FC236}">
              <a16:creationId xmlns:a16="http://schemas.microsoft.com/office/drawing/2014/main" id="{0F9B9A48-1CB3-43A2-8034-102805F47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69</xdr:row>
      <xdr:rowOff>0</xdr:rowOff>
    </xdr:from>
    <xdr:ext cx="800100" cy="4082"/>
    <xdr:pic>
      <xdr:nvPicPr>
        <xdr:cNvPr id="213" name="Picture 5">
          <a:extLst>
            <a:ext uri="{FF2B5EF4-FFF2-40B4-BE49-F238E27FC236}">
              <a16:creationId xmlns:a16="http://schemas.microsoft.com/office/drawing/2014/main" id="{3CAC929C-0B29-4A2F-B062-2150D5807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119024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214" name="Picture 5">
          <a:extLst>
            <a:ext uri="{FF2B5EF4-FFF2-40B4-BE49-F238E27FC236}">
              <a16:creationId xmlns:a16="http://schemas.microsoft.com/office/drawing/2014/main" id="{70841E1D-BEF6-4882-89AD-3AE636418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215" name="Picture 5">
          <a:extLst>
            <a:ext uri="{FF2B5EF4-FFF2-40B4-BE49-F238E27FC236}">
              <a16:creationId xmlns:a16="http://schemas.microsoft.com/office/drawing/2014/main" id="{02CC8A3F-CA90-4D09-90BF-34CD95112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216" name="Picture 13">
          <a:extLst>
            <a:ext uri="{FF2B5EF4-FFF2-40B4-BE49-F238E27FC236}">
              <a16:creationId xmlns:a16="http://schemas.microsoft.com/office/drawing/2014/main" id="{CC6F9556-E7E9-4534-B137-B7C952B33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69</xdr:row>
      <xdr:rowOff>0</xdr:rowOff>
    </xdr:from>
    <xdr:ext cx="800100" cy="4082"/>
    <xdr:pic>
      <xdr:nvPicPr>
        <xdr:cNvPr id="217" name="Picture 5">
          <a:extLst>
            <a:ext uri="{FF2B5EF4-FFF2-40B4-BE49-F238E27FC236}">
              <a16:creationId xmlns:a16="http://schemas.microsoft.com/office/drawing/2014/main" id="{55C373D4-335E-44BA-AA26-006B93739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119024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218" name="Picture 5">
          <a:extLst>
            <a:ext uri="{FF2B5EF4-FFF2-40B4-BE49-F238E27FC236}">
              <a16:creationId xmlns:a16="http://schemas.microsoft.com/office/drawing/2014/main" id="{2FBFCC4C-F138-437A-8B81-315129A96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219" name="Picture 5">
          <a:extLst>
            <a:ext uri="{FF2B5EF4-FFF2-40B4-BE49-F238E27FC236}">
              <a16:creationId xmlns:a16="http://schemas.microsoft.com/office/drawing/2014/main" id="{FB294F66-41C9-40CA-89F8-8D4F237B2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220" name="Picture 5">
          <a:extLst>
            <a:ext uri="{FF2B5EF4-FFF2-40B4-BE49-F238E27FC236}">
              <a16:creationId xmlns:a16="http://schemas.microsoft.com/office/drawing/2014/main" id="{872D8544-846A-445A-8F1F-FFDA0DBFF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221" name="Picture 13">
          <a:extLst>
            <a:ext uri="{FF2B5EF4-FFF2-40B4-BE49-F238E27FC236}">
              <a16:creationId xmlns:a16="http://schemas.microsoft.com/office/drawing/2014/main" id="{C7B316FD-C59F-4C31-A3A3-45252D5CC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222" name="Picture 5">
          <a:extLst>
            <a:ext uri="{FF2B5EF4-FFF2-40B4-BE49-F238E27FC236}">
              <a16:creationId xmlns:a16="http://schemas.microsoft.com/office/drawing/2014/main" id="{03DAC5D9-D170-42BC-A87A-09B8D3A50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223" name="Picture 5">
          <a:extLst>
            <a:ext uri="{FF2B5EF4-FFF2-40B4-BE49-F238E27FC236}">
              <a16:creationId xmlns:a16="http://schemas.microsoft.com/office/drawing/2014/main" id="{22FAFCBA-91BB-4359-ACFF-1FF43EEA5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19024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5647354</xdr:colOff>
      <xdr:row>1</xdr:row>
      <xdr:rowOff>0</xdr:rowOff>
    </xdr:from>
    <xdr:to>
      <xdr:col>10</xdr:col>
      <xdr:colOff>0</xdr:colOff>
      <xdr:row>1</xdr:row>
      <xdr:rowOff>0</xdr:rowOff>
    </xdr:to>
    <xdr:sp macro="" textlink="">
      <xdr:nvSpPr>
        <xdr:cNvPr id="224" name="Trapezoid 223">
          <a:extLst>
            <a:ext uri="{FF2B5EF4-FFF2-40B4-BE49-F238E27FC236}">
              <a16:creationId xmlns:a16="http://schemas.microsoft.com/office/drawing/2014/main" id="{A20AEACC-EADB-4443-BF0F-F95C6E3562FB}"/>
            </a:ext>
          </a:extLst>
        </xdr:cNvPr>
        <xdr:cNvSpPr/>
      </xdr:nvSpPr>
      <xdr:spPr>
        <a:xfrm rot="10800000">
          <a:off x="6775114" y="198120"/>
          <a:ext cx="11787206" cy="0"/>
        </a:xfrm>
        <a:prstGeom prst="trapezoid">
          <a:avLst>
            <a:gd name="adj" fmla="val 95270"/>
          </a:avLst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9</xdr:col>
      <xdr:colOff>0</xdr:colOff>
      <xdr:row>69</xdr:row>
      <xdr:rowOff>0</xdr:rowOff>
    </xdr:from>
    <xdr:ext cx="555171" cy="293916"/>
    <xdr:sp macro="" textlink="">
      <xdr:nvSpPr>
        <xdr:cNvPr id="225" name="TextBox 66">
          <a:extLst>
            <a:ext uri="{FF2B5EF4-FFF2-40B4-BE49-F238E27FC236}">
              <a16:creationId xmlns:a16="http://schemas.microsoft.com/office/drawing/2014/main" id="{23A1B124-3DB8-417F-AD02-88E4F9578E8D}"/>
            </a:ext>
          </a:extLst>
        </xdr:cNvPr>
        <xdr:cNvSpPr txBox="1"/>
      </xdr:nvSpPr>
      <xdr:spPr>
        <a:xfrm flipV="1">
          <a:off x="16535400" y="13548360"/>
          <a:ext cx="555171" cy="293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8</xdr:col>
      <xdr:colOff>152400</xdr:colOff>
      <xdr:row>60</xdr:row>
      <xdr:rowOff>0</xdr:rowOff>
    </xdr:from>
    <xdr:ext cx="555171" cy="293916"/>
    <xdr:sp macro="" textlink="">
      <xdr:nvSpPr>
        <xdr:cNvPr id="226" name="TextBox 66">
          <a:extLst>
            <a:ext uri="{FF2B5EF4-FFF2-40B4-BE49-F238E27FC236}">
              <a16:creationId xmlns:a16="http://schemas.microsoft.com/office/drawing/2014/main" id="{F2C5F35F-049E-422B-9BD0-6D80758923B3}"/>
            </a:ext>
          </a:extLst>
        </xdr:cNvPr>
        <xdr:cNvSpPr txBox="1"/>
      </xdr:nvSpPr>
      <xdr:spPr>
        <a:xfrm flipV="1">
          <a:off x="14798040" y="11704320"/>
          <a:ext cx="555171" cy="293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8</xdr:col>
      <xdr:colOff>152400</xdr:colOff>
      <xdr:row>60</xdr:row>
      <xdr:rowOff>0</xdr:rowOff>
    </xdr:from>
    <xdr:ext cx="555171" cy="293916"/>
    <xdr:sp macro="" textlink="">
      <xdr:nvSpPr>
        <xdr:cNvPr id="228" name="TextBox 66">
          <a:extLst>
            <a:ext uri="{FF2B5EF4-FFF2-40B4-BE49-F238E27FC236}">
              <a16:creationId xmlns:a16="http://schemas.microsoft.com/office/drawing/2014/main" id="{43170486-2260-41D8-B4FB-FEE7BE682680}"/>
            </a:ext>
          </a:extLst>
        </xdr:cNvPr>
        <xdr:cNvSpPr txBox="1"/>
      </xdr:nvSpPr>
      <xdr:spPr>
        <a:xfrm flipV="1">
          <a:off x="14798040" y="11704320"/>
          <a:ext cx="555171" cy="293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twoCellAnchor>
    <xdr:from>
      <xdr:col>2</xdr:col>
      <xdr:colOff>5647354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30" name="Trapezoid 229">
          <a:extLst>
            <a:ext uri="{FF2B5EF4-FFF2-40B4-BE49-F238E27FC236}">
              <a16:creationId xmlns:a16="http://schemas.microsoft.com/office/drawing/2014/main" id="{DA207CB2-FDA9-4A95-8608-EBD3077D0917}"/>
            </a:ext>
          </a:extLst>
        </xdr:cNvPr>
        <xdr:cNvSpPr/>
      </xdr:nvSpPr>
      <xdr:spPr>
        <a:xfrm rot="10800000">
          <a:off x="6775114" y="198120"/>
          <a:ext cx="11040446" cy="0"/>
        </a:xfrm>
        <a:prstGeom prst="trapezoid">
          <a:avLst>
            <a:gd name="adj" fmla="val 95270"/>
          </a:avLst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2</xdr:col>
      <xdr:colOff>228600</xdr:colOff>
      <xdr:row>60</xdr:row>
      <xdr:rowOff>0</xdr:rowOff>
    </xdr:from>
    <xdr:ext cx="65" cy="172227"/>
    <xdr:sp macro="" textlink="">
      <xdr:nvSpPr>
        <xdr:cNvPr id="235" name="TextBox 64">
          <a:extLst>
            <a:ext uri="{FF2B5EF4-FFF2-40B4-BE49-F238E27FC236}">
              <a16:creationId xmlns:a16="http://schemas.microsoft.com/office/drawing/2014/main" id="{CA00F76D-F4EF-4890-8992-84FD21D7D405}"/>
            </a:ext>
          </a:extLst>
        </xdr:cNvPr>
        <xdr:cNvSpPr txBox="1"/>
      </xdr:nvSpPr>
      <xdr:spPr>
        <a:xfrm>
          <a:off x="1358153" y="1215614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228600</xdr:colOff>
      <xdr:row>60</xdr:row>
      <xdr:rowOff>0</xdr:rowOff>
    </xdr:from>
    <xdr:ext cx="65" cy="172227"/>
    <xdr:sp macro="" textlink="">
      <xdr:nvSpPr>
        <xdr:cNvPr id="236" name="TextBox 65">
          <a:extLst>
            <a:ext uri="{FF2B5EF4-FFF2-40B4-BE49-F238E27FC236}">
              <a16:creationId xmlns:a16="http://schemas.microsoft.com/office/drawing/2014/main" id="{9D895C11-768C-4F22-B8F6-326099251AF0}"/>
            </a:ext>
          </a:extLst>
        </xdr:cNvPr>
        <xdr:cNvSpPr txBox="1"/>
      </xdr:nvSpPr>
      <xdr:spPr>
        <a:xfrm>
          <a:off x="1358153" y="1215614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228600</xdr:colOff>
      <xdr:row>60</xdr:row>
      <xdr:rowOff>0</xdr:rowOff>
    </xdr:from>
    <xdr:ext cx="65" cy="172227"/>
    <xdr:sp macro="" textlink="">
      <xdr:nvSpPr>
        <xdr:cNvPr id="237" name="TextBox 67">
          <a:extLst>
            <a:ext uri="{FF2B5EF4-FFF2-40B4-BE49-F238E27FC236}">
              <a16:creationId xmlns:a16="http://schemas.microsoft.com/office/drawing/2014/main" id="{5098FC8A-24A5-48E6-9A7D-8FC76B3C9F00}"/>
            </a:ext>
          </a:extLst>
        </xdr:cNvPr>
        <xdr:cNvSpPr txBox="1"/>
      </xdr:nvSpPr>
      <xdr:spPr>
        <a:xfrm>
          <a:off x="1358153" y="1215614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236220</xdr:colOff>
      <xdr:row>60</xdr:row>
      <xdr:rowOff>0</xdr:rowOff>
    </xdr:from>
    <xdr:ext cx="11495" cy="172227"/>
    <xdr:sp macro="" textlink="">
      <xdr:nvSpPr>
        <xdr:cNvPr id="238" name="TextBox 69">
          <a:extLst>
            <a:ext uri="{FF2B5EF4-FFF2-40B4-BE49-F238E27FC236}">
              <a16:creationId xmlns:a16="http://schemas.microsoft.com/office/drawing/2014/main" id="{B69A1B87-5BF2-48D3-AFEE-9618484A51FD}"/>
            </a:ext>
          </a:extLst>
        </xdr:cNvPr>
        <xdr:cNvSpPr txBox="1"/>
      </xdr:nvSpPr>
      <xdr:spPr>
        <a:xfrm>
          <a:off x="1365773" y="12156141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236220</xdr:colOff>
      <xdr:row>60</xdr:row>
      <xdr:rowOff>0</xdr:rowOff>
    </xdr:from>
    <xdr:ext cx="11495" cy="172227"/>
    <xdr:sp macro="" textlink="">
      <xdr:nvSpPr>
        <xdr:cNvPr id="239" name="TextBox 70">
          <a:extLst>
            <a:ext uri="{FF2B5EF4-FFF2-40B4-BE49-F238E27FC236}">
              <a16:creationId xmlns:a16="http://schemas.microsoft.com/office/drawing/2014/main" id="{BB486FF1-AE17-4BE2-9D27-6672BE0280C2}"/>
            </a:ext>
          </a:extLst>
        </xdr:cNvPr>
        <xdr:cNvSpPr txBox="1"/>
      </xdr:nvSpPr>
      <xdr:spPr>
        <a:xfrm>
          <a:off x="1365773" y="12156141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236220</xdr:colOff>
      <xdr:row>60</xdr:row>
      <xdr:rowOff>0</xdr:rowOff>
    </xdr:from>
    <xdr:ext cx="11495" cy="172227"/>
    <xdr:sp macro="" textlink="">
      <xdr:nvSpPr>
        <xdr:cNvPr id="240" name="TextBox 71">
          <a:extLst>
            <a:ext uri="{FF2B5EF4-FFF2-40B4-BE49-F238E27FC236}">
              <a16:creationId xmlns:a16="http://schemas.microsoft.com/office/drawing/2014/main" id="{B17958C5-A624-4D8C-956F-C389854FD369}"/>
            </a:ext>
          </a:extLst>
        </xdr:cNvPr>
        <xdr:cNvSpPr txBox="1"/>
      </xdr:nvSpPr>
      <xdr:spPr>
        <a:xfrm>
          <a:off x="1365773" y="12156141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236220</xdr:colOff>
      <xdr:row>60</xdr:row>
      <xdr:rowOff>0</xdr:rowOff>
    </xdr:from>
    <xdr:ext cx="11495" cy="172227"/>
    <xdr:sp macro="" textlink="">
      <xdr:nvSpPr>
        <xdr:cNvPr id="241" name="TextBox 63">
          <a:extLst>
            <a:ext uri="{FF2B5EF4-FFF2-40B4-BE49-F238E27FC236}">
              <a16:creationId xmlns:a16="http://schemas.microsoft.com/office/drawing/2014/main" id="{EC63C127-BC39-445D-9580-0D8D824064FA}"/>
            </a:ext>
          </a:extLst>
        </xdr:cNvPr>
        <xdr:cNvSpPr txBox="1"/>
      </xdr:nvSpPr>
      <xdr:spPr>
        <a:xfrm>
          <a:off x="1365773" y="12156141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228600</xdr:colOff>
      <xdr:row>60</xdr:row>
      <xdr:rowOff>0</xdr:rowOff>
    </xdr:from>
    <xdr:ext cx="65" cy="172227"/>
    <xdr:sp macro="" textlink="">
      <xdr:nvSpPr>
        <xdr:cNvPr id="242" name="TextBox 64">
          <a:extLst>
            <a:ext uri="{FF2B5EF4-FFF2-40B4-BE49-F238E27FC236}">
              <a16:creationId xmlns:a16="http://schemas.microsoft.com/office/drawing/2014/main" id="{6D206F1B-AEB2-4CA4-B648-4D13338B6102}"/>
            </a:ext>
          </a:extLst>
        </xdr:cNvPr>
        <xdr:cNvSpPr txBox="1"/>
      </xdr:nvSpPr>
      <xdr:spPr>
        <a:xfrm>
          <a:off x="1358153" y="1215614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228600</xdr:colOff>
      <xdr:row>60</xdr:row>
      <xdr:rowOff>0</xdr:rowOff>
    </xdr:from>
    <xdr:ext cx="65" cy="172227"/>
    <xdr:sp macro="" textlink="">
      <xdr:nvSpPr>
        <xdr:cNvPr id="10" name="TextBox 64">
          <a:extLst>
            <a:ext uri="{FF2B5EF4-FFF2-40B4-BE49-F238E27FC236}">
              <a16:creationId xmlns:a16="http://schemas.microsoft.com/office/drawing/2014/main" id="{64EDB5E4-21C2-4A3E-BB59-B6F9D2C441FA}"/>
            </a:ext>
          </a:extLst>
        </xdr:cNvPr>
        <xdr:cNvSpPr txBox="1"/>
      </xdr:nvSpPr>
      <xdr:spPr>
        <a:xfrm>
          <a:off x="1356360" y="118262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228600</xdr:colOff>
      <xdr:row>60</xdr:row>
      <xdr:rowOff>0</xdr:rowOff>
    </xdr:from>
    <xdr:ext cx="65" cy="172227"/>
    <xdr:sp macro="" textlink="">
      <xdr:nvSpPr>
        <xdr:cNvPr id="227" name="TextBox 65">
          <a:extLst>
            <a:ext uri="{FF2B5EF4-FFF2-40B4-BE49-F238E27FC236}">
              <a16:creationId xmlns:a16="http://schemas.microsoft.com/office/drawing/2014/main" id="{A988AF8A-8420-4746-844A-E1CAAC7CBEA8}"/>
            </a:ext>
          </a:extLst>
        </xdr:cNvPr>
        <xdr:cNvSpPr txBox="1"/>
      </xdr:nvSpPr>
      <xdr:spPr>
        <a:xfrm>
          <a:off x="1356360" y="118262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228600</xdr:colOff>
      <xdr:row>60</xdr:row>
      <xdr:rowOff>0</xdr:rowOff>
    </xdr:from>
    <xdr:ext cx="65" cy="172227"/>
    <xdr:sp macro="" textlink="">
      <xdr:nvSpPr>
        <xdr:cNvPr id="229" name="TextBox 67">
          <a:extLst>
            <a:ext uri="{FF2B5EF4-FFF2-40B4-BE49-F238E27FC236}">
              <a16:creationId xmlns:a16="http://schemas.microsoft.com/office/drawing/2014/main" id="{12DD0A59-BE90-4AB4-9DC3-56D11C3A2CBE}"/>
            </a:ext>
          </a:extLst>
        </xdr:cNvPr>
        <xdr:cNvSpPr txBox="1"/>
      </xdr:nvSpPr>
      <xdr:spPr>
        <a:xfrm>
          <a:off x="1356360" y="118262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236220</xdr:colOff>
      <xdr:row>60</xdr:row>
      <xdr:rowOff>0</xdr:rowOff>
    </xdr:from>
    <xdr:ext cx="11495" cy="172227"/>
    <xdr:sp macro="" textlink="">
      <xdr:nvSpPr>
        <xdr:cNvPr id="231" name="TextBox 69">
          <a:extLst>
            <a:ext uri="{FF2B5EF4-FFF2-40B4-BE49-F238E27FC236}">
              <a16:creationId xmlns:a16="http://schemas.microsoft.com/office/drawing/2014/main" id="{153D55E3-909F-4A13-9A87-BC4D92D5269D}"/>
            </a:ext>
          </a:extLst>
        </xdr:cNvPr>
        <xdr:cNvSpPr txBox="1"/>
      </xdr:nvSpPr>
      <xdr:spPr>
        <a:xfrm>
          <a:off x="1363980" y="11826240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236220</xdr:colOff>
      <xdr:row>60</xdr:row>
      <xdr:rowOff>0</xdr:rowOff>
    </xdr:from>
    <xdr:ext cx="11495" cy="172227"/>
    <xdr:sp macro="" textlink="">
      <xdr:nvSpPr>
        <xdr:cNvPr id="232" name="TextBox 70">
          <a:extLst>
            <a:ext uri="{FF2B5EF4-FFF2-40B4-BE49-F238E27FC236}">
              <a16:creationId xmlns:a16="http://schemas.microsoft.com/office/drawing/2014/main" id="{1A8943D4-920E-4238-B83D-98962FACF4CD}"/>
            </a:ext>
          </a:extLst>
        </xdr:cNvPr>
        <xdr:cNvSpPr txBox="1"/>
      </xdr:nvSpPr>
      <xdr:spPr>
        <a:xfrm>
          <a:off x="1363980" y="11826240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236220</xdr:colOff>
      <xdr:row>60</xdr:row>
      <xdr:rowOff>0</xdr:rowOff>
    </xdr:from>
    <xdr:ext cx="11495" cy="172227"/>
    <xdr:sp macro="" textlink="">
      <xdr:nvSpPr>
        <xdr:cNvPr id="233" name="TextBox 71">
          <a:extLst>
            <a:ext uri="{FF2B5EF4-FFF2-40B4-BE49-F238E27FC236}">
              <a16:creationId xmlns:a16="http://schemas.microsoft.com/office/drawing/2014/main" id="{D4F88EE3-001B-4295-BBE8-01137BDCC40D}"/>
            </a:ext>
          </a:extLst>
        </xdr:cNvPr>
        <xdr:cNvSpPr txBox="1"/>
      </xdr:nvSpPr>
      <xdr:spPr>
        <a:xfrm>
          <a:off x="1363980" y="11826240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236220</xdr:colOff>
      <xdr:row>60</xdr:row>
      <xdr:rowOff>0</xdr:rowOff>
    </xdr:from>
    <xdr:ext cx="11495" cy="172227"/>
    <xdr:sp macro="" textlink="">
      <xdr:nvSpPr>
        <xdr:cNvPr id="234" name="TextBox 63">
          <a:extLst>
            <a:ext uri="{FF2B5EF4-FFF2-40B4-BE49-F238E27FC236}">
              <a16:creationId xmlns:a16="http://schemas.microsoft.com/office/drawing/2014/main" id="{246CB39E-0A3B-454F-A4E0-11B7FA6997E1}"/>
            </a:ext>
          </a:extLst>
        </xdr:cNvPr>
        <xdr:cNvSpPr txBox="1"/>
      </xdr:nvSpPr>
      <xdr:spPr>
        <a:xfrm>
          <a:off x="1363980" y="11826240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228600</xdr:colOff>
      <xdr:row>60</xdr:row>
      <xdr:rowOff>0</xdr:rowOff>
    </xdr:from>
    <xdr:ext cx="65" cy="172227"/>
    <xdr:sp macro="" textlink="">
      <xdr:nvSpPr>
        <xdr:cNvPr id="243" name="TextBox 64">
          <a:extLst>
            <a:ext uri="{FF2B5EF4-FFF2-40B4-BE49-F238E27FC236}">
              <a16:creationId xmlns:a16="http://schemas.microsoft.com/office/drawing/2014/main" id="{C953E1B7-055E-447C-99B6-58EE9807249A}"/>
            </a:ext>
          </a:extLst>
        </xdr:cNvPr>
        <xdr:cNvSpPr txBox="1"/>
      </xdr:nvSpPr>
      <xdr:spPr>
        <a:xfrm>
          <a:off x="1356360" y="118262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3</xdr:col>
      <xdr:colOff>228600</xdr:colOff>
      <xdr:row>58</xdr:row>
      <xdr:rowOff>0</xdr:rowOff>
    </xdr:from>
    <xdr:ext cx="65" cy="172227"/>
    <xdr:sp macro="" textlink="">
      <xdr:nvSpPr>
        <xdr:cNvPr id="244" name="TextBox 64">
          <a:extLst>
            <a:ext uri="{FF2B5EF4-FFF2-40B4-BE49-F238E27FC236}">
              <a16:creationId xmlns:a16="http://schemas.microsoft.com/office/drawing/2014/main" id="{C83712C2-2EE5-45A2-B805-DEDF13D4235E}"/>
            </a:ext>
          </a:extLst>
        </xdr:cNvPr>
        <xdr:cNvSpPr txBox="1"/>
      </xdr:nvSpPr>
      <xdr:spPr>
        <a:xfrm>
          <a:off x="8831580" y="11430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3</xdr:col>
      <xdr:colOff>228600</xdr:colOff>
      <xdr:row>58</xdr:row>
      <xdr:rowOff>0</xdr:rowOff>
    </xdr:from>
    <xdr:ext cx="65" cy="172227"/>
    <xdr:sp macro="" textlink="">
      <xdr:nvSpPr>
        <xdr:cNvPr id="245" name="TextBox 65">
          <a:extLst>
            <a:ext uri="{FF2B5EF4-FFF2-40B4-BE49-F238E27FC236}">
              <a16:creationId xmlns:a16="http://schemas.microsoft.com/office/drawing/2014/main" id="{B2ECC3F0-C9A1-4CFC-AC0C-A7C47DDDC77B}"/>
            </a:ext>
          </a:extLst>
        </xdr:cNvPr>
        <xdr:cNvSpPr txBox="1"/>
      </xdr:nvSpPr>
      <xdr:spPr>
        <a:xfrm>
          <a:off x="8831580" y="11430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3</xdr:col>
      <xdr:colOff>228600</xdr:colOff>
      <xdr:row>58</xdr:row>
      <xdr:rowOff>0</xdr:rowOff>
    </xdr:from>
    <xdr:ext cx="65" cy="172227"/>
    <xdr:sp macro="" textlink="">
      <xdr:nvSpPr>
        <xdr:cNvPr id="246" name="TextBox 67">
          <a:extLst>
            <a:ext uri="{FF2B5EF4-FFF2-40B4-BE49-F238E27FC236}">
              <a16:creationId xmlns:a16="http://schemas.microsoft.com/office/drawing/2014/main" id="{0EF41700-920D-44BA-BD65-FCC3F3B4E742}"/>
            </a:ext>
          </a:extLst>
        </xdr:cNvPr>
        <xdr:cNvSpPr txBox="1"/>
      </xdr:nvSpPr>
      <xdr:spPr>
        <a:xfrm>
          <a:off x="8831580" y="11430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3</xdr:col>
      <xdr:colOff>236220</xdr:colOff>
      <xdr:row>58</xdr:row>
      <xdr:rowOff>0</xdr:rowOff>
    </xdr:from>
    <xdr:ext cx="11495" cy="172227"/>
    <xdr:sp macro="" textlink="">
      <xdr:nvSpPr>
        <xdr:cNvPr id="247" name="TextBox 69">
          <a:extLst>
            <a:ext uri="{FF2B5EF4-FFF2-40B4-BE49-F238E27FC236}">
              <a16:creationId xmlns:a16="http://schemas.microsoft.com/office/drawing/2014/main" id="{45897A7A-F675-433B-9D13-2FB12D507CAF}"/>
            </a:ext>
          </a:extLst>
        </xdr:cNvPr>
        <xdr:cNvSpPr txBox="1"/>
      </xdr:nvSpPr>
      <xdr:spPr>
        <a:xfrm>
          <a:off x="8839200" y="11430000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3</xdr:col>
      <xdr:colOff>236220</xdr:colOff>
      <xdr:row>58</xdr:row>
      <xdr:rowOff>0</xdr:rowOff>
    </xdr:from>
    <xdr:ext cx="11495" cy="172227"/>
    <xdr:sp macro="" textlink="">
      <xdr:nvSpPr>
        <xdr:cNvPr id="248" name="TextBox 70">
          <a:extLst>
            <a:ext uri="{FF2B5EF4-FFF2-40B4-BE49-F238E27FC236}">
              <a16:creationId xmlns:a16="http://schemas.microsoft.com/office/drawing/2014/main" id="{5D158AC4-865B-4287-ABD9-15D2E4E379AA}"/>
            </a:ext>
          </a:extLst>
        </xdr:cNvPr>
        <xdr:cNvSpPr txBox="1"/>
      </xdr:nvSpPr>
      <xdr:spPr>
        <a:xfrm>
          <a:off x="8839200" y="11430000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3</xdr:col>
      <xdr:colOff>236220</xdr:colOff>
      <xdr:row>58</xdr:row>
      <xdr:rowOff>0</xdr:rowOff>
    </xdr:from>
    <xdr:ext cx="11495" cy="172227"/>
    <xdr:sp macro="" textlink="">
      <xdr:nvSpPr>
        <xdr:cNvPr id="249" name="TextBox 71">
          <a:extLst>
            <a:ext uri="{FF2B5EF4-FFF2-40B4-BE49-F238E27FC236}">
              <a16:creationId xmlns:a16="http://schemas.microsoft.com/office/drawing/2014/main" id="{3ADB974F-9D5E-4FE1-9120-C980DAED7A70}"/>
            </a:ext>
          </a:extLst>
        </xdr:cNvPr>
        <xdr:cNvSpPr txBox="1"/>
      </xdr:nvSpPr>
      <xdr:spPr>
        <a:xfrm>
          <a:off x="8839200" y="11430000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3</xdr:col>
      <xdr:colOff>236220</xdr:colOff>
      <xdr:row>58</xdr:row>
      <xdr:rowOff>0</xdr:rowOff>
    </xdr:from>
    <xdr:ext cx="11495" cy="172227"/>
    <xdr:sp macro="" textlink="">
      <xdr:nvSpPr>
        <xdr:cNvPr id="250" name="TextBox 63">
          <a:extLst>
            <a:ext uri="{FF2B5EF4-FFF2-40B4-BE49-F238E27FC236}">
              <a16:creationId xmlns:a16="http://schemas.microsoft.com/office/drawing/2014/main" id="{02506516-5747-4D45-A408-8D7A6E42857A}"/>
            </a:ext>
          </a:extLst>
        </xdr:cNvPr>
        <xdr:cNvSpPr txBox="1"/>
      </xdr:nvSpPr>
      <xdr:spPr>
        <a:xfrm>
          <a:off x="8839200" y="11430000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3</xdr:col>
      <xdr:colOff>228600</xdr:colOff>
      <xdr:row>58</xdr:row>
      <xdr:rowOff>0</xdr:rowOff>
    </xdr:from>
    <xdr:ext cx="65" cy="172227"/>
    <xdr:sp macro="" textlink="">
      <xdr:nvSpPr>
        <xdr:cNvPr id="251" name="TextBox 64">
          <a:extLst>
            <a:ext uri="{FF2B5EF4-FFF2-40B4-BE49-F238E27FC236}">
              <a16:creationId xmlns:a16="http://schemas.microsoft.com/office/drawing/2014/main" id="{8097BFBF-A833-4498-A965-5D35F054D250}"/>
            </a:ext>
          </a:extLst>
        </xdr:cNvPr>
        <xdr:cNvSpPr txBox="1"/>
      </xdr:nvSpPr>
      <xdr:spPr>
        <a:xfrm>
          <a:off x="8831580" y="11430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161925</xdr:colOff>
      <xdr:row>50</xdr:row>
      <xdr:rowOff>0</xdr:rowOff>
    </xdr:from>
    <xdr:ext cx="800100" cy="4082"/>
    <xdr:pic>
      <xdr:nvPicPr>
        <xdr:cNvPr id="252" name="Picture 5">
          <a:extLst>
            <a:ext uri="{FF2B5EF4-FFF2-40B4-BE49-F238E27FC236}">
              <a16:creationId xmlns:a16="http://schemas.microsoft.com/office/drawing/2014/main" id="{544EDC1A-484B-4A53-9456-F6F32E984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9685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368445"/>
    <xdr:pic>
      <xdr:nvPicPr>
        <xdr:cNvPr id="253" name="Picture 5">
          <a:extLst>
            <a:ext uri="{FF2B5EF4-FFF2-40B4-BE49-F238E27FC236}">
              <a16:creationId xmlns:a16="http://schemas.microsoft.com/office/drawing/2014/main" id="{49C61882-D1A1-4479-A1A5-92205C0E5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368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368445"/>
    <xdr:pic>
      <xdr:nvPicPr>
        <xdr:cNvPr id="254" name="Picture 5">
          <a:extLst>
            <a:ext uri="{FF2B5EF4-FFF2-40B4-BE49-F238E27FC236}">
              <a16:creationId xmlns:a16="http://schemas.microsoft.com/office/drawing/2014/main" id="{2157FC5C-AFF5-4469-9CA5-51AF7FAA6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368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28575"/>
    <xdr:pic>
      <xdr:nvPicPr>
        <xdr:cNvPr id="255" name="Picture 19">
          <a:extLst>
            <a:ext uri="{FF2B5EF4-FFF2-40B4-BE49-F238E27FC236}">
              <a16:creationId xmlns:a16="http://schemas.microsoft.com/office/drawing/2014/main" id="{575048A1-3B25-4210-943F-A0A0F7C80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28575"/>
    <xdr:pic>
      <xdr:nvPicPr>
        <xdr:cNvPr id="256" name="Picture 4">
          <a:extLst>
            <a:ext uri="{FF2B5EF4-FFF2-40B4-BE49-F238E27FC236}">
              <a16:creationId xmlns:a16="http://schemas.microsoft.com/office/drawing/2014/main" id="{4BEFD144-3BD8-4F86-8645-117FFA6F7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368445"/>
    <xdr:pic>
      <xdr:nvPicPr>
        <xdr:cNvPr id="257" name="Picture 5">
          <a:extLst>
            <a:ext uri="{FF2B5EF4-FFF2-40B4-BE49-F238E27FC236}">
              <a16:creationId xmlns:a16="http://schemas.microsoft.com/office/drawing/2014/main" id="{161D9DED-8893-4746-B083-4AB4B9028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368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368445"/>
    <xdr:pic>
      <xdr:nvPicPr>
        <xdr:cNvPr id="258" name="Picture 5">
          <a:extLst>
            <a:ext uri="{FF2B5EF4-FFF2-40B4-BE49-F238E27FC236}">
              <a16:creationId xmlns:a16="http://schemas.microsoft.com/office/drawing/2014/main" id="{9E8FB597-FABF-4091-974C-454F0103A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368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19050"/>
    <xdr:pic>
      <xdr:nvPicPr>
        <xdr:cNvPr id="259" name="Picture 24">
          <a:extLst>
            <a:ext uri="{FF2B5EF4-FFF2-40B4-BE49-F238E27FC236}">
              <a16:creationId xmlns:a16="http://schemas.microsoft.com/office/drawing/2014/main" id="{033B726A-020E-4DFE-A82E-164122DBC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19050"/>
    <xdr:pic>
      <xdr:nvPicPr>
        <xdr:cNvPr id="260" name="Picture 5">
          <a:extLst>
            <a:ext uri="{FF2B5EF4-FFF2-40B4-BE49-F238E27FC236}">
              <a16:creationId xmlns:a16="http://schemas.microsoft.com/office/drawing/2014/main" id="{87117ED6-4366-426C-AFE6-0A58DB0C3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104775"/>
    <xdr:pic>
      <xdr:nvPicPr>
        <xdr:cNvPr id="261" name="Picture 5">
          <a:extLst>
            <a:ext uri="{FF2B5EF4-FFF2-40B4-BE49-F238E27FC236}">
              <a16:creationId xmlns:a16="http://schemas.microsoft.com/office/drawing/2014/main" id="{303378CE-9751-4267-8FCD-7F577BE99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368445"/>
    <xdr:pic>
      <xdr:nvPicPr>
        <xdr:cNvPr id="262" name="Picture 5">
          <a:extLst>
            <a:ext uri="{FF2B5EF4-FFF2-40B4-BE49-F238E27FC236}">
              <a16:creationId xmlns:a16="http://schemas.microsoft.com/office/drawing/2014/main" id="{1C06AAC8-353C-47C6-9CA9-EE26C82A2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368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368445"/>
    <xdr:pic>
      <xdr:nvPicPr>
        <xdr:cNvPr id="263" name="Picture 5">
          <a:extLst>
            <a:ext uri="{FF2B5EF4-FFF2-40B4-BE49-F238E27FC236}">
              <a16:creationId xmlns:a16="http://schemas.microsoft.com/office/drawing/2014/main" id="{E126849C-828F-4960-A908-EC6C262F3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368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264" name="Picture 5">
          <a:extLst>
            <a:ext uri="{FF2B5EF4-FFF2-40B4-BE49-F238E27FC236}">
              <a16:creationId xmlns:a16="http://schemas.microsoft.com/office/drawing/2014/main" id="{AEBC5C01-D076-464C-85EB-ACD191980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265" name="Picture 13">
          <a:extLst>
            <a:ext uri="{FF2B5EF4-FFF2-40B4-BE49-F238E27FC236}">
              <a16:creationId xmlns:a16="http://schemas.microsoft.com/office/drawing/2014/main" id="{09E2E7A9-ECD5-4E31-A75A-3A876D883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266" name="Picture 5">
          <a:extLst>
            <a:ext uri="{FF2B5EF4-FFF2-40B4-BE49-F238E27FC236}">
              <a16:creationId xmlns:a16="http://schemas.microsoft.com/office/drawing/2014/main" id="{0CB7B74A-A6FA-4D91-9FD7-CBAD0BC14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267" name="Picture 5">
          <a:extLst>
            <a:ext uri="{FF2B5EF4-FFF2-40B4-BE49-F238E27FC236}">
              <a16:creationId xmlns:a16="http://schemas.microsoft.com/office/drawing/2014/main" id="{66049ABD-A58C-4955-9E3D-20E1842AC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268" name="Picture 5">
          <a:extLst>
            <a:ext uri="{FF2B5EF4-FFF2-40B4-BE49-F238E27FC236}">
              <a16:creationId xmlns:a16="http://schemas.microsoft.com/office/drawing/2014/main" id="{08A79462-955E-4E60-AFC4-F38D5E593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269" name="Picture 5">
          <a:extLst>
            <a:ext uri="{FF2B5EF4-FFF2-40B4-BE49-F238E27FC236}">
              <a16:creationId xmlns:a16="http://schemas.microsoft.com/office/drawing/2014/main" id="{BB403AF4-2D99-40B9-97EE-C8D02D71A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270" name="Picture 5">
          <a:extLst>
            <a:ext uri="{FF2B5EF4-FFF2-40B4-BE49-F238E27FC236}">
              <a16:creationId xmlns:a16="http://schemas.microsoft.com/office/drawing/2014/main" id="{FC53715E-15EC-4C84-B141-2C93CF04D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271" name="Picture 13">
          <a:extLst>
            <a:ext uri="{FF2B5EF4-FFF2-40B4-BE49-F238E27FC236}">
              <a16:creationId xmlns:a16="http://schemas.microsoft.com/office/drawing/2014/main" id="{5E57E43E-8FD2-41FD-8D20-96F3D9816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272" name="Picture 5">
          <a:extLst>
            <a:ext uri="{FF2B5EF4-FFF2-40B4-BE49-F238E27FC236}">
              <a16:creationId xmlns:a16="http://schemas.microsoft.com/office/drawing/2014/main" id="{FB2A9B67-4A0D-4A0A-B2C8-087BDFDE6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273" name="Picture 5">
          <a:extLst>
            <a:ext uri="{FF2B5EF4-FFF2-40B4-BE49-F238E27FC236}">
              <a16:creationId xmlns:a16="http://schemas.microsoft.com/office/drawing/2014/main" id="{4B1BDF0B-3581-49F8-B450-407604D7F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274" name="Picture 5">
          <a:extLst>
            <a:ext uri="{FF2B5EF4-FFF2-40B4-BE49-F238E27FC236}">
              <a16:creationId xmlns:a16="http://schemas.microsoft.com/office/drawing/2014/main" id="{855B1C89-FE23-4160-9042-739FC96D5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275" name="Picture 5">
          <a:extLst>
            <a:ext uri="{FF2B5EF4-FFF2-40B4-BE49-F238E27FC236}">
              <a16:creationId xmlns:a16="http://schemas.microsoft.com/office/drawing/2014/main" id="{06FEEDF0-3089-4C56-9D14-F813ADB1C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276" name="Picture 5">
          <a:extLst>
            <a:ext uri="{FF2B5EF4-FFF2-40B4-BE49-F238E27FC236}">
              <a16:creationId xmlns:a16="http://schemas.microsoft.com/office/drawing/2014/main" id="{D58588C3-3E38-4F79-89C8-590248554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277" name="Picture 13">
          <a:extLst>
            <a:ext uri="{FF2B5EF4-FFF2-40B4-BE49-F238E27FC236}">
              <a16:creationId xmlns:a16="http://schemas.microsoft.com/office/drawing/2014/main" id="{F4919360-218D-482C-96B3-8D3FB5470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278" name="Picture 5">
          <a:extLst>
            <a:ext uri="{FF2B5EF4-FFF2-40B4-BE49-F238E27FC236}">
              <a16:creationId xmlns:a16="http://schemas.microsoft.com/office/drawing/2014/main" id="{623F0439-1E9D-48C1-95BC-57443C879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279" name="Picture 5">
          <a:extLst>
            <a:ext uri="{FF2B5EF4-FFF2-40B4-BE49-F238E27FC236}">
              <a16:creationId xmlns:a16="http://schemas.microsoft.com/office/drawing/2014/main" id="{E9ED534A-23C3-4709-A500-2C3A612BF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280" name="Picture 5">
          <a:extLst>
            <a:ext uri="{FF2B5EF4-FFF2-40B4-BE49-F238E27FC236}">
              <a16:creationId xmlns:a16="http://schemas.microsoft.com/office/drawing/2014/main" id="{342BABDF-5EB1-421B-9E5A-D5EE4CA88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281" name="Picture 5">
          <a:extLst>
            <a:ext uri="{FF2B5EF4-FFF2-40B4-BE49-F238E27FC236}">
              <a16:creationId xmlns:a16="http://schemas.microsoft.com/office/drawing/2014/main" id="{A1FEA187-03E1-4810-8C2A-181D9A877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282" name="Picture 5">
          <a:extLst>
            <a:ext uri="{FF2B5EF4-FFF2-40B4-BE49-F238E27FC236}">
              <a16:creationId xmlns:a16="http://schemas.microsoft.com/office/drawing/2014/main" id="{170C595A-FF96-4D09-AE1B-D53208880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283" name="Picture 13">
          <a:extLst>
            <a:ext uri="{FF2B5EF4-FFF2-40B4-BE49-F238E27FC236}">
              <a16:creationId xmlns:a16="http://schemas.microsoft.com/office/drawing/2014/main" id="{EF2F37E1-126D-4F3A-9F33-FFEC9ADD5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284" name="Picture 5">
          <a:extLst>
            <a:ext uri="{FF2B5EF4-FFF2-40B4-BE49-F238E27FC236}">
              <a16:creationId xmlns:a16="http://schemas.microsoft.com/office/drawing/2014/main" id="{1D293D2F-DEDF-464B-BA79-684C16332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285" name="Picture 5">
          <a:extLst>
            <a:ext uri="{FF2B5EF4-FFF2-40B4-BE49-F238E27FC236}">
              <a16:creationId xmlns:a16="http://schemas.microsoft.com/office/drawing/2014/main" id="{387E0EF7-A49B-4846-AB12-13A87287A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286" name="Picture 5">
          <a:extLst>
            <a:ext uri="{FF2B5EF4-FFF2-40B4-BE49-F238E27FC236}">
              <a16:creationId xmlns:a16="http://schemas.microsoft.com/office/drawing/2014/main" id="{501EFCD9-0930-445A-8FED-7C81699FB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287" name="Picture 5">
          <a:extLst>
            <a:ext uri="{FF2B5EF4-FFF2-40B4-BE49-F238E27FC236}">
              <a16:creationId xmlns:a16="http://schemas.microsoft.com/office/drawing/2014/main" id="{68D58D73-F383-4A80-8CF9-E5B107D4F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288" name="Picture 5">
          <a:extLst>
            <a:ext uri="{FF2B5EF4-FFF2-40B4-BE49-F238E27FC236}">
              <a16:creationId xmlns:a16="http://schemas.microsoft.com/office/drawing/2014/main" id="{C3C7C1F1-7180-4829-ABCA-F7F29AD44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289" name="Picture 13">
          <a:extLst>
            <a:ext uri="{FF2B5EF4-FFF2-40B4-BE49-F238E27FC236}">
              <a16:creationId xmlns:a16="http://schemas.microsoft.com/office/drawing/2014/main" id="{E01D2565-515D-4881-A2CE-F79D4F4EE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290" name="Picture 5">
          <a:extLst>
            <a:ext uri="{FF2B5EF4-FFF2-40B4-BE49-F238E27FC236}">
              <a16:creationId xmlns:a16="http://schemas.microsoft.com/office/drawing/2014/main" id="{60EBF64D-F451-4D57-B79C-C83E2ED14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291" name="Picture 5">
          <a:extLst>
            <a:ext uri="{FF2B5EF4-FFF2-40B4-BE49-F238E27FC236}">
              <a16:creationId xmlns:a16="http://schemas.microsoft.com/office/drawing/2014/main" id="{2147F3A7-4D71-4421-A2A2-C6285E471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292" name="Picture 5">
          <a:extLst>
            <a:ext uri="{FF2B5EF4-FFF2-40B4-BE49-F238E27FC236}">
              <a16:creationId xmlns:a16="http://schemas.microsoft.com/office/drawing/2014/main" id="{68F60ACC-025A-4812-9B69-2620ABFC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293" name="Picture 5">
          <a:extLst>
            <a:ext uri="{FF2B5EF4-FFF2-40B4-BE49-F238E27FC236}">
              <a16:creationId xmlns:a16="http://schemas.microsoft.com/office/drawing/2014/main" id="{F7C4BB0D-A255-499D-9109-50CF5115A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294" name="Picture 5">
          <a:extLst>
            <a:ext uri="{FF2B5EF4-FFF2-40B4-BE49-F238E27FC236}">
              <a16:creationId xmlns:a16="http://schemas.microsoft.com/office/drawing/2014/main" id="{01A89662-A280-437A-891D-AF00EE920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295" name="Picture 13">
          <a:extLst>
            <a:ext uri="{FF2B5EF4-FFF2-40B4-BE49-F238E27FC236}">
              <a16:creationId xmlns:a16="http://schemas.microsoft.com/office/drawing/2014/main" id="{BE05E97F-F44F-459B-809C-F946AE3B1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296" name="Picture 5">
          <a:extLst>
            <a:ext uri="{FF2B5EF4-FFF2-40B4-BE49-F238E27FC236}">
              <a16:creationId xmlns:a16="http://schemas.microsoft.com/office/drawing/2014/main" id="{AC59E7A0-0D10-4DA2-B4B5-D06A8B827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297" name="Picture 5">
          <a:extLst>
            <a:ext uri="{FF2B5EF4-FFF2-40B4-BE49-F238E27FC236}">
              <a16:creationId xmlns:a16="http://schemas.microsoft.com/office/drawing/2014/main" id="{A49BD096-3CD7-4646-81CB-A14DD77CA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298" name="Picture 5">
          <a:extLst>
            <a:ext uri="{FF2B5EF4-FFF2-40B4-BE49-F238E27FC236}">
              <a16:creationId xmlns:a16="http://schemas.microsoft.com/office/drawing/2014/main" id="{22826850-C345-48F4-9410-F068A1A19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299" name="Picture 5">
          <a:extLst>
            <a:ext uri="{FF2B5EF4-FFF2-40B4-BE49-F238E27FC236}">
              <a16:creationId xmlns:a16="http://schemas.microsoft.com/office/drawing/2014/main" id="{EC4ADE1E-70E4-401F-A41A-2FAA39A4B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300" name="Picture 5">
          <a:extLst>
            <a:ext uri="{FF2B5EF4-FFF2-40B4-BE49-F238E27FC236}">
              <a16:creationId xmlns:a16="http://schemas.microsoft.com/office/drawing/2014/main" id="{9CC5290B-BEB1-4EB6-9F82-073A90BB8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301" name="Picture 13">
          <a:extLst>
            <a:ext uri="{FF2B5EF4-FFF2-40B4-BE49-F238E27FC236}">
              <a16:creationId xmlns:a16="http://schemas.microsoft.com/office/drawing/2014/main" id="{72C33B9D-1997-4339-B90D-1F449722E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302" name="Picture 5">
          <a:extLst>
            <a:ext uri="{FF2B5EF4-FFF2-40B4-BE49-F238E27FC236}">
              <a16:creationId xmlns:a16="http://schemas.microsoft.com/office/drawing/2014/main" id="{4902B4E9-3A3F-450A-BC3C-ABDCD2CBE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303" name="Picture 5">
          <a:extLst>
            <a:ext uri="{FF2B5EF4-FFF2-40B4-BE49-F238E27FC236}">
              <a16:creationId xmlns:a16="http://schemas.microsoft.com/office/drawing/2014/main" id="{19869C37-8EBA-4DC0-86FA-E11380A58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304" name="Picture 5">
          <a:extLst>
            <a:ext uri="{FF2B5EF4-FFF2-40B4-BE49-F238E27FC236}">
              <a16:creationId xmlns:a16="http://schemas.microsoft.com/office/drawing/2014/main" id="{4D82695A-E347-4812-949C-85E709D0B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305" name="Picture 5">
          <a:extLst>
            <a:ext uri="{FF2B5EF4-FFF2-40B4-BE49-F238E27FC236}">
              <a16:creationId xmlns:a16="http://schemas.microsoft.com/office/drawing/2014/main" id="{2DA7B40A-3964-499F-BC37-7360475A9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306" name="Picture 5">
          <a:extLst>
            <a:ext uri="{FF2B5EF4-FFF2-40B4-BE49-F238E27FC236}">
              <a16:creationId xmlns:a16="http://schemas.microsoft.com/office/drawing/2014/main" id="{A39BD876-7AFE-4C52-BFC1-4F7F5EC2D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307" name="Picture 13">
          <a:extLst>
            <a:ext uri="{FF2B5EF4-FFF2-40B4-BE49-F238E27FC236}">
              <a16:creationId xmlns:a16="http://schemas.microsoft.com/office/drawing/2014/main" id="{CC2FBDC0-8BEF-48D3-A49F-A1286C542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308" name="Picture 5">
          <a:extLst>
            <a:ext uri="{FF2B5EF4-FFF2-40B4-BE49-F238E27FC236}">
              <a16:creationId xmlns:a16="http://schemas.microsoft.com/office/drawing/2014/main" id="{C1D5B3D7-ED04-4A94-A5BA-29FAA9FB9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309" name="Picture 5">
          <a:extLst>
            <a:ext uri="{FF2B5EF4-FFF2-40B4-BE49-F238E27FC236}">
              <a16:creationId xmlns:a16="http://schemas.microsoft.com/office/drawing/2014/main" id="{061C8C13-F417-4375-B938-8656E0905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310" name="Picture 5">
          <a:extLst>
            <a:ext uri="{FF2B5EF4-FFF2-40B4-BE49-F238E27FC236}">
              <a16:creationId xmlns:a16="http://schemas.microsoft.com/office/drawing/2014/main" id="{D1B13BA2-DA91-4F18-A2AB-CB286E371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311" name="Picture 5">
          <a:extLst>
            <a:ext uri="{FF2B5EF4-FFF2-40B4-BE49-F238E27FC236}">
              <a16:creationId xmlns:a16="http://schemas.microsoft.com/office/drawing/2014/main" id="{6F157C07-888F-4A36-9353-5C2967746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312" name="Picture 5">
          <a:extLst>
            <a:ext uri="{FF2B5EF4-FFF2-40B4-BE49-F238E27FC236}">
              <a16:creationId xmlns:a16="http://schemas.microsoft.com/office/drawing/2014/main" id="{0DA646FC-EB2E-4DB5-B375-CE6EC3775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313" name="Picture 13">
          <a:extLst>
            <a:ext uri="{FF2B5EF4-FFF2-40B4-BE49-F238E27FC236}">
              <a16:creationId xmlns:a16="http://schemas.microsoft.com/office/drawing/2014/main" id="{97C61637-75D4-4BD0-AD9C-E7F56D529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314" name="Picture 5">
          <a:extLst>
            <a:ext uri="{FF2B5EF4-FFF2-40B4-BE49-F238E27FC236}">
              <a16:creationId xmlns:a16="http://schemas.microsoft.com/office/drawing/2014/main" id="{4B62BA86-0008-43FF-9A3B-524775410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315" name="Picture 5">
          <a:extLst>
            <a:ext uri="{FF2B5EF4-FFF2-40B4-BE49-F238E27FC236}">
              <a16:creationId xmlns:a16="http://schemas.microsoft.com/office/drawing/2014/main" id="{BFFC8244-2101-44C1-821C-A891E091F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316" name="Picture 5">
          <a:extLst>
            <a:ext uri="{FF2B5EF4-FFF2-40B4-BE49-F238E27FC236}">
              <a16:creationId xmlns:a16="http://schemas.microsoft.com/office/drawing/2014/main" id="{3FF032A8-50A4-4E5D-BF9E-7FF12B102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317" name="Picture 5">
          <a:extLst>
            <a:ext uri="{FF2B5EF4-FFF2-40B4-BE49-F238E27FC236}">
              <a16:creationId xmlns:a16="http://schemas.microsoft.com/office/drawing/2014/main" id="{A1F3538C-CEA4-483B-B72C-DDF99E22A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318" name="Picture 5">
          <a:extLst>
            <a:ext uri="{FF2B5EF4-FFF2-40B4-BE49-F238E27FC236}">
              <a16:creationId xmlns:a16="http://schemas.microsoft.com/office/drawing/2014/main" id="{14C3A8FB-1AA9-44C2-A029-F60B1DB3A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319" name="Picture 13">
          <a:extLst>
            <a:ext uri="{FF2B5EF4-FFF2-40B4-BE49-F238E27FC236}">
              <a16:creationId xmlns:a16="http://schemas.microsoft.com/office/drawing/2014/main" id="{03160FCA-6B07-4BEE-8121-F5113D29B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320" name="Picture 5">
          <a:extLst>
            <a:ext uri="{FF2B5EF4-FFF2-40B4-BE49-F238E27FC236}">
              <a16:creationId xmlns:a16="http://schemas.microsoft.com/office/drawing/2014/main" id="{1F679231-49D2-4CAB-8871-54EE64D42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321" name="Picture 5">
          <a:extLst>
            <a:ext uri="{FF2B5EF4-FFF2-40B4-BE49-F238E27FC236}">
              <a16:creationId xmlns:a16="http://schemas.microsoft.com/office/drawing/2014/main" id="{73782350-BBEE-4537-AC78-AD9F62B24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322" name="Picture 5">
          <a:extLst>
            <a:ext uri="{FF2B5EF4-FFF2-40B4-BE49-F238E27FC236}">
              <a16:creationId xmlns:a16="http://schemas.microsoft.com/office/drawing/2014/main" id="{4AE4C721-83A1-4E4E-905D-D0845F9CD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323" name="Picture 5">
          <a:extLst>
            <a:ext uri="{FF2B5EF4-FFF2-40B4-BE49-F238E27FC236}">
              <a16:creationId xmlns:a16="http://schemas.microsoft.com/office/drawing/2014/main" id="{DA6F8720-2E73-4EAC-9685-C95D4F6F4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324" name="Picture 5">
          <a:extLst>
            <a:ext uri="{FF2B5EF4-FFF2-40B4-BE49-F238E27FC236}">
              <a16:creationId xmlns:a16="http://schemas.microsoft.com/office/drawing/2014/main" id="{67E0D9BE-5F55-45D6-8629-486D4DEF7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325" name="Picture 13">
          <a:extLst>
            <a:ext uri="{FF2B5EF4-FFF2-40B4-BE49-F238E27FC236}">
              <a16:creationId xmlns:a16="http://schemas.microsoft.com/office/drawing/2014/main" id="{80BF2B25-189B-4767-9600-DEE7DED54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326" name="Picture 5">
          <a:extLst>
            <a:ext uri="{FF2B5EF4-FFF2-40B4-BE49-F238E27FC236}">
              <a16:creationId xmlns:a16="http://schemas.microsoft.com/office/drawing/2014/main" id="{13132E07-220F-480A-9AA2-944B91F08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327" name="Picture 5">
          <a:extLst>
            <a:ext uri="{FF2B5EF4-FFF2-40B4-BE49-F238E27FC236}">
              <a16:creationId xmlns:a16="http://schemas.microsoft.com/office/drawing/2014/main" id="{460E3A14-EDAC-4A3E-97A6-EE783A11D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328" name="Picture 5">
          <a:extLst>
            <a:ext uri="{FF2B5EF4-FFF2-40B4-BE49-F238E27FC236}">
              <a16:creationId xmlns:a16="http://schemas.microsoft.com/office/drawing/2014/main" id="{CC7CFEDC-F976-481A-A793-55689E3B0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329" name="Picture 5">
          <a:extLst>
            <a:ext uri="{FF2B5EF4-FFF2-40B4-BE49-F238E27FC236}">
              <a16:creationId xmlns:a16="http://schemas.microsoft.com/office/drawing/2014/main" id="{00BB52CE-0799-4126-BD36-F39DC0F54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330" name="Picture 5">
          <a:extLst>
            <a:ext uri="{FF2B5EF4-FFF2-40B4-BE49-F238E27FC236}">
              <a16:creationId xmlns:a16="http://schemas.microsoft.com/office/drawing/2014/main" id="{6412ADE2-C373-42E5-96CF-40475BBF1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331" name="Picture 13">
          <a:extLst>
            <a:ext uri="{FF2B5EF4-FFF2-40B4-BE49-F238E27FC236}">
              <a16:creationId xmlns:a16="http://schemas.microsoft.com/office/drawing/2014/main" id="{9D24B22B-55A2-4593-A216-536BE03F4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332" name="Picture 5">
          <a:extLst>
            <a:ext uri="{FF2B5EF4-FFF2-40B4-BE49-F238E27FC236}">
              <a16:creationId xmlns:a16="http://schemas.microsoft.com/office/drawing/2014/main" id="{D297BE2A-1415-483F-99CB-9938D980B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333" name="Picture 5">
          <a:extLst>
            <a:ext uri="{FF2B5EF4-FFF2-40B4-BE49-F238E27FC236}">
              <a16:creationId xmlns:a16="http://schemas.microsoft.com/office/drawing/2014/main" id="{1A41FDF0-CCD1-4111-AF31-1B5658E99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334" name="Picture 5">
          <a:extLst>
            <a:ext uri="{FF2B5EF4-FFF2-40B4-BE49-F238E27FC236}">
              <a16:creationId xmlns:a16="http://schemas.microsoft.com/office/drawing/2014/main" id="{6A9F4866-6D21-4006-A642-BDDB2D8D9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335" name="Picture 5">
          <a:extLst>
            <a:ext uri="{FF2B5EF4-FFF2-40B4-BE49-F238E27FC236}">
              <a16:creationId xmlns:a16="http://schemas.microsoft.com/office/drawing/2014/main" id="{2D677C66-3FC2-4420-A1FC-331C5A7CB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336" name="Picture 5">
          <a:extLst>
            <a:ext uri="{FF2B5EF4-FFF2-40B4-BE49-F238E27FC236}">
              <a16:creationId xmlns:a16="http://schemas.microsoft.com/office/drawing/2014/main" id="{9D55902F-7755-4632-A6D5-33F5CA7BC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337" name="Picture 13">
          <a:extLst>
            <a:ext uri="{FF2B5EF4-FFF2-40B4-BE49-F238E27FC236}">
              <a16:creationId xmlns:a16="http://schemas.microsoft.com/office/drawing/2014/main" id="{E3A57D5B-9967-4B60-B205-61A91BD7B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338" name="Picture 5">
          <a:extLst>
            <a:ext uri="{FF2B5EF4-FFF2-40B4-BE49-F238E27FC236}">
              <a16:creationId xmlns:a16="http://schemas.microsoft.com/office/drawing/2014/main" id="{627036A3-5846-4712-BFB2-B572619FA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339" name="Picture 5">
          <a:extLst>
            <a:ext uri="{FF2B5EF4-FFF2-40B4-BE49-F238E27FC236}">
              <a16:creationId xmlns:a16="http://schemas.microsoft.com/office/drawing/2014/main" id="{3258651E-2729-41C0-A2F2-506BD4094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340" name="Picture 5">
          <a:extLst>
            <a:ext uri="{FF2B5EF4-FFF2-40B4-BE49-F238E27FC236}">
              <a16:creationId xmlns:a16="http://schemas.microsoft.com/office/drawing/2014/main" id="{E87F5A94-1EA5-4E3C-9A33-A18035691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341" name="Picture 5">
          <a:extLst>
            <a:ext uri="{FF2B5EF4-FFF2-40B4-BE49-F238E27FC236}">
              <a16:creationId xmlns:a16="http://schemas.microsoft.com/office/drawing/2014/main" id="{347E5571-A9F4-412D-8239-09B433293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342" name="Picture 13">
          <a:extLst>
            <a:ext uri="{FF2B5EF4-FFF2-40B4-BE49-F238E27FC236}">
              <a16:creationId xmlns:a16="http://schemas.microsoft.com/office/drawing/2014/main" id="{C0EB56ED-0232-42D6-8962-8FB087C77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343" name="Picture 5">
          <a:extLst>
            <a:ext uri="{FF2B5EF4-FFF2-40B4-BE49-F238E27FC236}">
              <a16:creationId xmlns:a16="http://schemas.microsoft.com/office/drawing/2014/main" id="{B7A595E7-6F0C-4ADE-B5B2-533C0768B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344" name="Picture 5">
          <a:extLst>
            <a:ext uri="{FF2B5EF4-FFF2-40B4-BE49-F238E27FC236}">
              <a16:creationId xmlns:a16="http://schemas.microsoft.com/office/drawing/2014/main" id="{9F5212D5-1401-446A-98DF-85980E810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5647354</xdr:colOff>
      <xdr:row>1</xdr:row>
      <xdr:rowOff>0</xdr:rowOff>
    </xdr:from>
    <xdr:to>
      <xdr:col>10</xdr:col>
      <xdr:colOff>0</xdr:colOff>
      <xdr:row>1</xdr:row>
      <xdr:rowOff>0</xdr:rowOff>
    </xdr:to>
    <xdr:sp macro="" textlink="">
      <xdr:nvSpPr>
        <xdr:cNvPr id="345" name="Trapezoid 344">
          <a:extLst>
            <a:ext uri="{FF2B5EF4-FFF2-40B4-BE49-F238E27FC236}">
              <a16:creationId xmlns:a16="http://schemas.microsoft.com/office/drawing/2014/main" id="{8E39EE80-7CBC-4F56-A2BA-1CDF7F174B9A}"/>
            </a:ext>
          </a:extLst>
        </xdr:cNvPr>
        <xdr:cNvSpPr/>
      </xdr:nvSpPr>
      <xdr:spPr>
        <a:xfrm rot="10800000">
          <a:off x="6775114" y="198120"/>
          <a:ext cx="7542866" cy="0"/>
        </a:xfrm>
        <a:prstGeom prst="trapezoid">
          <a:avLst>
            <a:gd name="adj" fmla="val 95270"/>
          </a:avLst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2</xdr:col>
      <xdr:colOff>228600</xdr:colOff>
      <xdr:row>69</xdr:row>
      <xdr:rowOff>0</xdr:rowOff>
    </xdr:from>
    <xdr:ext cx="65" cy="172227"/>
    <xdr:sp macro="" textlink="">
      <xdr:nvSpPr>
        <xdr:cNvPr id="346" name="TextBox 64">
          <a:extLst>
            <a:ext uri="{FF2B5EF4-FFF2-40B4-BE49-F238E27FC236}">
              <a16:creationId xmlns:a16="http://schemas.microsoft.com/office/drawing/2014/main" id="{B2F42758-FC9E-4D35-8C96-EB6F3FE6F1C9}"/>
            </a:ext>
          </a:extLst>
        </xdr:cNvPr>
        <xdr:cNvSpPr txBox="1"/>
      </xdr:nvSpPr>
      <xdr:spPr>
        <a:xfrm>
          <a:off x="1356360" y="134721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228600</xdr:colOff>
      <xdr:row>69</xdr:row>
      <xdr:rowOff>0</xdr:rowOff>
    </xdr:from>
    <xdr:ext cx="65" cy="172227"/>
    <xdr:sp macro="" textlink="">
      <xdr:nvSpPr>
        <xdr:cNvPr id="347" name="TextBox 65">
          <a:extLst>
            <a:ext uri="{FF2B5EF4-FFF2-40B4-BE49-F238E27FC236}">
              <a16:creationId xmlns:a16="http://schemas.microsoft.com/office/drawing/2014/main" id="{4C622A77-8178-4643-8CB8-4072C0194B1C}"/>
            </a:ext>
          </a:extLst>
        </xdr:cNvPr>
        <xdr:cNvSpPr txBox="1"/>
      </xdr:nvSpPr>
      <xdr:spPr>
        <a:xfrm>
          <a:off x="1356360" y="134721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228600</xdr:colOff>
      <xdr:row>69</xdr:row>
      <xdr:rowOff>0</xdr:rowOff>
    </xdr:from>
    <xdr:ext cx="65" cy="172227"/>
    <xdr:sp macro="" textlink="">
      <xdr:nvSpPr>
        <xdr:cNvPr id="348" name="TextBox 67">
          <a:extLst>
            <a:ext uri="{FF2B5EF4-FFF2-40B4-BE49-F238E27FC236}">
              <a16:creationId xmlns:a16="http://schemas.microsoft.com/office/drawing/2014/main" id="{8D7E22CB-0DEE-4896-927B-AD8902E68363}"/>
            </a:ext>
          </a:extLst>
        </xdr:cNvPr>
        <xdr:cNvSpPr txBox="1"/>
      </xdr:nvSpPr>
      <xdr:spPr>
        <a:xfrm>
          <a:off x="1356360" y="134721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236220</xdr:colOff>
      <xdr:row>69</xdr:row>
      <xdr:rowOff>0</xdr:rowOff>
    </xdr:from>
    <xdr:ext cx="11495" cy="172227"/>
    <xdr:sp macro="" textlink="">
      <xdr:nvSpPr>
        <xdr:cNvPr id="349" name="TextBox 69">
          <a:extLst>
            <a:ext uri="{FF2B5EF4-FFF2-40B4-BE49-F238E27FC236}">
              <a16:creationId xmlns:a16="http://schemas.microsoft.com/office/drawing/2014/main" id="{29189A34-04A6-4B95-8DE7-2FD0558DDF20}"/>
            </a:ext>
          </a:extLst>
        </xdr:cNvPr>
        <xdr:cNvSpPr txBox="1"/>
      </xdr:nvSpPr>
      <xdr:spPr>
        <a:xfrm>
          <a:off x="1363980" y="13472160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236220</xdr:colOff>
      <xdr:row>69</xdr:row>
      <xdr:rowOff>0</xdr:rowOff>
    </xdr:from>
    <xdr:ext cx="11495" cy="172227"/>
    <xdr:sp macro="" textlink="">
      <xdr:nvSpPr>
        <xdr:cNvPr id="350" name="TextBox 70">
          <a:extLst>
            <a:ext uri="{FF2B5EF4-FFF2-40B4-BE49-F238E27FC236}">
              <a16:creationId xmlns:a16="http://schemas.microsoft.com/office/drawing/2014/main" id="{6AE47322-7FD1-432D-B9C1-61082B47BDEF}"/>
            </a:ext>
          </a:extLst>
        </xdr:cNvPr>
        <xdr:cNvSpPr txBox="1"/>
      </xdr:nvSpPr>
      <xdr:spPr>
        <a:xfrm>
          <a:off x="1363980" y="13472160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236220</xdr:colOff>
      <xdr:row>69</xdr:row>
      <xdr:rowOff>0</xdr:rowOff>
    </xdr:from>
    <xdr:ext cx="11495" cy="172227"/>
    <xdr:sp macro="" textlink="">
      <xdr:nvSpPr>
        <xdr:cNvPr id="351" name="TextBox 71">
          <a:extLst>
            <a:ext uri="{FF2B5EF4-FFF2-40B4-BE49-F238E27FC236}">
              <a16:creationId xmlns:a16="http://schemas.microsoft.com/office/drawing/2014/main" id="{9D701A20-FC57-4811-A254-CC26817BBD0C}"/>
            </a:ext>
          </a:extLst>
        </xdr:cNvPr>
        <xdr:cNvSpPr txBox="1"/>
      </xdr:nvSpPr>
      <xdr:spPr>
        <a:xfrm>
          <a:off x="1363980" y="13472160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236220</xdr:colOff>
      <xdr:row>69</xdr:row>
      <xdr:rowOff>0</xdr:rowOff>
    </xdr:from>
    <xdr:ext cx="11495" cy="172227"/>
    <xdr:sp macro="" textlink="">
      <xdr:nvSpPr>
        <xdr:cNvPr id="352" name="TextBox 63">
          <a:extLst>
            <a:ext uri="{FF2B5EF4-FFF2-40B4-BE49-F238E27FC236}">
              <a16:creationId xmlns:a16="http://schemas.microsoft.com/office/drawing/2014/main" id="{65F60EE0-DF15-4D69-94D4-6A40CB71A334}"/>
            </a:ext>
          </a:extLst>
        </xdr:cNvPr>
        <xdr:cNvSpPr txBox="1"/>
      </xdr:nvSpPr>
      <xdr:spPr>
        <a:xfrm>
          <a:off x="1363980" y="13472160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228600</xdr:colOff>
      <xdr:row>69</xdr:row>
      <xdr:rowOff>0</xdr:rowOff>
    </xdr:from>
    <xdr:ext cx="65" cy="172227"/>
    <xdr:sp macro="" textlink="">
      <xdr:nvSpPr>
        <xdr:cNvPr id="353" name="TextBox 64">
          <a:extLst>
            <a:ext uri="{FF2B5EF4-FFF2-40B4-BE49-F238E27FC236}">
              <a16:creationId xmlns:a16="http://schemas.microsoft.com/office/drawing/2014/main" id="{4321A161-B03B-424C-87C6-D9F8FF8045DC}"/>
            </a:ext>
          </a:extLst>
        </xdr:cNvPr>
        <xdr:cNvSpPr txBox="1"/>
      </xdr:nvSpPr>
      <xdr:spPr>
        <a:xfrm>
          <a:off x="1356360" y="134721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3</xdr:col>
      <xdr:colOff>152400</xdr:colOff>
      <xdr:row>69</xdr:row>
      <xdr:rowOff>0</xdr:rowOff>
    </xdr:from>
    <xdr:ext cx="555171" cy="258944"/>
    <xdr:sp macro="" textlink="">
      <xdr:nvSpPr>
        <xdr:cNvPr id="354" name="TextBox 66">
          <a:extLst>
            <a:ext uri="{FF2B5EF4-FFF2-40B4-BE49-F238E27FC236}">
              <a16:creationId xmlns:a16="http://schemas.microsoft.com/office/drawing/2014/main" id="{8A680570-8D96-4639-BA11-68FFD656BC36}"/>
            </a:ext>
          </a:extLst>
        </xdr:cNvPr>
        <xdr:cNvSpPr txBox="1"/>
      </xdr:nvSpPr>
      <xdr:spPr>
        <a:xfrm flipV="1">
          <a:off x="8755380" y="13472160"/>
          <a:ext cx="555171" cy="258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7</xdr:col>
      <xdr:colOff>152400</xdr:colOff>
      <xdr:row>69</xdr:row>
      <xdr:rowOff>0</xdr:rowOff>
    </xdr:from>
    <xdr:ext cx="555171" cy="293916"/>
    <xdr:sp macro="" textlink="">
      <xdr:nvSpPr>
        <xdr:cNvPr id="355" name="TextBox 66">
          <a:extLst>
            <a:ext uri="{FF2B5EF4-FFF2-40B4-BE49-F238E27FC236}">
              <a16:creationId xmlns:a16="http://schemas.microsoft.com/office/drawing/2014/main" id="{007E97D8-9D2A-41D8-84D9-F01DC5F563E5}"/>
            </a:ext>
          </a:extLst>
        </xdr:cNvPr>
        <xdr:cNvSpPr txBox="1"/>
      </xdr:nvSpPr>
      <xdr:spPr>
        <a:xfrm flipV="1">
          <a:off x="12245340" y="13472160"/>
          <a:ext cx="555171" cy="293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3</xdr:col>
      <xdr:colOff>228600</xdr:colOff>
      <xdr:row>69</xdr:row>
      <xdr:rowOff>0</xdr:rowOff>
    </xdr:from>
    <xdr:ext cx="65" cy="172227"/>
    <xdr:sp macro="" textlink="">
      <xdr:nvSpPr>
        <xdr:cNvPr id="356" name="TextBox 64">
          <a:extLst>
            <a:ext uri="{FF2B5EF4-FFF2-40B4-BE49-F238E27FC236}">
              <a16:creationId xmlns:a16="http://schemas.microsoft.com/office/drawing/2014/main" id="{3ED0CDB9-282F-4789-956B-9D0A6D0DD6C9}"/>
            </a:ext>
          </a:extLst>
        </xdr:cNvPr>
        <xdr:cNvSpPr txBox="1"/>
      </xdr:nvSpPr>
      <xdr:spPr>
        <a:xfrm>
          <a:off x="8831580" y="134721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3</xdr:col>
      <xdr:colOff>228600</xdr:colOff>
      <xdr:row>69</xdr:row>
      <xdr:rowOff>0</xdr:rowOff>
    </xdr:from>
    <xdr:ext cx="65" cy="172227"/>
    <xdr:sp macro="" textlink="">
      <xdr:nvSpPr>
        <xdr:cNvPr id="357" name="TextBox 65">
          <a:extLst>
            <a:ext uri="{FF2B5EF4-FFF2-40B4-BE49-F238E27FC236}">
              <a16:creationId xmlns:a16="http://schemas.microsoft.com/office/drawing/2014/main" id="{7C742B65-0ADF-4917-86AA-02DEF6A68D79}"/>
            </a:ext>
          </a:extLst>
        </xdr:cNvPr>
        <xdr:cNvSpPr txBox="1"/>
      </xdr:nvSpPr>
      <xdr:spPr>
        <a:xfrm>
          <a:off x="8831580" y="134721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3</xdr:col>
      <xdr:colOff>228600</xdr:colOff>
      <xdr:row>69</xdr:row>
      <xdr:rowOff>0</xdr:rowOff>
    </xdr:from>
    <xdr:ext cx="65" cy="172227"/>
    <xdr:sp macro="" textlink="">
      <xdr:nvSpPr>
        <xdr:cNvPr id="358" name="TextBox 67">
          <a:extLst>
            <a:ext uri="{FF2B5EF4-FFF2-40B4-BE49-F238E27FC236}">
              <a16:creationId xmlns:a16="http://schemas.microsoft.com/office/drawing/2014/main" id="{C61E0722-98A4-4922-A8A4-EEB990DC9ADE}"/>
            </a:ext>
          </a:extLst>
        </xdr:cNvPr>
        <xdr:cNvSpPr txBox="1"/>
      </xdr:nvSpPr>
      <xdr:spPr>
        <a:xfrm>
          <a:off x="8831580" y="134721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3</xdr:col>
      <xdr:colOff>236220</xdr:colOff>
      <xdr:row>69</xdr:row>
      <xdr:rowOff>0</xdr:rowOff>
    </xdr:from>
    <xdr:ext cx="11495" cy="172227"/>
    <xdr:sp macro="" textlink="">
      <xdr:nvSpPr>
        <xdr:cNvPr id="359" name="TextBox 69">
          <a:extLst>
            <a:ext uri="{FF2B5EF4-FFF2-40B4-BE49-F238E27FC236}">
              <a16:creationId xmlns:a16="http://schemas.microsoft.com/office/drawing/2014/main" id="{6520E03F-37CD-4027-889E-5B9F2C91DCA3}"/>
            </a:ext>
          </a:extLst>
        </xdr:cNvPr>
        <xdr:cNvSpPr txBox="1"/>
      </xdr:nvSpPr>
      <xdr:spPr>
        <a:xfrm>
          <a:off x="8839200" y="13472160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3</xdr:col>
      <xdr:colOff>236220</xdr:colOff>
      <xdr:row>69</xdr:row>
      <xdr:rowOff>0</xdr:rowOff>
    </xdr:from>
    <xdr:ext cx="11495" cy="172227"/>
    <xdr:sp macro="" textlink="">
      <xdr:nvSpPr>
        <xdr:cNvPr id="360" name="TextBox 70">
          <a:extLst>
            <a:ext uri="{FF2B5EF4-FFF2-40B4-BE49-F238E27FC236}">
              <a16:creationId xmlns:a16="http://schemas.microsoft.com/office/drawing/2014/main" id="{6615B1E2-9636-4792-858D-45FE10E69AA5}"/>
            </a:ext>
          </a:extLst>
        </xdr:cNvPr>
        <xdr:cNvSpPr txBox="1"/>
      </xdr:nvSpPr>
      <xdr:spPr>
        <a:xfrm>
          <a:off x="8839200" y="13472160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3</xdr:col>
      <xdr:colOff>236220</xdr:colOff>
      <xdr:row>69</xdr:row>
      <xdr:rowOff>0</xdr:rowOff>
    </xdr:from>
    <xdr:ext cx="11495" cy="172227"/>
    <xdr:sp macro="" textlink="">
      <xdr:nvSpPr>
        <xdr:cNvPr id="361" name="TextBox 71">
          <a:extLst>
            <a:ext uri="{FF2B5EF4-FFF2-40B4-BE49-F238E27FC236}">
              <a16:creationId xmlns:a16="http://schemas.microsoft.com/office/drawing/2014/main" id="{A82E0F79-4CA1-4BC6-827F-AA3F4A7ECE33}"/>
            </a:ext>
          </a:extLst>
        </xdr:cNvPr>
        <xdr:cNvSpPr txBox="1"/>
      </xdr:nvSpPr>
      <xdr:spPr>
        <a:xfrm>
          <a:off x="8839200" y="13472160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3</xdr:col>
      <xdr:colOff>236220</xdr:colOff>
      <xdr:row>69</xdr:row>
      <xdr:rowOff>0</xdr:rowOff>
    </xdr:from>
    <xdr:ext cx="11495" cy="172227"/>
    <xdr:sp macro="" textlink="">
      <xdr:nvSpPr>
        <xdr:cNvPr id="362" name="TextBox 63">
          <a:extLst>
            <a:ext uri="{FF2B5EF4-FFF2-40B4-BE49-F238E27FC236}">
              <a16:creationId xmlns:a16="http://schemas.microsoft.com/office/drawing/2014/main" id="{D51C9974-0C7C-456B-BA27-208EABD74EE9}"/>
            </a:ext>
          </a:extLst>
        </xdr:cNvPr>
        <xdr:cNvSpPr txBox="1"/>
      </xdr:nvSpPr>
      <xdr:spPr>
        <a:xfrm>
          <a:off x="8839200" y="13472160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3</xdr:col>
      <xdr:colOff>228600</xdr:colOff>
      <xdr:row>69</xdr:row>
      <xdr:rowOff>0</xdr:rowOff>
    </xdr:from>
    <xdr:ext cx="65" cy="172227"/>
    <xdr:sp macro="" textlink="">
      <xdr:nvSpPr>
        <xdr:cNvPr id="363" name="TextBox 64">
          <a:extLst>
            <a:ext uri="{FF2B5EF4-FFF2-40B4-BE49-F238E27FC236}">
              <a16:creationId xmlns:a16="http://schemas.microsoft.com/office/drawing/2014/main" id="{AC9D67D4-193E-48B1-ADB9-EB523D997035}"/>
            </a:ext>
          </a:extLst>
        </xdr:cNvPr>
        <xdr:cNvSpPr txBox="1"/>
      </xdr:nvSpPr>
      <xdr:spPr>
        <a:xfrm>
          <a:off x="8831580" y="134721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161925</xdr:colOff>
      <xdr:row>69</xdr:row>
      <xdr:rowOff>0</xdr:rowOff>
    </xdr:from>
    <xdr:ext cx="800100" cy="4082"/>
    <xdr:pic>
      <xdr:nvPicPr>
        <xdr:cNvPr id="364" name="Picture 5">
          <a:extLst>
            <a:ext uri="{FF2B5EF4-FFF2-40B4-BE49-F238E27FC236}">
              <a16:creationId xmlns:a16="http://schemas.microsoft.com/office/drawing/2014/main" id="{B5A5E47D-33F4-4AF3-A3F3-7C0149394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9685" y="1347216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368445"/>
    <xdr:pic>
      <xdr:nvPicPr>
        <xdr:cNvPr id="365" name="Picture 5">
          <a:extLst>
            <a:ext uri="{FF2B5EF4-FFF2-40B4-BE49-F238E27FC236}">
              <a16:creationId xmlns:a16="http://schemas.microsoft.com/office/drawing/2014/main" id="{27943ABE-16BF-4173-87F7-E8B85D914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368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368445"/>
    <xdr:pic>
      <xdr:nvPicPr>
        <xdr:cNvPr id="366" name="Picture 5">
          <a:extLst>
            <a:ext uri="{FF2B5EF4-FFF2-40B4-BE49-F238E27FC236}">
              <a16:creationId xmlns:a16="http://schemas.microsoft.com/office/drawing/2014/main" id="{B5AA9622-E398-4D5F-BB08-F15C10B44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368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28575"/>
    <xdr:pic>
      <xdr:nvPicPr>
        <xdr:cNvPr id="367" name="Picture 19">
          <a:extLst>
            <a:ext uri="{FF2B5EF4-FFF2-40B4-BE49-F238E27FC236}">
              <a16:creationId xmlns:a16="http://schemas.microsoft.com/office/drawing/2014/main" id="{98D26CAC-661C-4296-8E6D-103E66931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28575"/>
    <xdr:pic>
      <xdr:nvPicPr>
        <xdr:cNvPr id="368" name="Picture 4">
          <a:extLst>
            <a:ext uri="{FF2B5EF4-FFF2-40B4-BE49-F238E27FC236}">
              <a16:creationId xmlns:a16="http://schemas.microsoft.com/office/drawing/2014/main" id="{FE1954E8-01AC-4760-85A1-ABA2C5672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368445"/>
    <xdr:pic>
      <xdr:nvPicPr>
        <xdr:cNvPr id="369" name="Picture 5">
          <a:extLst>
            <a:ext uri="{FF2B5EF4-FFF2-40B4-BE49-F238E27FC236}">
              <a16:creationId xmlns:a16="http://schemas.microsoft.com/office/drawing/2014/main" id="{9F1B6D4B-DE03-4A9C-838F-771008106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368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368445"/>
    <xdr:pic>
      <xdr:nvPicPr>
        <xdr:cNvPr id="370" name="Picture 5">
          <a:extLst>
            <a:ext uri="{FF2B5EF4-FFF2-40B4-BE49-F238E27FC236}">
              <a16:creationId xmlns:a16="http://schemas.microsoft.com/office/drawing/2014/main" id="{774B6C96-B53F-40D7-A10D-BFEC390BD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368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19050"/>
    <xdr:pic>
      <xdr:nvPicPr>
        <xdr:cNvPr id="371" name="Picture 24">
          <a:extLst>
            <a:ext uri="{FF2B5EF4-FFF2-40B4-BE49-F238E27FC236}">
              <a16:creationId xmlns:a16="http://schemas.microsoft.com/office/drawing/2014/main" id="{A43928DA-CDC8-43BF-85BB-7B3EA3942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19050"/>
    <xdr:pic>
      <xdr:nvPicPr>
        <xdr:cNvPr id="372" name="Picture 5">
          <a:extLst>
            <a:ext uri="{FF2B5EF4-FFF2-40B4-BE49-F238E27FC236}">
              <a16:creationId xmlns:a16="http://schemas.microsoft.com/office/drawing/2014/main" id="{CAB4765F-77C3-4262-8A93-C033E021F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104775"/>
    <xdr:pic>
      <xdr:nvPicPr>
        <xdr:cNvPr id="373" name="Picture 5">
          <a:extLst>
            <a:ext uri="{FF2B5EF4-FFF2-40B4-BE49-F238E27FC236}">
              <a16:creationId xmlns:a16="http://schemas.microsoft.com/office/drawing/2014/main" id="{D03327D1-FDAE-44BD-980E-575603AD7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368445"/>
    <xdr:pic>
      <xdr:nvPicPr>
        <xdr:cNvPr id="374" name="Picture 5">
          <a:extLst>
            <a:ext uri="{FF2B5EF4-FFF2-40B4-BE49-F238E27FC236}">
              <a16:creationId xmlns:a16="http://schemas.microsoft.com/office/drawing/2014/main" id="{570B0BCA-3DB6-43E0-8115-6A63CF639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368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368445"/>
    <xdr:pic>
      <xdr:nvPicPr>
        <xdr:cNvPr id="375" name="Picture 5">
          <a:extLst>
            <a:ext uri="{FF2B5EF4-FFF2-40B4-BE49-F238E27FC236}">
              <a16:creationId xmlns:a16="http://schemas.microsoft.com/office/drawing/2014/main" id="{7EC87BFD-1CDE-4DA4-955C-D659032B2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368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376" name="Picture 5">
          <a:extLst>
            <a:ext uri="{FF2B5EF4-FFF2-40B4-BE49-F238E27FC236}">
              <a16:creationId xmlns:a16="http://schemas.microsoft.com/office/drawing/2014/main" id="{F23D4C3E-140C-44FC-8F04-0ABD15467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377" name="Picture 13">
          <a:extLst>
            <a:ext uri="{FF2B5EF4-FFF2-40B4-BE49-F238E27FC236}">
              <a16:creationId xmlns:a16="http://schemas.microsoft.com/office/drawing/2014/main" id="{1CFD13DC-7CC6-4B6F-922E-6416EE3C6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69</xdr:row>
      <xdr:rowOff>0</xdr:rowOff>
    </xdr:from>
    <xdr:ext cx="800100" cy="4082"/>
    <xdr:pic>
      <xdr:nvPicPr>
        <xdr:cNvPr id="378" name="Picture 5">
          <a:extLst>
            <a:ext uri="{FF2B5EF4-FFF2-40B4-BE49-F238E27FC236}">
              <a16:creationId xmlns:a16="http://schemas.microsoft.com/office/drawing/2014/main" id="{633EC703-AC29-4C66-AE0C-3892F90D8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1347216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379" name="Picture 5">
          <a:extLst>
            <a:ext uri="{FF2B5EF4-FFF2-40B4-BE49-F238E27FC236}">
              <a16:creationId xmlns:a16="http://schemas.microsoft.com/office/drawing/2014/main" id="{9C2C58FC-6689-4B7A-BA4F-EE972526A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69</xdr:row>
      <xdr:rowOff>0</xdr:rowOff>
    </xdr:from>
    <xdr:ext cx="800100" cy="4082"/>
    <xdr:pic>
      <xdr:nvPicPr>
        <xdr:cNvPr id="380" name="Picture 5">
          <a:extLst>
            <a:ext uri="{FF2B5EF4-FFF2-40B4-BE49-F238E27FC236}">
              <a16:creationId xmlns:a16="http://schemas.microsoft.com/office/drawing/2014/main" id="{F96B0476-9122-438D-B397-54FC7791D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1347216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381" name="Picture 5">
          <a:extLst>
            <a:ext uri="{FF2B5EF4-FFF2-40B4-BE49-F238E27FC236}">
              <a16:creationId xmlns:a16="http://schemas.microsoft.com/office/drawing/2014/main" id="{00EC829E-707C-46C8-B3EA-D35848D07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382" name="Picture 5">
          <a:extLst>
            <a:ext uri="{FF2B5EF4-FFF2-40B4-BE49-F238E27FC236}">
              <a16:creationId xmlns:a16="http://schemas.microsoft.com/office/drawing/2014/main" id="{54BEE2C3-B275-4CCB-BEE6-DB230E5FA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383" name="Picture 13">
          <a:extLst>
            <a:ext uri="{FF2B5EF4-FFF2-40B4-BE49-F238E27FC236}">
              <a16:creationId xmlns:a16="http://schemas.microsoft.com/office/drawing/2014/main" id="{8F1BAF0A-4542-483D-BDCC-124F74320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69</xdr:row>
      <xdr:rowOff>0</xdr:rowOff>
    </xdr:from>
    <xdr:ext cx="800100" cy="4082"/>
    <xdr:pic>
      <xdr:nvPicPr>
        <xdr:cNvPr id="384" name="Picture 5">
          <a:extLst>
            <a:ext uri="{FF2B5EF4-FFF2-40B4-BE49-F238E27FC236}">
              <a16:creationId xmlns:a16="http://schemas.microsoft.com/office/drawing/2014/main" id="{C9567301-5C7D-4E38-BBCA-D1284B341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1347216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385" name="Picture 5">
          <a:extLst>
            <a:ext uri="{FF2B5EF4-FFF2-40B4-BE49-F238E27FC236}">
              <a16:creationId xmlns:a16="http://schemas.microsoft.com/office/drawing/2014/main" id="{FC8CB333-3B4C-455A-821B-C22E98BF3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69</xdr:row>
      <xdr:rowOff>0</xdr:rowOff>
    </xdr:from>
    <xdr:ext cx="800100" cy="4082"/>
    <xdr:pic>
      <xdr:nvPicPr>
        <xdr:cNvPr id="386" name="Picture 5">
          <a:extLst>
            <a:ext uri="{FF2B5EF4-FFF2-40B4-BE49-F238E27FC236}">
              <a16:creationId xmlns:a16="http://schemas.microsoft.com/office/drawing/2014/main" id="{4EEBA416-90C2-4DF6-AA30-EBA302231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1347216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387" name="Picture 5">
          <a:extLst>
            <a:ext uri="{FF2B5EF4-FFF2-40B4-BE49-F238E27FC236}">
              <a16:creationId xmlns:a16="http://schemas.microsoft.com/office/drawing/2014/main" id="{A32271F1-72BE-4EF5-BB7A-EF0B88DE2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388" name="Picture 5">
          <a:extLst>
            <a:ext uri="{FF2B5EF4-FFF2-40B4-BE49-F238E27FC236}">
              <a16:creationId xmlns:a16="http://schemas.microsoft.com/office/drawing/2014/main" id="{201B2643-055C-4D15-8823-75CBABD4F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389" name="Picture 13">
          <a:extLst>
            <a:ext uri="{FF2B5EF4-FFF2-40B4-BE49-F238E27FC236}">
              <a16:creationId xmlns:a16="http://schemas.microsoft.com/office/drawing/2014/main" id="{F180BE24-9B21-494B-8237-0E9E1E9D2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69</xdr:row>
      <xdr:rowOff>0</xdr:rowOff>
    </xdr:from>
    <xdr:ext cx="800100" cy="4082"/>
    <xdr:pic>
      <xdr:nvPicPr>
        <xdr:cNvPr id="390" name="Picture 5">
          <a:extLst>
            <a:ext uri="{FF2B5EF4-FFF2-40B4-BE49-F238E27FC236}">
              <a16:creationId xmlns:a16="http://schemas.microsoft.com/office/drawing/2014/main" id="{E5D7FBAA-CFD9-46FE-81E6-2AD6E9AD7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1347216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391" name="Picture 5">
          <a:extLst>
            <a:ext uri="{FF2B5EF4-FFF2-40B4-BE49-F238E27FC236}">
              <a16:creationId xmlns:a16="http://schemas.microsoft.com/office/drawing/2014/main" id="{170D51BB-5DE9-4CF3-94C4-E8D8C96C8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69</xdr:row>
      <xdr:rowOff>0</xdr:rowOff>
    </xdr:from>
    <xdr:ext cx="800100" cy="4082"/>
    <xdr:pic>
      <xdr:nvPicPr>
        <xdr:cNvPr id="392" name="Picture 5">
          <a:extLst>
            <a:ext uri="{FF2B5EF4-FFF2-40B4-BE49-F238E27FC236}">
              <a16:creationId xmlns:a16="http://schemas.microsoft.com/office/drawing/2014/main" id="{6705FC63-ADFA-4C06-9FDF-7AF5DEDFE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1347216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393" name="Picture 5">
          <a:extLst>
            <a:ext uri="{FF2B5EF4-FFF2-40B4-BE49-F238E27FC236}">
              <a16:creationId xmlns:a16="http://schemas.microsoft.com/office/drawing/2014/main" id="{0BB648BF-3D6C-4956-81BE-D65FB850A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394" name="Picture 5">
          <a:extLst>
            <a:ext uri="{FF2B5EF4-FFF2-40B4-BE49-F238E27FC236}">
              <a16:creationId xmlns:a16="http://schemas.microsoft.com/office/drawing/2014/main" id="{7C6F43A4-9FF1-4D11-BFCE-7E356D936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395" name="Picture 13">
          <a:extLst>
            <a:ext uri="{FF2B5EF4-FFF2-40B4-BE49-F238E27FC236}">
              <a16:creationId xmlns:a16="http://schemas.microsoft.com/office/drawing/2014/main" id="{ABE37490-061B-491C-AEAC-3A20DED72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69</xdr:row>
      <xdr:rowOff>0</xdr:rowOff>
    </xdr:from>
    <xdr:ext cx="800100" cy="4082"/>
    <xdr:pic>
      <xdr:nvPicPr>
        <xdr:cNvPr id="396" name="Picture 5">
          <a:extLst>
            <a:ext uri="{FF2B5EF4-FFF2-40B4-BE49-F238E27FC236}">
              <a16:creationId xmlns:a16="http://schemas.microsoft.com/office/drawing/2014/main" id="{4B1275FF-2143-4BA5-A235-9C2B6D28D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1347216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397" name="Picture 5">
          <a:extLst>
            <a:ext uri="{FF2B5EF4-FFF2-40B4-BE49-F238E27FC236}">
              <a16:creationId xmlns:a16="http://schemas.microsoft.com/office/drawing/2014/main" id="{57C96F3D-320F-4275-9992-CB53B6A6A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69</xdr:row>
      <xdr:rowOff>0</xdr:rowOff>
    </xdr:from>
    <xdr:ext cx="800100" cy="4082"/>
    <xdr:pic>
      <xdr:nvPicPr>
        <xdr:cNvPr id="398" name="Picture 5">
          <a:extLst>
            <a:ext uri="{FF2B5EF4-FFF2-40B4-BE49-F238E27FC236}">
              <a16:creationId xmlns:a16="http://schemas.microsoft.com/office/drawing/2014/main" id="{EB97F705-DD03-4C69-B3DA-5D16F5B1B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1347216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399" name="Picture 5">
          <a:extLst>
            <a:ext uri="{FF2B5EF4-FFF2-40B4-BE49-F238E27FC236}">
              <a16:creationId xmlns:a16="http://schemas.microsoft.com/office/drawing/2014/main" id="{2B36098B-0B32-41A9-9A28-D939C2214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400" name="Picture 5">
          <a:extLst>
            <a:ext uri="{FF2B5EF4-FFF2-40B4-BE49-F238E27FC236}">
              <a16:creationId xmlns:a16="http://schemas.microsoft.com/office/drawing/2014/main" id="{57050C72-333F-45B4-8156-F602E8425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401" name="Picture 13">
          <a:extLst>
            <a:ext uri="{FF2B5EF4-FFF2-40B4-BE49-F238E27FC236}">
              <a16:creationId xmlns:a16="http://schemas.microsoft.com/office/drawing/2014/main" id="{AD2A2363-95C9-4AB6-AA38-14D83DB7D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69</xdr:row>
      <xdr:rowOff>0</xdr:rowOff>
    </xdr:from>
    <xdr:ext cx="800100" cy="4082"/>
    <xdr:pic>
      <xdr:nvPicPr>
        <xdr:cNvPr id="402" name="Picture 5">
          <a:extLst>
            <a:ext uri="{FF2B5EF4-FFF2-40B4-BE49-F238E27FC236}">
              <a16:creationId xmlns:a16="http://schemas.microsoft.com/office/drawing/2014/main" id="{3900EBF9-D219-442C-8FE1-E9111386F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1347216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403" name="Picture 5">
          <a:extLst>
            <a:ext uri="{FF2B5EF4-FFF2-40B4-BE49-F238E27FC236}">
              <a16:creationId xmlns:a16="http://schemas.microsoft.com/office/drawing/2014/main" id="{9CEAE4DF-D9C4-4C13-9828-F0A284266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69</xdr:row>
      <xdr:rowOff>0</xdr:rowOff>
    </xdr:from>
    <xdr:ext cx="800100" cy="4082"/>
    <xdr:pic>
      <xdr:nvPicPr>
        <xdr:cNvPr id="404" name="Picture 5">
          <a:extLst>
            <a:ext uri="{FF2B5EF4-FFF2-40B4-BE49-F238E27FC236}">
              <a16:creationId xmlns:a16="http://schemas.microsoft.com/office/drawing/2014/main" id="{93843B0B-9DA4-454E-BE68-5CB366628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1347216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405" name="Picture 5">
          <a:extLst>
            <a:ext uri="{FF2B5EF4-FFF2-40B4-BE49-F238E27FC236}">
              <a16:creationId xmlns:a16="http://schemas.microsoft.com/office/drawing/2014/main" id="{DDF1B14A-D7FE-4421-A299-F22054920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406" name="Picture 5">
          <a:extLst>
            <a:ext uri="{FF2B5EF4-FFF2-40B4-BE49-F238E27FC236}">
              <a16:creationId xmlns:a16="http://schemas.microsoft.com/office/drawing/2014/main" id="{8AC66298-F429-45F9-8B2A-1671CCBBC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407" name="Picture 13">
          <a:extLst>
            <a:ext uri="{FF2B5EF4-FFF2-40B4-BE49-F238E27FC236}">
              <a16:creationId xmlns:a16="http://schemas.microsoft.com/office/drawing/2014/main" id="{4BD3F45E-B50C-4C17-88DF-43E52CC3D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69</xdr:row>
      <xdr:rowOff>0</xdr:rowOff>
    </xdr:from>
    <xdr:ext cx="800100" cy="4082"/>
    <xdr:pic>
      <xdr:nvPicPr>
        <xdr:cNvPr id="408" name="Picture 5">
          <a:extLst>
            <a:ext uri="{FF2B5EF4-FFF2-40B4-BE49-F238E27FC236}">
              <a16:creationId xmlns:a16="http://schemas.microsoft.com/office/drawing/2014/main" id="{25F5866D-D151-4767-BD71-5D4433E00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1347216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409" name="Picture 5">
          <a:extLst>
            <a:ext uri="{FF2B5EF4-FFF2-40B4-BE49-F238E27FC236}">
              <a16:creationId xmlns:a16="http://schemas.microsoft.com/office/drawing/2014/main" id="{88C3F095-D7BD-4D90-9EE7-088A2CCF8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69</xdr:row>
      <xdr:rowOff>0</xdr:rowOff>
    </xdr:from>
    <xdr:ext cx="800100" cy="4082"/>
    <xdr:pic>
      <xdr:nvPicPr>
        <xdr:cNvPr id="410" name="Picture 5">
          <a:extLst>
            <a:ext uri="{FF2B5EF4-FFF2-40B4-BE49-F238E27FC236}">
              <a16:creationId xmlns:a16="http://schemas.microsoft.com/office/drawing/2014/main" id="{FA02A537-4A4E-4915-A203-8B24CA140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1347216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411" name="Picture 5">
          <a:extLst>
            <a:ext uri="{FF2B5EF4-FFF2-40B4-BE49-F238E27FC236}">
              <a16:creationId xmlns:a16="http://schemas.microsoft.com/office/drawing/2014/main" id="{B141083C-8953-4C3E-AC69-A3AC0F2CF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412" name="Picture 5">
          <a:extLst>
            <a:ext uri="{FF2B5EF4-FFF2-40B4-BE49-F238E27FC236}">
              <a16:creationId xmlns:a16="http://schemas.microsoft.com/office/drawing/2014/main" id="{5C351156-3240-4342-9F4A-688100AB1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413" name="Picture 13">
          <a:extLst>
            <a:ext uri="{FF2B5EF4-FFF2-40B4-BE49-F238E27FC236}">
              <a16:creationId xmlns:a16="http://schemas.microsoft.com/office/drawing/2014/main" id="{1C2EC92B-B35A-455C-9A1C-A4E4903EF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69</xdr:row>
      <xdr:rowOff>0</xdr:rowOff>
    </xdr:from>
    <xdr:ext cx="800100" cy="4082"/>
    <xdr:pic>
      <xdr:nvPicPr>
        <xdr:cNvPr id="414" name="Picture 5">
          <a:extLst>
            <a:ext uri="{FF2B5EF4-FFF2-40B4-BE49-F238E27FC236}">
              <a16:creationId xmlns:a16="http://schemas.microsoft.com/office/drawing/2014/main" id="{5F5A922C-B4BD-4086-97F7-877752151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1347216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415" name="Picture 5">
          <a:extLst>
            <a:ext uri="{FF2B5EF4-FFF2-40B4-BE49-F238E27FC236}">
              <a16:creationId xmlns:a16="http://schemas.microsoft.com/office/drawing/2014/main" id="{A297FEBE-06DE-4FBC-B3A3-96997B4E6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69</xdr:row>
      <xdr:rowOff>0</xdr:rowOff>
    </xdr:from>
    <xdr:ext cx="800100" cy="4082"/>
    <xdr:pic>
      <xdr:nvPicPr>
        <xdr:cNvPr id="416" name="Picture 5">
          <a:extLst>
            <a:ext uri="{FF2B5EF4-FFF2-40B4-BE49-F238E27FC236}">
              <a16:creationId xmlns:a16="http://schemas.microsoft.com/office/drawing/2014/main" id="{1471A5F8-34E6-4939-BE4A-079F2C1AE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1347216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417" name="Picture 5">
          <a:extLst>
            <a:ext uri="{FF2B5EF4-FFF2-40B4-BE49-F238E27FC236}">
              <a16:creationId xmlns:a16="http://schemas.microsoft.com/office/drawing/2014/main" id="{180F0CCC-2989-4BC9-A509-B4A201999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418" name="Picture 5">
          <a:extLst>
            <a:ext uri="{FF2B5EF4-FFF2-40B4-BE49-F238E27FC236}">
              <a16:creationId xmlns:a16="http://schemas.microsoft.com/office/drawing/2014/main" id="{1869F039-0A5D-4965-BA62-4A05B4D0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419" name="Picture 13">
          <a:extLst>
            <a:ext uri="{FF2B5EF4-FFF2-40B4-BE49-F238E27FC236}">
              <a16:creationId xmlns:a16="http://schemas.microsoft.com/office/drawing/2014/main" id="{B3AA3667-6F80-4248-BD64-E3CF806C2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69</xdr:row>
      <xdr:rowOff>0</xdr:rowOff>
    </xdr:from>
    <xdr:ext cx="800100" cy="4082"/>
    <xdr:pic>
      <xdr:nvPicPr>
        <xdr:cNvPr id="420" name="Picture 5">
          <a:extLst>
            <a:ext uri="{FF2B5EF4-FFF2-40B4-BE49-F238E27FC236}">
              <a16:creationId xmlns:a16="http://schemas.microsoft.com/office/drawing/2014/main" id="{B15C3C18-DC23-4556-BCD7-2C330D2CF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1347216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421" name="Picture 5">
          <a:extLst>
            <a:ext uri="{FF2B5EF4-FFF2-40B4-BE49-F238E27FC236}">
              <a16:creationId xmlns:a16="http://schemas.microsoft.com/office/drawing/2014/main" id="{BFCD3144-0774-4101-9E43-08C732740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69</xdr:row>
      <xdr:rowOff>0</xdr:rowOff>
    </xdr:from>
    <xdr:ext cx="800100" cy="4082"/>
    <xdr:pic>
      <xdr:nvPicPr>
        <xdr:cNvPr id="422" name="Picture 5">
          <a:extLst>
            <a:ext uri="{FF2B5EF4-FFF2-40B4-BE49-F238E27FC236}">
              <a16:creationId xmlns:a16="http://schemas.microsoft.com/office/drawing/2014/main" id="{F6BE7C69-DE02-4A14-90EA-F2E26AD1F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1347216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423" name="Picture 5">
          <a:extLst>
            <a:ext uri="{FF2B5EF4-FFF2-40B4-BE49-F238E27FC236}">
              <a16:creationId xmlns:a16="http://schemas.microsoft.com/office/drawing/2014/main" id="{BB19A101-F191-4298-ACB2-03A1AF9E4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424" name="Picture 5">
          <a:extLst>
            <a:ext uri="{FF2B5EF4-FFF2-40B4-BE49-F238E27FC236}">
              <a16:creationId xmlns:a16="http://schemas.microsoft.com/office/drawing/2014/main" id="{4DDA4BB4-33FC-4CC0-BE31-C68C291B2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425" name="Picture 13">
          <a:extLst>
            <a:ext uri="{FF2B5EF4-FFF2-40B4-BE49-F238E27FC236}">
              <a16:creationId xmlns:a16="http://schemas.microsoft.com/office/drawing/2014/main" id="{6CFF1CDD-05F3-4336-AE6F-81C19A69A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69</xdr:row>
      <xdr:rowOff>0</xdr:rowOff>
    </xdr:from>
    <xdr:ext cx="800100" cy="4082"/>
    <xdr:pic>
      <xdr:nvPicPr>
        <xdr:cNvPr id="426" name="Picture 5">
          <a:extLst>
            <a:ext uri="{FF2B5EF4-FFF2-40B4-BE49-F238E27FC236}">
              <a16:creationId xmlns:a16="http://schemas.microsoft.com/office/drawing/2014/main" id="{B8A8EC71-FB14-4468-9B08-E22A939F2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1347216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427" name="Picture 5">
          <a:extLst>
            <a:ext uri="{FF2B5EF4-FFF2-40B4-BE49-F238E27FC236}">
              <a16:creationId xmlns:a16="http://schemas.microsoft.com/office/drawing/2014/main" id="{8A721CE0-6A31-498C-B2AF-B77EBDF75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69</xdr:row>
      <xdr:rowOff>0</xdr:rowOff>
    </xdr:from>
    <xdr:ext cx="800100" cy="4082"/>
    <xdr:pic>
      <xdr:nvPicPr>
        <xdr:cNvPr id="428" name="Picture 5">
          <a:extLst>
            <a:ext uri="{FF2B5EF4-FFF2-40B4-BE49-F238E27FC236}">
              <a16:creationId xmlns:a16="http://schemas.microsoft.com/office/drawing/2014/main" id="{5B246308-B32B-4D8C-BA8D-ACE3B8644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1347216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429" name="Picture 5">
          <a:extLst>
            <a:ext uri="{FF2B5EF4-FFF2-40B4-BE49-F238E27FC236}">
              <a16:creationId xmlns:a16="http://schemas.microsoft.com/office/drawing/2014/main" id="{F97816C3-8CFF-45F1-BA73-B26F502AC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430" name="Picture 5">
          <a:extLst>
            <a:ext uri="{FF2B5EF4-FFF2-40B4-BE49-F238E27FC236}">
              <a16:creationId xmlns:a16="http://schemas.microsoft.com/office/drawing/2014/main" id="{877632ED-A27C-46BF-B9C3-7479DF04F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431" name="Picture 13">
          <a:extLst>
            <a:ext uri="{FF2B5EF4-FFF2-40B4-BE49-F238E27FC236}">
              <a16:creationId xmlns:a16="http://schemas.microsoft.com/office/drawing/2014/main" id="{C2354855-45AB-4DDB-A07F-FF8B38A8B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69</xdr:row>
      <xdr:rowOff>0</xdr:rowOff>
    </xdr:from>
    <xdr:ext cx="800100" cy="4082"/>
    <xdr:pic>
      <xdr:nvPicPr>
        <xdr:cNvPr id="432" name="Picture 5">
          <a:extLst>
            <a:ext uri="{FF2B5EF4-FFF2-40B4-BE49-F238E27FC236}">
              <a16:creationId xmlns:a16="http://schemas.microsoft.com/office/drawing/2014/main" id="{BB9AFC7D-3107-4B8B-9501-C80732136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1347216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433" name="Picture 5">
          <a:extLst>
            <a:ext uri="{FF2B5EF4-FFF2-40B4-BE49-F238E27FC236}">
              <a16:creationId xmlns:a16="http://schemas.microsoft.com/office/drawing/2014/main" id="{2BCA332B-2629-4A1C-9820-95CB3EEB6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69</xdr:row>
      <xdr:rowOff>0</xdr:rowOff>
    </xdr:from>
    <xdr:ext cx="800100" cy="4082"/>
    <xdr:pic>
      <xdr:nvPicPr>
        <xdr:cNvPr id="434" name="Picture 5">
          <a:extLst>
            <a:ext uri="{FF2B5EF4-FFF2-40B4-BE49-F238E27FC236}">
              <a16:creationId xmlns:a16="http://schemas.microsoft.com/office/drawing/2014/main" id="{E7271D84-8E95-471D-A180-BB80434AC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1347216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435" name="Picture 5">
          <a:extLst>
            <a:ext uri="{FF2B5EF4-FFF2-40B4-BE49-F238E27FC236}">
              <a16:creationId xmlns:a16="http://schemas.microsoft.com/office/drawing/2014/main" id="{C34D6176-3891-488F-ACD7-B61A99CD4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436" name="Picture 5">
          <a:extLst>
            <a:ext uri="{FF2B5EF4-FFF2-40B4-BE49-F238E27FC236}">
              <a16:creationId xmlns:a16="http://schemas.microsoft.com/office/drawing/2014/main" id="{3F77D16D-DA71-4ED7-BAE2-FB7226091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437" name="Picture 13">
          <a:extLst>
            <a:ext uri="{FF2B5EF4-FFF2-40B4-BE49-F238E27FC236}">
              <a16:creationId xmlns:a16="http://schemas.microsoft.com/office/drawing/2014/main" id="{98B47F0B-A4BD-4397-8EFA-0DB486200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69</xdr:row>
      <xdr:rowOff>0</xdr:rowOff>
    </xdr:from>
    <xdr:ext cx="800100" cy="4082"/>
    <xdr:pic>
      <xdr:nvPicPr>
        <xdr:cNvPr id="438" name="Picture 5">
          <a:extLst>
            <a:ext uri="{FF2B5EF4-FFF2-40B4-BE49-F238E27FC236}">
              <a16:creationId xmlns:a16="http://schemas.microsoft.com/office/drawing/2014/main" id="{CACC0082-224C-4DF1-A491-A110729A8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1347216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439" name="Picture 5">
          <a:extLst>
            <a:ext uri="{FF2B5EF4-FFF2-40B4-BE49-F238E27FC236}">
              <a16:creationId xmlns:a16="http://schemas.microsoft.com/office/drawing/2014/main" id="{6D594B4F-5D9D-4E38-A18E-286475EE7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69</xdr:row>
      <xdr:rowOff>0</xdr:rowOff>
    </xdr:from>
    <xdr:ext cx="800100" cy="4082"/>
    <xdr:pic>
      <xdr:nvPicPr>
        <xdr:cNvPr id="440" name="Picture 5">
          <a:extLst>
            <a:ext uri="{FF2B5EF4-FFF2-40B4-BE49-F238E27FC236}">
              <a16:creationId xmlns:a16="http://schemas.microsoft.com/office/drawing/2014/main" id="{D7A0594C-3FEB-4284-A60D-439BE788D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1347216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441" name="Picture 5">
          <a:extLst>
            <a:ext uri="{FF2B5EF4-FFF2-40B4-BE49-F238E27FC236}">
              <a16:creationId xmlns:a16="http://schemas.microsoft.com/office/drawing/2014/main" id="{CA66099E-AEE4-476F-8036-58991AD18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442" name="Picture 5">
          <a:extLst>
            <a:ext uri="{FF2B5EF4-FFF2-40B4-BE49-F238E27FC236}">
              <a16:creationId xmlns:a16="http://schemas.microsoft.com/office/drawing/2014/main" id="{884562A1-398B-4578-B53D-AFA0705A5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443" name="Picture 13">
          <a:extLst>
            <a:ext uri="{FF2B5EF4-FFF2-40B4-BE49-F238E27FC236}">
              <a16:creationId xmlns:a16="http://schemas.microsoft.com/office/drawing/2014/main" id="{5A47B56C-2443-4CAC-9873-1D0346241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69</xdr:row>
      <xdr:rowOff>0</xdr:rowOff>
    </xdr:from>
    <xdr:ext cx="800100" cy="4082"/>
    <xdr:pic>
      <xdr:nvPicPr>
        <xdr:cNvPr id="444" name="Picture 5">
          <a:extLst>
            <a:ext uri="{FF2B5EF4-FFF2-40B4-BE49-F238E27FC236}">
              <a16:creationId xmlns:a16="http://schemas.microsoft.com/office/drawing/2014/main" id="{A3BDBC98-C246-46FB-B3C5-3601989E7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1347216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445" name="Picture 5">
          <a:extLst>
            <a:ext uri="{FF2B5EF4-FFF2-40B4-BE49-F238E27FC236}">
              <a16:creationId xmlns:a16="http://schemas.microsoft.com/office/drawing/2014/main" id="{D809076C-062E-4CB4-BB3B-3C07793D1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69</xdr:row>
      <xdr:rowOff>0</xdr:rowOff>
    </xdr:from>
    <xdr:ext cx="800100" cy="4082"/>
    <xdr:pic>
      <xdr:nvPicPr>
        <xdr:cNvPr id="446" name="Picture 5">
          <a:extLst>
            <a:ext uri="{FF2B5EF4-FFF2-40B4-BE49-F238E27FC236}">
              <a16:creationId xmlns:a16="http://schemas.microsoft.com/office/drawing/2014/main" id="{AC07AAE7-DEC6-49E6-A899-D89AB29CB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1347216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447" name="Picture 5">
          <a:extLst>
            <a:ext uri="{FF2B5EF4-FFF2-40B4-BE49-F238E27FC236}">
              <a16:creationId xmlns:a16="http://schemas.microsoft.com/office/drawing/2014/main" id="{BCAA4741-9BE1-41BC-B16F-26E86A1C8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448" name="Picture 5">
          <a:extLst>
            <a:ext uri="{FF2B5EF4-FFF2-40B4-BE49-F238E27FC236}">
              <a16:creationId xmlns:a16="http://schemas.microsoft.com/office/drawing/2014/main" id="{F77DB5B7-3053-4943-B468-8D9E824EB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449" name="Picture 13">
          <a:extLst>
            <a:ext uri="{FF2B5EF4-FFF2-40B4-BE49-F238E27FC236}">
              <a16:creationId xmlns:a16="http://schemas.microsoft.com/office/drawing/2014/main" id="{83FE476D-498B-4775-89CF-5FFA43A4E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69</xdr:row>
      <xdr:rowOff>0</xdr:rowOff>
    </xdr:from>
    <xdr:ext cx="800100" cy="4082"/>
    <xdr:pic>
      <xdr:nvPicPr>
        <xdr:cNvPr id="450" name="Picture 5">
          <a:extLst>
            <a:ext uri="{FF2B5EF4-FFF2-40B4-BE49-F238E27FC236}">
              <a16:creationId xmlns:a16="http://schemas.microsoft.com/office/drawing/2014/main" id="{184EED36-BB8D-4A5C-9D80-D13734545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1347216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451" name="Picture 5">
          <a:extLst>
            <a:ext uri="{FF2B5EF4-FFF2-40B4-BE49-F238E27FC236}">
              <a16:creationId xmlns:a16="http://schemas.microsoft.com/office/drawing/2014/main" id="{511B8114-D968-4581-8881-9D054E209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452" name="Picture 5">
          <a:extLst>
            <a:ext uri="{FF2B5EF4-FFF2-40B4-BE49-F238E27FC236}">
              <a16:creationId xmlns:a16="http://schemas.microsoft.com/office/drawing/2014/main" id="{6B6E837D-2457-4F26-81C1-ED82B53D4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453" name="Picture 5">
          <a:extLst>
            <a:ext uri="{FF2B5EF4-FFF2-40B4-BE49-F238E27FC236}">
              <a16:creationId xmlns:a16="http://schemas.microsoft.com/office/drawing/2014/main" id="{4A821851-45BB-4A08-94FB-3C658F976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454" name="Picture 13">
          <a:extLst>
            <a:ext uri="{FF2B5EF4-FFF2-40B4-BE49-F238E27FC236}">
              <a16:creationId xmlns:a16="http://schemas.microsoft.com/office/drawing/2014/main" id="{B8C8D1A7-E635-49D6-9E9E-289F898AE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455" name="Picture 5">
          <a:extLst>
            <a:ext uri="{FF2B5EF4-FFF2-40B4-BE49-F238E27FC236}">
              <a16:creationId xmlns:a16="http://schemas.microsoft.com/office/drawing/2014/main" id="{CCA60678-13CB-49DB-8B44-5381EA0DB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69</xdr:row>
      <xdr:rowOff>0</xdr:rowOff>
    </xdr:from>
    <xdr:ext cx="0" cy="4082"/>
    <xdr:pic>
      <xdr:nvPicPr>
        <xdr:cNvPr id="456" name="Picture 5">
          <a:extLst>
            <a:ext uri="{FF2B5EF4-FFF2-40B4-BE49-F238E27FC236}">
              <a16:creationId xmlns:a16="http://schemas.microsoft.com/office/drawing/2014/main" id="{A5D1538B-58B5-49CE-BED3-47BAD75EC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347216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5647354</xdr:colOff>
      <xdr:row>1</xdr:row>
      <xdr:rowOff>0</xdr:rowOff>
    </xdr:from>
    <xdr:to>
      <xdr:col>10</xdr:col>
      <xdr:colOff>0</xdr:colOff>
      <xdr:row>1</xdr:row>
      <xdr:rowOff>0</xdr:rowOff>
    </xdr:to>
    <xdr:sp macro="" textlink="">
      <xdr:nvSpPr>
        <xdr:cNvPr id="457" name="Trapezoid 456">
          <a:extLst>
            <a:ext uri="{FF2B5EF4-FFF2-40B4-BE49-F238E27FC236}">
              <a16:creationId xmlns:a16="http://schemas.microsoft.com/office/drawing/2014/main" id="{CA3D675D-D736-4A6B-B534-1994925B90F8}"/>
            </a:ext>
          </a:extLst>
        </xdr:cNvPr>
        <xdr:cNvSpPr/>
      </xdr:nvSpPr>
      <xdr:spPr>
        <a:xfrm rot="10800000">
          <a:off x="6775114" y="198120"/>
          <a:ext cx="7542866" cy="0"/>
        </a:xfrm>
        <a:prstGeom prst="trapezoid">
          <a:avLst>
            <a:gd name="adj" fmla="val 95270"/>
          </a:avLst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9</xdr:col>
      <xdr:colOff>0</xdr:colOff>
      <xdr:row>69</xdr:row>
      <xdr:rowOff>0</xdr:rowOff>
    </xdr:from>
    <xdr:ext cx="555171" cy="293916"/>
    <xdr:sp macro="" textlink="">
      <xdr:nvSpPr>
        <xdr:cNvPr id="458" name="TextBox 66">
          <a:extLst>
            <a:ext uri="{FF2B5EF4-FFF2-40B4-BE49-F238E27FC236}">
              <a16:creationId xmlns:a16="http://schemas.microsoft.com/office/drawing/2014/main" id="{387D594F-F3A7-4073-9A62-88C3C8D78EE8}"/>
            </a:ext>
          </a:extLst>
        </xdr:cNvPr>
        <xdr:cNvSpPr txBox="1"/>
      </xdr:nvSpPr>
      <xdr:spPr>
        <a:xfrm flipV="1">
          <a:off x="13533120" y="13472160"/>
          <a:ext cx="555171" cy="293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8</xdr:col>
      <xdr:colOff>152400</xdr:colOff>
      <xdr:row>60</xdr:row>
      <xdr:rowOff>0</xdr:rowOff>
    </xdr:from>
    <xdr:ext cx="555171" cy="293916"/>
    <xdr:sp macro="" textlink="">
      <xdr:nvSpPr>
        <xdr:cNvPr id="459" name="TextBox 66">
          <a:extLst>
            <a:ext uri="{FF2B5EF4-FFF2-40B4-BE49-F238E27FC236}">
              <a16:creationId xmlns:a16="http://schemas.microsoft.com/office/drawing/2014/main" id="{45061D08-C925-478B-848F-2814EFFF7D04}"/>
            </a:ext>
          </a:extLst>
        </xdr:cNvPr>
        <xdr:cNvSpPr txBox="1"/>
      </xdr:nvSpPr>
      <xdr:spPr>
        <a:xfrm flipV="1">
          <a:off x="13068300" y="11826240"/>
          <a:ext cx="555171" cy="293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8</xdr:col>
      <xdr:colOff>152400</xdr:colOff>
      <xdr:row>60</xdr:row>
      <xdr:rowOff>0</xdr:rowOff>
    </xdr:from>
    <xdr:ext cx="555171" cy="293916"/>
    <xdr:sp macro="" textlink="">
      <xdr:nvSpPr>
        <xdr:cNvPr id="460" name="TextBox 66">
          <a:extLst>
            <a:ext uri="{FF2B5EF4-FFF2-40B4-BE49-F238E27FC236}">
              <a16:creationId xmlns:a16="http://schemas.microsoft.com/office/drawing/2014/main" id="{E822AEB7-340A-4A19-8069-C8DFF7329B5D}"/>
            </a:ext>
          </a:extLst>
        </xdr:cNvPr>
        <xdr:cNvSpPr txBox="1"/>
      </xdr:nvSpPr>
      <xdr:spPr>
        <a:xfrm flipV="1">
          <a:off x="13068300" y="11826240"/>
          <a:ext cx="555171" cy="293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twoCellAnchor>
    <xdr:from>
      <xdr:col>2</xdr:col>
      <xdr:colOff>5647354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461" name="Trapezoid 460">
          <a:extLst>
            <a:ext uri="{FF2B5EF4-FFF2-40B4-BE49-F238E27FC236}">
              <a16:creationId xmlns:a16="http://schemas.microsoft.com/office/drawing/2014/main" id="{BE7083A2-DB69-4E94-AC9D-16ACF93EF050}"/>
            </a:ext>
          </a:extLst>
        </xdr:cNvPr>
        <xdr:cNvSpPr/>
      </xdr:nvSpPr>
      <xdr:spPr>
        <a:xfrm rot="10800000">
          <a:off x="6775114" y="198120"/>
          <a:ext cx="6758006" cy="0"/>
        </a:xfrm>
        <a:prstGeom prst="trapezoid">
          <a:avLst>
            <a:gd name="adj" fmla="val 95270"/>
          </a:avLst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2</xdr:col>
      <xdr:colOff>228600</xdr:colOff>
      <xdr:row>60</xdr:row>
      <xdr:rowOff>0</xdr:rowOff>
    </xdr:from>
    <xdr:ext cx="65" cy="172227"/>
    <xdr:sp macro="" textlink="">
      <xdr:nvSpPr>
        <xdr:cNvPr id="462" name="TextBox 64">
          <a:extLst>
            <a:ext uri="{FF2B5EF4-FFF2-40B4-BE49-F238E27FC236}">
              <a16:creationId xmlns:a16="http://schemas.microsoft.com/office/drawing/2014/main" id="{5F087AC3-E430-4AFB-A700-6BA9DD0ED5DD}"/>
            </a:ext>
          </a:extLst>
        </xdr:cNvPr>
        <xdr:cNvSpPr txBox="1"/>
      </xdr:nvSpPr>
      <xdr:spPr>
        <a:xfrm>
          <a:off x="1356360" y="118262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228600</xdr:colOff>
      <xdr:row>60</xdr:row>
      <xdr:rowOff>0</xdr:rowOff>
    </xdr:from>
    <xdr:ext cx="65" cy="172227"/>
    <xdr:sp macro="" textlink="">
      <xdr:nvSpPr>
        <xdr:cNvPr id="463" name="TextBox 65">
          <a:extLst>
            <a:ext uri="{FF2B5EF4-FFF2-40B4-BE49-F238E27FC236}">
              <a16:creationId xmlns:a16="http://schemas.microsoft.com/office/drawing/2014/main" id="{9660C466-9A83-48BC-8019-F75A46F7DD72}"/>
            </a:ext>
          </a:extLst>
        </xdr:cNvPr>
        <xdr:cNvSpPr txBox="1"/>
      </xdr:nvSpPr>
      <xdr:spPr>
        <a:xfrm>
          <a:off x="1356360" y="118262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228600</xdr:colOff>
      <xdr:row>60</xdr:row>
      <xdr:rowOff>0</xdr:rowOff>
    </xdr:from>
    <xdr:ext cx="65" cy="172227"/>
    <xdr:sp macro="" textlink="">
      <xdr:nvSpPr>
        <xdr:cNvPr id="464" name="TextBox 67">
          <a:extLst>
            <a:ext uri="{FF2B5EF4-FFF2-40B4-BE49-F238E27FC236}">
              <a16:creationId xmlns:a16="http://schemas.microsoft.com/office/drawing/2014/main" id="{E82247BF-1CD3-496B-87F7-BC05C6E42717}"/>
            </a:ext>
          </a:extLst>
        </xdr:cNvPr>
        <xdr:cNvSpPr txBox="1"/>
      </xdr:nvSpPr>
      <xdr:spPr>
        <a:xfrm>
          <a:off x="1356360" y="118262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236220</xdr:colOff>
      <xdr:row>60</xdr:row>
      <xdr:rowOff>0</xdr:rowOff>
    </xdr:from>
    <xdr:ext cx="11495" cy="172227"/>
    <xdr:sp macro="" textlink="">
      <xdr:nvSpPr>
        <xdr:cNvPr id="465" name="TextBox 69">
          <a:extLst>
            <a:ext uri="{FF2B5EF4-FFF2-40B4-BE49-F238E27FC236}">
              <a16:creationId xmlns:a16="http://schemas.microsoft.com/office/drawing/2014/main" id="{7BA826DA-0823-44A7-85C7-61A20F45B5E2}"/>
            </a:ext>
          </a:extLst>
        </xdr:cNvPr>
        <xdr:cNvSpPr txBox="1"/>
      </xdr:nvSpPr>
      <xdr:spPr>
        <a:xfrm>
          <a:off x="1363980" y="11826240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236220</xdr:colOff>
      <xdr:row>60</xdr:row>
      <xdr:rowOff>0</xdr:rowOff>
    </xdr:from>
    <xdr:ext cx="11495" cy="172227"/>
    <xdr:sp macro="" textlink="">
      <xdr:nvSpPr>
        <xdr:cNvPr id="466" name="TextBox 70">
          <a:extLst>
            <a:ext uri="{FF2B5EF4-FFF2-40B4-BE49-F238E27FC236}">
              <a16:creationId xmlns:a16="http://schemas.microsoft.com/office/drawing/2014/main" id="{31728F63-223D-4E7D-9B20-10B124EEBFCD}"/>
            </a:ext>
          </a:extLst>
        </xdr:cNvPr>
        <xdr:cNvSpPr txBox="1"/>
      </xdr:nvSpPr>
      <xdr:spPr>
        <a:xfrm>
          <a:off x="1363980" y="11826240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236220</xdr:colOff>
      <xdr:row>60</xdr:row>
      <xdr:rowOff>0</xdr:rowOff>
    </xdr:from>
    <xdr:ext cx="11495" cy="172227"/>
    <xdr:sp macro="" textlink="">
      <xdr:nvSpPr>
        <xdr:cNvPr id="467" name="TextBox 71">
          <a:extLst>
            <a:ext uri="{FF2B5EF4-FFF2-40B4-BE49-F238E27FC236}">
              <a16:creationId xmlns:a16="http://schemas.microsoft.com/office/drawing/2014/main" id="{F070A2BA-3170-4965-80C8-43EA6FA5F107}"/>
            </a:ext>
          </a:extLst>
        </xdr:cNvPr>
        <xdr:cNvSpPr txBox="1"/>
      </xdr:nvSpPr>
      <xdr:spPr>
        <a:xfrm>
          <a:off x="1363980" y="11826240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236220</xdr:colOff>
      <xdr:row>60</xdr:row>
      <xdr:rowOff>0</xdr:rowOff>
    </xdr:from>
    <xdr:ext cx="11495" cy="172227"/>
    <xdr:sp macro="" textlink="">
      <xdr:nvSpPr>
        <xdr:cNvPr id="468" name="TextBox 63">
          <a:extLst>
            <a:ext uri="{FF2B5EF4-FFF2-40B4-BE49-F238E27FC236}">
              <a16:creationId xmlns:a16="http://schemas.microsoft.com/office/drawing/2014/main" id="{CE414311-A107-4640-A59B-5A7A038E3E3F}"/>
            </a:ext>
          </a:extLst>
        </xdr:cNvPr>
        <xdr:cNvSpPr txBox="1"/>
      </xdr:nvSpPr>
      <xdr:spPr>
        <a:xfrm>
          <a:off x="1363980" y="11826240"/>
          <a:ext cx="114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228600</xdr:colOff>
      <xdr:row>60</xdr:row>
      <xdr:rowOff>0</xdr:rowOff>
    </xdr:from>
    <xdr:ext cx="65" cy="172227"/>
    <xdr:sp macro="" textlink="">
      <xdr:nvSpPr>
        <xdr:cNvPr id="469" name="TextBox 64">
          <a:extLst>
            <a:ext uri="{FF2B5EF4-FFF2-40B4-BE49-F238E27FC236}">
              <a16:creationId xmlns:a16="http://schemas.microsoft.com/office/drawing/2014/main" id="{3C93D840-1B9F-421B-AC5F-BC2670AE8AFD}"/>
            </a:ext>
          </a:extLst>
        </xdr:cNvPr>
        <xdr:cNvSpPr txBox="1"/>
      </xdr:nvSpPr>
      <xdr:spPr>
        <a:xfrm>
          <a:off x="1356360" y="118262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oneCellAnchor>
  <xdr:oneCellAnchor>
    <xdr:from>
      <xdr:col>2</xdr:col>
      <xdr:colOff>161925</xdr:colOff>
      <xdr:row>50</xdr:row>
      <xdr:rowOff>0</xdr:rowOff>
    </xdr:from>
    <xdr:ext cx="800100" cy="4082"/>
    <xdr:pic>
      <xdr:nvPicPr>
        <xdr:cNvPr id="470" name="Picture 5">
          <a:extLst>
            <a:ext uri="{FF2B5EF4-FFF2-40B4-BE49-F238E27FC236}">
              <a16:creationId xmlns:a16="http://schemas.microsoft.com/office/drawing/2014/main" id="{1AB8E480-3059-43BA-B885-0297E3DF2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9685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368445"/>
    <xdr:pic>
      <xdr:nvPicPr>
        <xdr:cNvPr id="471" name="Picture 5">
          <a:extLst>
            <a:ext uri="{FF2B5EF4-FFF2-40B4-BE49-F238E27FC236}">
              <a16:creationId xmlns:a16="http://schemas.microsoft.com/office/drawing/2014/main" id="{32630EC9-7591-4387-ABE5-E8D6BB1AE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368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368445"/>
    <xdr:pic>
      <xdr:nvPicPr>
        <xdr:cNvPr id="472" name="Picture 5">
          <a:extLst>
            <a:ext uri="{FF2B5EF4-FFF2-40B4-BE49-F238E27FC236}">
              <a16:creationId xmlns:a16="http://schemas.microsoft.com/office/drawing/2014/main" id="{7B65B793-F375-4C95-AEF0-62298918D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368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28575"/>
    <xdr:pic>
      <xdr:nvPicPr>
        <xdr:cNvPr id="473" name="Picture 19">
          <a:extLst>
            <a:ext uri="{FF2B5EF4-FFF2-40B4-BE49-F238E27FC236}">
              <a16:creationId xmlns:a16="http://schemas.microsoft.com/office/drawing/2014/main" id="{4D2ED6E6-3E02-4F67-9C93-F59F48E2D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28575"/>
    <xdr:pic>
      <xdr:nvPicPr>
        <xdr:cNvPr id="474" name="Picture 4">
          <a:extLst>
            <a:ext uri="{FF2B5EF4-FFF2-40B4-BE49-F238E27FC236}">
              <a16:creationId xmlns:a16="http://schemas.microsoft.com/office/drawing/2014/main" id="{C1601A8E-2AA7-4A02-9639-3BD74E18E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368445"/>
    <xdr:pic>
      <xdr:nvPicPr>
        <xdr:cNvPr id="475" name="Picture 5">
          <a:extLst>
            <a:ext uri="{FF2B5EF4-FFF2-40B4-BE49-F238E27FC236}">
              <a16:creationId xmlns:a16="http://schemas.microsoft.com/office/drawing/2014/main" id="{5689913C-F321-4C8F-A9DC-0CA236821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368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368445"/>
    <xdr:pic>
      <xdr:nvPicPr>
        <xdr:cNvPr id="476" name="Picture 5">
          <a:extLst>
            <a:ext uri="{FF2B5EF4-FFF2-40B4-BE49-F238E27FC236}">
              <a16:creationId xmlns:a16="http://schemas.microsoft.com/office/drawing/2014/main" id="{C98E979A-1EB0-4A71-961A-B55FF6032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368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19050"/>
    <xdr:pic>
      <xdr:nvPicPr>
        <xdr:cNvPr id="477" name="Picture 24">
          <a:extLst>
            <a:ext uri="{FF2B5EF4-FFF2-40B4-BE49-F238E27FC236}">
              <a16:creationId xmlns:a16="http://schemas.microsoft.com/office/drawing/2014/main" id="{0F2ED852-8D61-4B5C-AA3F-5140350A9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19050"/>
    <xdr:pic>
      <xdr:nvPicPr>
        <xdr:cNvPr id="478" name="Picture 5">
          <a:extLst>
            <a:ext uri="{FF2B5EF4-FFF2-40B4-BE49-F238E27FC236}">
              <a16:creationId xmlns:a16="http://schemas.microsoft.com/office/drawing/2014/main" id="{C35D2501-1096-4386-B8B5-7592C7538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104775"/>
    <xdr:pic>
      <xdr:nvPicPr>
        <xdr:cNvPr id="479" name="Picture 5">
          <a:extLst>
            <a:ext uri="{FF2B5EF4-FFF2-40B4-BE49-F238E27FC236}">
              <a16:creationId xmlns:a16="http://schemas.microsoft.com/office/drawing/2014/main" id="{61BBD65B-5E35-4471-9BA9-852D135DB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368445"/>
    <xdr:pic>
      <xdr:nvPicPr>
        <xdr:cNvPr id="480" name="Picture 5">
          <a:extLst>
            <a:ext uri="{FF2B5EF4-FFF2-40B4-BE49-F238E27FC236}">
              <a16:creationId xmlns:a16="http://schemas.microsoft.com/office/drawing/2014/main" id="{C785A7C6-EA22-4C29-B391-00159E4FA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368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368445"/>
    <xdr:pic>
      <xdr:nvPicPr>
        <xdr:cNvPr id="481" name="Picture 5">
          <a:extLst>
            <a:ext uri="{FF2B5EF4-FFF2-40B4-BE49-F238E27FC236}">
              <a16:creationId xmlns:a16="http://schemas.microsoft.com/office/drawing/2014/main" id="{FC16A893-03EF-4881-991D-FE9415891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368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482" name="Picture 5">
          <a:extLst>
            <a:ext uri="{FF2B5EF4-FFF2-40B4-BE49-F238E27FC236}">
              <a16:creationId xmlns:a16="http://schemas.microsoft.com/office/drawing/2014/main" id="{75CD0E96-2435-424B-8CD9-9E72842B6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483" name="Picture 13">
          <a:extLst>
            <a:ext uri="{FF2B5EF4-FFF2-40B4-BE49-F238E27FC236}">
              <a16:creationId xmlns:a16="http://schemas.microsoft.com/office/drawing/2014/main" id="{E5387688-946A-4D51-8211-917E98D4F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484" name="Picture 5">
          <a:extLst>
            <a:ext uri="{FF2B5EF4-FFF2-40B4-BE49-F238E27FC236}">
              <a16:creationId xmlns:a16="http://schemas.microsoft.com/office/drawing/2014/main" id="{71981D63-91C5-4D2E-A06F-76FF3ADFD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485" name="Picture 5">
          <a:extLst>
            <a:ext uri="{FF2B5EF4-FFF2-40B4-BE49-F238E27FC236}">
              <a16:creationId xmlns:a16="http://schemas.microsoft.com/office/drawing/2014/main" id="{1293BCF6-1680-40FB-8535-2DDF8A4FF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486" name="Picture 5">
          <a:extLst>
            <a:ext uri="{FF2B5EF4-FFF2-40B4-BE49-F238E27FC236}">
              <a16:creationId xmlns:a16="http://schemas.microsoft.com/office/drawing/2014/main" id="{4690F6C6-2D5C-460C-A216-E50F56196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487" name="Picture 5">
          <a:extLst>
            <a:ext uri="{FF2B5EF4-FFF2-40B4-BE49-F238E27FC236}">
              <a16:creationId xmlns:a16="http://schemas.microsoft.com/office/drawing/2014/main" id="{CA62CAF7-59D1-4A67-B574-4316726F3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488" name="Picture 5">
          <a:extLst>
            <a:ext uri="{FF2B5EF4-FFF2-40B4-BE49-F238E27FC236}">
              <a16:creationId xmlns:a16="http://schemas.microsoft.com/office/drawing/2014/main" id="{DBC768F9-F995-4DDE-8515-1B5851A57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489" name="Picture 13">
          <a:extLst>
            <a:ext uri="{FF2B5EF4-FFF2-40B4-BE49-F238E27FC236}">
              <a16:creationId xmlns:a16="http://schemas.microsoft.com/office/drawing/2014/main" id="{2689161F-DCFF-4BFB-B20A-94A88DED5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490" name="Picture 5">
          <a:extLst>
            <a:ext uri="{FF2B5EF4-FFF2-40B4-BE49-F238E27FC236}">
              <a16:creationId xmlns:a16="http://schemas.microsoft.com/office/drawing/2014/main" id="{75012A3B-2976-42CE-887E-9F9A30506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491" name="Picture 5">
          <a:extLst>
            <a:ext uri="{FF2B5EF4-FFF2-40B4-BE49-F238E27FC236}">
              <a16:creationId xmlns:a16="http://schemas.microsoft.com/office/drawing/2014/main" id="{E5724CD5-6216-4DA9-ACB6-FEAC9CE4C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492" name="Picture 5">
          <a:extLst>
            <a:ext uri="{FF2B5EF4-FFF2-40B4-BE49-F238E27FC236}">
              <a16:creationId xmlns:a16="http://schemas.microsoft.com/office/drawing/2014/main" id="{2C78A6C8-CC96-4C79-8AE5-6B530FCEA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493" name="Picture 5">
          <a:extLst>
            <a:ext uri="{FF2B5EF4-FFF2-40B4-BE49-F238E27FC236}">
              <a16:creationId xmlns:a16="http://schemas.microsoft.com/office/drawing/2014/main" id="{F1E187B6-DF78-42FB-9C54-936757D48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494" name="Picture 5">
          <a:extLst>
            <a:ext uri="{FF2B5EF4-FFF2-40B4-BE49-F238E27FC236}">
              <a16:creationId xmlns:a16="http://schemas.microsoft.com/office/drawing/2014/main" id="{4CE4828E-B8DC-4EBC-9420-2E583845C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495" name="Picture 13">
          <a:extLst>
            <a:ext uri="{FF2B5EF4-FFF2-40B4-BE49-F238E27FC236}">
              <a16:creationId xmlns:a16="http://schemas.microsoft.com/office/drawing/2014/main" id="{41631219-DD1F-436A-A811-5ED87E55B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496" name="Picture 5">
          <a:extLst>
            <a:ext uri="{FF2B5EF4-FFF2-40B4-BE49-F238E27FC236}">
              <a16:creationId xmlns:a16="http://schemas.microsoft.com/office/drawing/2014/main" id="{25EF77D3-6296-400D-8A83-6A8045854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497" name="Picture 5">
          <a:extLst>
            <a:ext uri="{FF2B5EF4-FFF2-40B4-BE49-F238E27FC236}">
              <a16:creationId xmlns:a16="http://schemas.microsoft.com/office/drawing/2014/main" id="{91A60DEA-AC92-4E4C-AE54-750222BDA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498" name="Picture 5">
          <a:extLst>
            <a:ext uri="{FF2B5EF4-FFF2-40B4-BE49-F238E27FC236}">
              <a16:creationId xmlns:a16="http://schemas.microsoft.com/office/drawing/2014/main" id="{C8F9D04C-F64A-4A5B-B814-8025AF5E6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499" name="Picture 5">
          <a:extLst>
            <a:ext uri="{FF2B5EF4-FFF2-40B4-BE49-F238E27FC236}">
              <a16:creationId xmlns:a16="http://schemas.microsoft.com/office/drawing/2014/main" id="{277A402A-0EAE-4356-A457-4D670DDB6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500" name="Picture 5">
          <a:extLst>
            <a:ext uri="{FF2B5EF4-FFF2-40B4-BE49-F238E27FC236}">
              <a16:creationId xmlns:a16="http://schemas.microsoft.com/office/drawing/2014/main" id="{B6EBA3CE-A61B-4324-8578-CFFC148A0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501" name="Picture 13">
          <a:extLst>
            <a:ext uri="{FF2B5EF4-FFF2-40B4-BE49-F238E27FC236}">
              <a16:creationId xmlns:a16="http://schemas.microsoft.com/office/drawing/2014/main" id="{7CB24ABD-64E6-40E8-86D0-AE8DC7A3D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502" name="Picture 5">
          <a:extLst>
            <a:ext uri="{FF2B5EF4-FFF2-40B4-BE49-F238E27FC236}">
              <a16:creationId xmlns:a16="http://schemas.microsoft.com/office/drawing/2014/main" id="{183E832A-4B1B-483B-BC59-537B2C979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503" name="Picture 5">
          <a:extLst>
            <a:ext uri="{FF2B5EF4-FFF2-40B4-BE49-F238E27FC236}">
              <a16:creationId xmlns:a16="http://schemas.microsoft.com/office/drawing/2014/main" id="{C2179F30-2ED6-4526-881B-0C96772B0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504" name="Picture 5">
          <a:extLst>
            <a:ext uri="{FF2B5EF4-FFF2-40B4-BE49-F238E27FC236}">
              <a16:creationId xmlns:a16="http://schemas.microsoft.com/office/drawing/2014/main" id="{67B399D5-27FA-4268-937C-9EDECB80A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505" name="Picture 5">
          <a:extLst>
            <a:ext uri="{FF2B5EF4-FFF2-40B4-BE49-F238E27FC236}">
              <a16:creationId xmlns:a16="http://schemas.microsoft.com/office/drawing/2014/main" id="{CBC0DD49-B9F1-47D7-AE2F-770A3E9A9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506" name="Picture 5">
          <a:extLst>
            <a:ext uri="{FF2B5EF4-FFF2-40B4-BE49-F238E27FC236}">
              <a16:creationId xmlns:a16="http://schemas.microsoft.com/office/drawing/2014/main" id="{2952D94A-B980-4183-886C-79E674965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507" name="Picture 13">
          <a:extLst>
            <a:ext uri="{FF2B5EF4-FFF2-40B4-BE49-F238E27FC236}">
              <a16:creationId xmlns:a16="http://schemas.microsoft.com/office/drawing/2014/main" id="{F88A0F6F-E0D6-482B-A6D2-F26A8C498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508" name="Picture 5">
          <a:extLst>
            <a:ext uri="{FF2B5EF4-FFF2-40B4-BE49-F238E27FC236}">
              <a16:creationId xmlns:a16="http://schemas.microsoft.com/office/drawing/2014/main" id="{3E22659E-B9C2-42FB-965A-9D02F4AF8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509" name="Picture 5">
          <a:extLst>
            <a:ext uri="{FF2B5EF4-FFF2-40B4-BE49-F238E27FC236}">
              <a16:creationId xmlns:a16="http://schemas.microsoft.com/office/drawing/2014/main" id="{B5206919-0D57-472D-9818-E83B649F9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510" name="Picture 5">
          <a:extLst>
            <a:ext uri="{FF2B5EF4-FFF2-40B4-BE49-F238E27FC236}">
              <a16:creationId xmlns:a16="http://schemas.microsoft.com/office/drawing/2014/main" id="{CCAAC966-1815-4B82-9310-C22DA4F8C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511" name="Picture 5">
          <a:extLst>
            <a:ext uri="{FF2B5EF4-FFF2-40B4-BE49-F238E27FC236}">
              <a16:creationId xmlns:a16="http://schemas.microsoft.com/office/drawing/2014/main" id="{40FBF811-FBC3-4E1F-A346-E42D55819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512" name="Picture 5">
          <a:extLst>
            <a:ext uri="{FF2B5EF4-FFF2-40B4-BE49-F238E27FC236}">
              <a16:creationId xmlns:a16="http://schemas.microsoft.com/office/drawing/2014/main" id="{F3A5525B-0A24-449F-B4CE-FC9422813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513" name="Picture 13">
          <a:extLst>
            <a:ext uri="{FF2B5EF4-FFF2-40B4-BE49-F238E27FC236}">
              <a16:creationId xmlns:a16="http://schemas.microsoft.com/office/drawing/2014/main" id="{2F62A244-1CBA-465D-8AB8-1E810C8C3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514" name="Picture 5">
          <a:extLst>
            <a:ext uri="{FF2B5EF4-FFF2-40B4-BE49-F238E27FC236}">
              <a16:creationId xmlns:a16="http://schemas.microsoft.com/office/drawing/2014/main" id="{51308CDF-A229-4580-A0F6-6AB805420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515" name="Picture 5">
          <a:extLst>
            <a:ext uri="{FF2B5EF4-FFF2-40B4-BE49-F238E27FC236}">
              <a16:creationId xmlns:a16="http://schemas.microsoft.com/office/drawing/2014/main" id="{716A3393-0404-4E97-9019-391A2AB66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516" name="Picture 5">
          <a:extLst>
            <a:ext uri="{FF2B5EF4-FFF2-40B4-BE49-F238E27FC236}">
              <a16:creationId xmlns:a16="http://schemas.microsoft.com/office/drawing/2014/main" id="{F2EFBE2D-795C-489D-951D-7A7AB7EED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517" name="Picture 5">
          <a:extLst>
            <a:ext uri="{FF2B5EF4-FFF2-40B4-BE49-F238E27FC236}">
              <a16:creationId xmlns:a16="http://schemas.microsoft.com/office/drawing/2014/main" id="{32A0FB8D-49C8-4A70-8B83-B9B23332C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518" name="Picture 5">
          <a:extLst>
            <a:ext uri="{FF2B5EF4-FFF2-40B4-BE49-F238E27FC236}">
              <a16:creationId xmlns:a16="http://schemas.microsoft.com/office/drawing/2014/main" id="{A3E40199-43A5-4C22-A2B8-FE8333488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519" name="Picture 13">
          <a:extLst>
            <a:ext uri="{FF2B5EF4-FFF2-40B4-BE49-F238E27FC236}">
              <a16:creationId xmlns:a16="http://schemas.microsoft.com/office/drawing/2014/main" id="{9D0E5470-AEE3-4F08-99D7-C16594CC2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520" name="Picture 5">
          <a:extLst>
            <a:ext uri="{FF2B5EF4-FFF2-40B4-BE49-F238E27FC236}">
              <a16:creationId xmlns:a16="http://schemas.microsoft.com/office/drawing/2014/main" id="{1028EDA3-6364-4852-AF22-ABF272D67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521" name="Picture 5">
          <a:extLst>
            <a:ext uri="{FF2B5EF4-FFF2-40B4-BE49-F238E27FC236}">
              <a16:creationId xmlns:a16="http://schemas.microsoft.com/office/drawing/2014/main" id="{9ADED306-B511-4394-9DDB-27D08BA92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522" name="Picture 5">
          <a:extLst>
            <a:ext uri="{FF2B5EF4-FFF2-40B4-BE49-F238E27FC236}">
              <a16:creationId xmlns:a16="http://schemas.microsoft.com/office/drawing/2014/main" id="{23DD4E34-A4F0-4BC6-BF6C-C05473FEF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523" name="Picture 5">
          <a:extLst>
            <a:ext uri="{FF2B5EF4-FFF2-40B4-BE49-F238E27FC236}">
              <a16:creationId xmlns:a16="http://schemas.microsoft.com/office/drawing/2014/main" id="{C9D24759-4636-4A59-8727-B5541851A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524" name="Picture 5">
          <a:extLst>
            <a:ext uri="{FF2B5EF4-FFF2-40B4-BE49-F238E27FC236}">
              <a16:creationId xmlns:a16="http://schemas.microsoft.com/office/drawing/2014/main" id="{19833C72-609A-49CE-A999-82CB3ADC5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525" name="Picture 13">
          <a:extLst>
            <a:ext uri="{FF2B5EF4-FFF2-40B4-BE49-F238E27FC236}">
              <a16:creationId xmlns:a16="http://schemas.microsoft.com/office/drawing/2014/main" id="{C36D34A3-8167-44B8-8BC7-8ADF37A54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526" name="Picture 5">
          <a:extLst>
            <a:ext uri="{FF2B5EF4-FFF2-40B4-BE49-F238E27FC236}">
              <a16:creationId xmlns:a16="http://schemas.microsoft.com/office/drawing/2014/main" id="{77DBD9F8-6D6E-4DA2-8DD2-BF5CD9779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527" name="Picture 5">
          <a:extLst>
            <a:ext uri="{FF2B5EF4-FFF2-40B4-BE49-F238E27FC236}">
              <a16:creationId xmlns:a16="http://schemas.microsoft.com/office/drawing/2014/main" id="{3F43A6D8-EA0F-44E8-9218-90C583E73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528" name="Picture 5">
          <a:extLst>
            <a:ext uri="{FF2B5EF4-FFF2-40B4-BE49-F238E27FC236}">
              <a16:creationId xmlns:a16="http://schemas.microsoft.com/office/drawing/2014/main" id="{D2839D46-01F9-4CB1-9BAB-6FB0FA955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529" name="Picture 5">
          <a:extLst>
            <a:ext uri="{FF2B5EF4-FFF2-40B4-BE49-F238E27FC236}">
              <a16:creationId xmlns:a16="http://schemas.microsoft.com/office/drawing/2014/main" id="{B5AF016A-446C-47C8-B1DB-DAFACD6C9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530" name="Picture 5">
          <a:extLst>
            <a:ext uri="{FF2B5EF4-FFF2-40B4-BE49-F238E27FC236}">
              <a16:creationId xmlns:a16="http://schemas.microsoft.com/office/drawing/2014/main" id="{54B0F988-B3DC-4E2F-8DAA-D2496B511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531" name="Picture 13">
          <a:extLst>
            <a:ext uri="{FF2B5EF4-FFF2-40B4-BE49-F238E27FC236}">
              <a16:creationId xmlns:a16="http://schemas.microsoft.com/office/drawing/2014/main" id="{EC4B95FE-424D-4723-948F-D0BB68991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532" name="Picture 5">
          <a:extLst>
            <a:ext uri="{FF2B5EF4-FFF2-40B4-BE49-F238E27FC236}">
              <a16:creationId xmlns:a16="http://schemas.microsoft.com/office/drawing/2014/main" id="{6CB2EA0B-DCB1-40E9-B430-6D00EC2FA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533" name="Picture 5">
          <a:extLst>
            <a:ext uri="{FF2B5EF4-FFF2-40B4-BE49-F238E27FC236}">
              <a16:creationId xmlns:a16="http://schemas.microsoft.com/office/drawing/2014/main" id="{2B7A2CBB-D456-4D65-A351-06B65EFA5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534" name="Picture 5">
          <a:extLst>
            <a:ext uri="{FF2B5EF4-FFF2-40B4-BE49-F238E27FC236}">
              <a16:creationId xmlns:a16="http://schemas.microsoft.com/office/drawing/2014/main" id="{B971EB3E-2A13-4943-B89C-B0AF36AD2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535" name="Picture 5">
          <a:extLst>
            <a:ext uri="{FF2B5EF4-FFF2-40B4-BE49-F238E27FC236}">
              <a16:creationId xmlns:a16="http://schemas.microsoft.com/office/drawing/2014/main" id="{C1902683-DF28-4184-A3CA-5BE6B1B9F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536" name="Picture 5">
          <a:extLst>
            <a:ext uri="{FF2B5EF4-FFF2-40B4-BE49-F238E27FC236}">
              <a16:creationId xmlns:a16="http://schemas.microsoft.com/office/drawing/2014/main" id="{5F10AF48-57DC-45B7-9F8C-3EC67E571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537" name="Picture 13">
          <a:extLst>
            <a:ext uri="{FF2B5EF4-FFF2-40B4-BE49-F238E27FC236}">
              <a16:creationId xmlns:a16="http://schemas.microsoft.com/office/drawing/2014/main" id="{3AD1CEA4-1E36-4B88-AAE7-87BAAC0F0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538" name="Picture 5">
          <a:extLst>
            <a:ext uri="{FF2B5EF4-FFF2-40B4-BE49-F238E27FC236}">
              <a16:creationId xmlns:a16="http://schemas.microsoft.com/office/drawing/2014/main" id="{4508E694-6477-400D-8E64-34AE26395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539" name="Picture 5">
          <a:extLst>
            <a:ext uri="{FF2B5EF4-FFF2-40B4-BE49-F238E27FC236}">
              <a16:creationId xmlns:a16="http://schemas.microsoft.com/office/drawing/2014/main" id="{0C015AB2-AF31-4711-B228-3836F3B8D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540" name="Picture 5">
          <a:extLst>
            <a:ext uri="{FF2B5EF4-FFF2-40B4-BE49-F238E27FC236}">
              <a16:creationId xmlns:a16="http://schemas.microsoft.com/office/drawing/2014/main" id="{ABC25365-73F6-4ED2-B684-3B2B95561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541" name="Picture 5">
          <a:extLst>
            <a:ext uri="{FF2B5EF4-FFF2-40B4-BE49-F238E27FC236}">
              <a16:creationId xmlns:a16="http://schemas.microsoft.com/office/drawing/2014/main" id="{6212ABEC-B539-49EF-84E1-893B84C01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542" name="Picture 5">
          <a:extLst>
            <a:ext uri="{FF2B5EF4-FFF2-40B4-BE49-F238E27FC236}">
              <a16:creationId xmlns:a16="http://schemas.microsoft.com/office/drawing/2014/main" id="{E071B4F5-596D-407C-B38A-E325D8804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543" name="Picture 13">
          <a:extLst>
            <a:ext uri="{FF2B5EF4-FFF2-40B4-BE49-F238E27FC236}">
              <a16:creationId xmlns:a16="http://schemas.microsoft.com/office/drawing/2014/main" id="{61EE7D75-98FA-4664-91A2-07380430B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544" name="Picture 5">
          <a:extLst>
            <a:ext uri="{FF2B5EF4-FFF2-40B4-BE49-F238E27FC236}">
              <a16:creationId xmlns:a16="http://schemas.microsoft.com/office/drawing/2014/main" id="{96AB8E90-1FF2-4609-8EBF-3C0C563E5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545" name="Picture 5">
          <a:extLst>
            <a:ext uri="{FF2B5EF4-FFF2-40B4-BE49-F238E27FC236}">
              <a16:creationId xmlns:a16="http://schemas.microsoft.com/office/drawing/2014/main" id="{88BF7B32-FE39-4518-9001-9B551BA1D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546" name="Picture 5">
          <a:extLst>
            <a:ext uri="{FF2B5EF4-FFF2-40B4-BE49-F238E27FC236}">
              <a16:creationId xmlns:a16="http://schemas.microsoft.com/office/drawing/2014/main" id="{3A65EEBA-F1B0-45EA-80EA-59127CDAC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547" name="Picture 5">
          <a:extLst>
            <a:ext uri="{FF2B5EF4-FFF2-40B4-BE49-F238E27FC236}">
              <a16:creationId xmlns:a16="http://schemas.microsoft.com/office/drawing/2014/main" id="{CF3663E3-2835-45BA-B263-3CC3FD44B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548" name="Picture 5">
          <a:extLst>
            <a:ext uri="{FF2B5EF4-FFF2-40B4-BE49-F238E27FC236}">
              <a16:creationId xmlns:a16="http://schemas.microsoft.com/office/drawing/2014/main" id="{5BEB311B-6E15-43DE-A1B2-AD2E0F17A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549" name="Picture 13">
          <a:extLst>
            <a:ext uri="{FF2B5EF4-FFF2-40B4-BE49-F238E27FC236}">
              <a16:creationId xmlns:a16="http://schemas.microsoft.com/office/drawing/2014/main" id="{91DB1EDC-5AE1-4C39-9977-ABBF3EF27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550" name="Picture 5">
          <a:extLst>
            <a:ext uri="{FF2B5EF4-FFF2-40B4-BE49-F238E27FC236}">
              <a16:creationId xmlns:a16="http://schemas.microsoft.com/office/drawing/2014/main" id="{30FE2A3A-C2FB-4F24-A2A3-023380B72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551" name="Picture 5">
          <a:extLst>
            <a:ext uri="{FF2B5EF4-FFF2-40B4-BE49-F238E27FC236}">
              <a16:creationId xmlns:a16="http://schemas.microsoft.com/office/drawing/2014/main" id="{42ABE987-1C16-4A15-9713-8436C05E9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552" name="Picture 5">
          <a:extLst>
            <a:ext uri="{FF2B5EF4-FFF2-40B4-BE49-F238E27FC236}">
              <a16:creationId xmlns:a16="http://schemas.microsoft.com/office/drawing/2014/main" id="{060F7FF6-FC7F-4C12-807A-1DFFB55F1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553" name="Picture 5">
          <a:extLst>
            <a:ext uri="{FF2B5EF4-FFF2-40B4-BE49-F238E27FC236}">
              <a16:creationId xmlns:a16="http://schemas.microsoft.com/office/drawing/2014/main" id="{33FF2DF5-8DCA-443E-BC5C-8908CB118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554" name="Picture 5">
          <a:extLst>
            <a:ext uri="{FF2B5EF4-FFF2-40B4-BE49-F238E27FC236}">
              <a16:creationId xmlns:a16="http://schemas.microsoft.com/office/drawing/2014/main" id="{ACDB51E4-B153-4E74-995B-EE92CBC73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555" name="Picture 13">
          <a:extLst>
            <a:ext uri="{FF2B5EF4-FFF2-40B4-BE49-F238E27FC236}">
              <a16:creationId xmlns:a16="http://schemas.microsoft.com/office/drawing/2014/main" id="{599BD97D-4721-48BA-9058-74F1D3245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50</xdr:row>
      <xdr:rowOff>0</xdr:rowOff>
    </xdr:from>
    <xdr:ext cx="800100" cy="4082"/>
    <xdr:pic>
      <xdr:nvPicPr>
        <xdr:cNvPr id="556" name="Picture 5">
          <a:extLst>
            <a:ext uri="{FF2B5EF4-FFF2-40B4-BE49-F238E27FC236}">
              <a16:creationId xmlns:a16="http://schemas.microsoft.com/office/drawing/2014/main" id="{CAC9C269-D298-42F7-88FD-B1A679B46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9845040"/>
          <a:ext cx="80010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557" name="Picture 5">
          <a:extLst>
            <a:ext uri="{FF2B5EF4-FFF2-40B4-BE49-F238E27FC236}">
              <a16:creationId xmlns:a16="http://schemas.microsoft.com/office/drawing/2014/main" id="{9FC08802-EF23-4781-A2C4-9729B53A0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558" name="Picture 5">
          <a:extLst>
            <a:ext uri="{FF2B5EF4-FFF2-40B4-BE49-F238E27FC236}">
              <a16:creationId xmlns:a16="http://schemas.microsoft.com/office/drawing/2014/main" id="{D1BB91D0-9218-4557-B629-C9AB2865D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559" name="Picture 5">
          <a:extLst>
            <a:ext uri="{FF2B5EF4-FFF2-40B4-BE49-F238E27FC236}">
              <a16:creationId xmlns:a16="http://schemas.microsoft.com/office/drawing/2014/main" id="{91B3D7EC-20EC-41D8-9CE6-803BB25CB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560" name="Picture 13">
          <a:extLst>
            <a:ext uri="{FF2B5EF4-FFF2-40B4-BE49-F238E27FC236}">
              <a16:creationId xmlns:a16="http://schemas.microsoft.com/office/drawing/2014/main" id="{6EB21183-C705-4A36-A495-EA396A696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561" name="Picture 5">
          <a:extLst>
            <a:ext uri="{FF2B5EF4-FFF2-40B4-BE49-F238E27FC236}">
              <a16:creationId xmlns:a16="http://schemas.microsoft.com/office/drawing/2014/main" id="{B501F844-0250-449A-98CE-3D3F87068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590550</xdr:colOff>
      <xdr:row>50</xdr:row>
      <xdr:rowOff>0</xdr:rowOff>
    </xdr:from>
    <xdr:ext cx="0" cy="4082"/>
    <xdr:pic>
      <xdr:nvPicPr>
        <xdr:cNvPr id="562" name="Picture 5">
          <a:extLst>
            <a:ext uri="{FF2B5EF4-FFF2-40B4-BE49-F238E27FC236}">
              <a16:creationId xmlns:a16="http://schemas.microsoft.com/office/drawing/2014/main" id="{15D1E58D-0057-4557-9031-FF8C027B4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9845040"/>
          <a:ext cx="0" cy="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42072-ED48-46E6-A518-A791DAD6144C}">
  <dimension ref="B2:E14"/>
  <sheetViews>
    <sheetView showGridLines="0" tabSelected="1" workbookViewId="0">
      <selection activeCell="I8" sqref="I8"/>
    </sheetView>
  </sheetViews>
  <sheetFormatPr defaultRowHeight="14.4" x14ac:dyDescent="0.3"/>
  <cols>
    <col min="2" max="2" width="49.33203125" customWidth="1"/>
    <col min="3" max="4" width="32.33203125" customWidth="1"/>
  </cols>
  <sheetData>
    <row r="2" spans="2:5" ht="21" x14ac:dyDescent="0.3">
      <c r="B2" s="78" t="s">
        <v>191</v>
      </c>
      <c r="C2" s="78" t="s">
        <v>192</v>
      </c>
      <c r="D2" s="78" t="s">
        <v>193</v>
      </c>
      <c r="E2" s="88">
        <v>2.7</v>
      </c>
    </row>
    <row r="3" spans="2:5" ht="21" x14ac:dyDescent="0.4">
      <c r="B3" s="79" t="s">
        <v>189</v>
      </c>
      <c r="C3" s="80">
        <f>'ვერტიკალური გეგმარება'!M208</f>
        <v>0</v>
      </c>
      <c r="D3" s="82">
        <f>C3/$E$2</f>
        <v>0</v>
      </c>
    </row>
    <row r="4" spans="2:5" ht="21" x14ac:dyDescent="0.4">
      <c r="B4" s="79" t="s">
        <v>86</v>
      </c>
      <c r="C4" s="80">
        <f>დენდროლოგია!M48</f>
        <v>0</v>
      </c>
      <c r="D4" s="82">
        <f>C4/$E$2</f>
        <v>0</v>
      </c>
    </row>
    <row r="5" spans="2:5" ht="21" x14ac:dyDescent="0.4">
      <c r="B5" s="79" t="s">
        <v>87</v>
      </c>
      <c r="C5" s="80">
        <f>'ტერიტორიის საყრდენი კედლები'!L262</f>
        <v>0</v>
      </c>
      <c r="D5" s="82">
        <f>C5/$E$2</f>
        <v>0</v>
      </c>
    </row>
    <row r="6" spans="2:5" ht="21" x14ac:dyDescent="0.4">
      <c r="B6" s="79" t="s">
        <v>85</v>
      </c>
      <c r="C6" s="80">
        <f>'გარე განათება'!M53</f>
        <v>0</v>
      </c>
      <c r="D6" s="82">
        <f>C6/$E$2</f>
        <v>0</v>
      </c>
    </row>
    <row r="7" spans="2:5" ht="21" x14ac:dyDescent="0.4">
      <c r="B7" s="79" t="s">
        <v>190</v>
      </c>
      <c r="C7" s="80">
        <f>'გარე კომუნიკაცია'!J69</f>
        <v>0</v>
      </c>
      <c r="D7" s="82">
        <f>C7/$E$2</f>
        <v>0</v>
      </c>
    </row>
    <row r="8" spans="2:5" ht="21" x14ac:dyDescent="0.3">
      <c r="B8" s="78"/>
      <c r="C8" s="81">
        <f>SUM(C3:C7)</f>
        <v>0</v>
      </c>
      <c r="D8" s="83">
        <f>SUM(D3:D7)</f>
        <v>0</v>
      </c>
    </row>
    <row r="11" spans="2:5" x14ac:dyDescent="0.3">
      <c r="B11" s="87"/>
    </row>
    <row r="14" spans="2:5" ht="15.6" x14ac:dyDescent="0.3">
      <c r="B14" s="6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BA920-F744-4DEF-95BE-8B821A74D771}">
  <dimension ref="A2:CG208"/>
  <sheetViews>
    <sheetView showGridLines="0" workbookViewId="0">
      <selection activeCell="N98" sqref="N98"/>
    </sheetView>
  </sheetViews>
  <sheetFormatPr defaultRowHeight="14.4" x14ac:dyDescent="0.3"/>
  <cols>
    <col min="1" max="1" width="1.77734375" style="26" customWidth="1"/>
    <col min="2" max="2" width="8.88671875" style="26"/>
    <col min="3" max="3" width="88.6640625" style="26" customWidth="1"/>
    <col min="4" max="6" width="8.88671875" style="26"/>
    <col min="7" max="7" width="11.109375" style="26" bestFit="1" customWidth="1"/>
    <col min="8" max="8" width="11" style="26" bestFit="1" customWidth="1"/>
    <col min="9" max="9" width="8.88671875" style="26"/>
    <col min="10" max="10" width="11" style="26" bestFit="1" customWidth="1"/>
    <col min="11" max="11" width="8.88671875" style="26"/>
    <col min="12" max="12" width="11" style="26" bestFit="1" customWidth="1"/>
    <col min="13" max="13" width="16" style="26" bestFit="1" customWidth="1"/>
    <col min="14" max="14" width="11.44140625" style="52" bestFit="1" customWidth="1"/>
    <col min="15" max="16384" width="8.88671875" style="26"/>
  </cols>
  <sheetData>
    <row r="2" spans="1:14" s="1" customFormat="1" ht="25.2" customHeight="1" x14ac:dyDescent="0.3">
      <c r="B2" s="107" t="s">
        <v>0</v>
      </c>
      <c r="C2" s="109" t="s">
        <v>1</v>
      </c>
      <c r="D2" s="109" t="s">
        <v>2</v>
      </c>
      <c r="E2" s="109" t="s">
        <v>3</v>
      </c>
      <c r="F2" s="109" t="s">
        <v>4</v>
      </c>
      <c r="G2" s="104" t="s">
        <v>5</v>
      </c>
      <c r="H2" s="104"/>
      <c r="I2" s="104" t="s">
        <v>6</v>
      </c>
      <c r="J2" s="104"/>
      <c r="K2" s="104" t="s">
        <v>7</v>
      </c>
      <c r="L2" s="104"/>
      <c r="M2" s="105" t="s">
        <v>8</v>
      </c>
      <c r="N2" s="47"/>
    </row>
    <row r="3" spans="1:14" s="1" customFormat="1" ht="31.8" customHeight="1" x14ac:dyDescent="0.3">
      <c r="B3" s="108"/>
      <c r="C3" s="110"/>
      <c r="D3" s="110"/>
      <c r="E3" s="110"/>
      <c r="F3" s="111"/>
      <c r="G3" s="2" t="s">
        <v>9</v>
      </c>
      <c r="H3" s="2" t="s">
        <v>10</v>
      </c>
      <c r="I3" s="2" t="s">
        <v>9</v>
      </c>
      <c r="J3" s="2" t="s">
        <v>10</v>
      </c>
      <c r="K3" s="2" t="s">
        <v>9</v>
      </c>
      <c r="L3" s="2" t="s">
        <v>10</v>
      </c>
      <c r="M3" s="106"/>
      <c r="N3" s="46"/>
    </row>
    <row r="4" spans="1:14" s="3" customFormat="1" ht="21" customHeight="1" x14ac:dyDescent="0.3">
      <c r="B4" s="4">
        <v>1</v>
      </c>
      <c r="C4" s="4">
        <v>2</v>
      </c>
      <c r="D4" s="4">
        <v>3</v>
      </c>
      <c r="E4" s="4">
        <v>4</v>
      </c>
      <c r="F4" s="4">
        <v>5</v>
      </c>
      <c r="G4" s="4">
        <v>6</v>
      </c>
      <c r="H4" s="4">
        <v>7</v>
      </c>
      <c r="I4" s="4">
        <v>8</v>
      </c>
      <c r="J4" s="4">
        <v>9</v>
      </c>
      <c r="K4" s="4">
        <v>10</v>
      </c>
      <c r="L4" s="4">
        <v>11</v>
      </c>
      <c r="M4" s="4">
        <v>12</v>
      </c>
      <c r="N4" s="47"/>
    </row>
    <row r="5" spans="1:14" s="3" customFormat="1" x14ac:dyDescent="0.3">
      <c r="B5" s="5">
        <v>1</v>
      </c>
      <c r="C5" s="23" t="s">
        <v>77</v>
      </c>
      <c r="D5" s="6" t="s">
        <v>11</v>
      </c>
      <c r="E5" s="6"/>
      <c r="F5" s="7">
        <f>1351.21+622.6</f>
        <v>1973.81</v>
      </c>
      <c r="G5" s="8"/>
      <c r="H5" s="9"/>
      <c r="I5" s="10"/>
      <c r="J5" s="9"/>
      <c r="K5" s="10"/>
      <c r="L5" s="9"/>
      <c r="M5" s="11"/>
    </row>
    <row r="6" spans="1:14" s="3" customFormat="1" ht="13.8" x14ac:dyDescent="0.3">
      <c r="B6" s="12"/>
      <c r="C6" s="13" t="s">
        <v>104</v>
      </c>
      <c r="D6" s="14" t="s">
        <v>11</v>
      </c>
      <c r="E6" s="12">
        <v>1</v>
      </c>
      <c r="F6" s="15">
        <f>F5</f>
        <v>1973.81</v>
      </c>
      <c r="G6" s="16"/>
      <c r="H6" s="16"/>
      <c r="I6" s="16"/>
      <c r="J6" s="16"/>
      <c r="K6" s="16"/>
      <c r="L6" s="16">
        <f>F6*K6</f>
        <v>0</v>
      </c>
      <c r="M6" s="16">
        <f>H6+J6+L6</f>
        <v>0</v>
      </c>
      <c r="N6" s="89"/>
    </row>
    <row r="7" spans="1:14" s="3" customFormat="1" x14ac:dyDescent="0.3">
      <c r="B7" s="5">
        <f>MAX($B$5:B6)+1</f>
        <v>2</v>
      </c>
      <c r="C7" s="23" t="s">
        <v>12</v>
      </c>
      <c r="D7" s="6" t="s">
        <v>13</v>
      </c>
      <c r="E7" s="6"/>
      <c r="F7" s="7">
        <f>1957+(F69*0.5*0.3)</f>
        <v>2132.3845000000001</v>
      </c>
      <c r="G7" s="8"/>
      <c r="H7" s="9"/>
      <c r="I7" s="10"/>
      <c r="J7" s="9"/>
      <c r="K7" s="10"/>
      <c r="L7" s="9"/>
      <c r="M7" s="11"/>
    </row>
    <row r="8" spans="1:14" s="3" customFormat="1" ht="13.8" x14ac:dyDescent="0.3">
      <c r="B8" s="12"/>
      <c r="C8" s="13" t="s">
        <v>14</v>
      </c>
      <c r="D8" s="14" t="s">
        <v>13</v>
      </c>
      <c r="E8" s="12">
        <v>1</v>
      </c>
      <c r="F8" s="15">
        <f>F7*E8</f>
        <v>2132.3845000000001</v>
      </c>
      <c r="G8" s="16"/>
      <c r="H8" s="16"/>
      <c r="I8" s="16"/>
      <c r="J8" s="16">
        <f>I8*F8</f>
        <v>0</v>
      </c>
      <c r="K8" s="16"/>
      <c r="L8" s="16"/>
      <c r="M8" s="16">
        <f>L8+J8+H8</f>
        <v>0</v>
      </c>
      <c r="N8" s="47"/>
    </row>
    <row r="9" spans="1:14" s="3" customFormat="1" ht="13.8" x14ac:dyDescent="0.3">
      <c r="B9" s="12"/>
      <c r="C9" s="13" t="s">
        <v>15</v>
      </c>
      <c r="D9" s="14" t="str">
        <f>D7</f>
        <v>მ³</v>
      </c>
      <c r="E9" s="12">
        <v>1</v>
      </c>
      <c r="F9" s="15">
        <f>F7*E9</f>
        <v>2132.3845000000001</v>
      </c>
      <c r="G9" s="16"/>
      <c r="H9" s="16"/>
      <c r="I9" s="16"/>
      <c r="J9" s="16"/>
      <c r="K9" s="16"/>
      <c r="L9" s="16">
        <f>K9*F9</f>
        <v>0</v>
      </c>
      <c r="M9" s="16">
        <f>L9+J9+H9</f>
        <v>0</v>
      </c>
      <c r="N9" s="47"/>
    </row>
    <row r="10" spans="1:14" s="3" customFormat="1" ht="13.8" x14ac:dyDescent="0.3">
      <c r="B10" s="12"/>
      <c r="C10" s="13" t="s">
        <v>16</v>
      </c>
      <c r="D10" s="14"/>
      <c r="E10" s="12"/>
      <c r="F10" s="15"/>
      <c r="G10" s="16"/>
      <c r="H10" s="16"/>
      <c r="I10" s="16"/>
      <c r="J10" s="16"/>
      <c r="K10" s="16"/>
      <c r="L10" s="16"/>
      <c r="M10" s="16"/>
    </row>
    <row r="11" spans="1:14" s="3" customFormat="1" ht="13.8" x14ac:dyDescent="0.3">
      <c r="B11" s="12"/>
      <c r="C11" s="13" t="s">
        <v>17</v>
      </c>
      <c r="D11" s="14" t="s">
        <v>13</v>
      </c>
      <c r="E11" s="12">
        <v>1.26</v>
      </c>
      <c r="F11" s="15">
        <f>E11*F7</f>
        <v>2686.80447</v>
      </c>
      <c r="G11" s="17"/>
      <c r="H11" s="16">
        <f>G11*F11</f>
        <v>0</v>
      </c>
      <c r="I11" s="16"/>
      <c r="J11" s="16"/>
      <c r="K11" s="16"/>
      <c r="L11" s="16"/>
      <c r="M11" s="16">
        <f>L11+J11+H11</f>
        <v>0</v>
      </c>
      <c r="N11" s="47"/>
    </row>
    <row r="12" spans="1:14" s="3" customFormat="1" ht="15" x14ac:dyDescent="0.3">
      <c r="B12" s="5">
        <f>MAX($B$5:B11)+1</f>
        <v>3</v>
      </c>
      <c r="C12" s="23" t="s">
        <v>79</v>
      </c>
      <c r="D12" s="6" t="s">
        <v>18</v>
      </c>
      <c r="E12" s="6"/>
      <c r="F12" s="7">
        <f>3020*0.1</f>
        <v>302</v>
      </c>
      <c r="G12" s="8"/>
      <c r="H12" s="9"/>
      <c r="I12" s="10"/>
      <c r="J12" s="9"/>
      <c r="K12" s="10"/>
      <c r="L12" s="9"/>
      <c r="M12" s="11"/>
      <c r="N12" s="46"/>
    </row>
    <row r="13" spans="1:14" s="24" customFormat="1" x14ac:dyDescent="0.3">
      <c r="A13" s="3"/>
      <c r="B13" s="12"/>
      <c r="C13" s="13" t="s">
        <v>14</v>
      </c>
      <c r="D13" s="14" t="s">
        <v>13</v>
      </c>
      <c r="E13" s="12">
        <v>1</v>
      </c>
      <c r="F13" s="15">
        <f>F12*E13</f>
        <v>302</v>
      </c>
      <c r="G13" s="16"/>
      <c r="H13" s="16"/>
      <c r="I13" s="16"/>
      <c r="J13" s="16">
        <f>I13*F13</f>
        <v>0</v>
      </c>
      <c r="K13" s="16"/>
      <c r="L13" s="16"/>
      <c r="M13" s="16">
        <f>L13+J13+H13</f>
        <v>0</v>
      </c>
      <c r="N13" s="48"/>
    </row>
    <row r="14" spans="1:14" s="24" customFormat="1" x14ac:dyDescent="0.3">
      <c r="A14" s="3"/>
      <c r="B14" s="12"/>
      <c r="C14" s="13" t="s">
        <v>15</v>
      </c>
      <c r="D14" s="14" t="str">
        <f>D12</f>
        <v>მ3</v>
      </c>
      <c r="E14" s="12">
        <v>1</v>
      </c>
      <c r="F14" s="15">
        <f>F12*E14</f>
        <v>302</v>
      </c>
      <c r="G14" s="16"/>
      <c r="H14" s="16"/>
      <c r="I14" s="16"/>
      <c r="J14" s="16"/>
      <c r="K14" s="16"/>
      <c r="L14" s="16">
        <f>F14*K14</f>
        <v>0</v>
      </c>
      <c r="M14" s="16">
        <f>L14+J14+H14</f>
        <v>0</v>
      </c>
      <c r="N14" s="48"/>
    </row>
    <row r="15" spans="1:14" s="3" customFormat="1" ht="13.8" x14ac:dyDescent="0.3">
      <c r="B15" s="12"/>
      <c r="C15" s="13" t="s">
        <v>16</v>
      </c>
      <c r="D15" s="14"/>
      <c r="E15" s="12"/>
      <c r="F15" s="15"/>
      <c r="G15" s="16"/>
      <c r="H15" s="16"/>
      <c r="I15" s="16"/>
      <c r="J15" s="16"/>
      <c r="K15" s="16"/>
      <c r="L15" s="16"/>
      <c r="M15" s="16">
        <f>L15+J15+H15</f>
        <v>0</v>
      </c>
      <c r="N15" s="46"/>
    </row>
    <row r="16" spans="1:14" s="3" customFormat="1" ht="15" x14ac:dyDescent="0.3">
      <c r="B16" s="12"/>
      <c r="C16" s="13" t="s">
        <v>44</v>
      </c>
      <c r="D16" s="14" t="s">
        <v>25</v>
      </c>
      <c r="E16" s="12">
        <v>1.22</v>
      </c>
      <c r="F16" s="15">
        <f>E16*F12</f>
        <v>368.44</v>
      </c>
      <c r="G16" s="16"/>
      <c r="H16" s="16">
        <f>G16*F16</f>
        <v>0</v>
      </c>
      <c r="I16" s="16"/>
      <c r="J16" s="16"/>
      <c r="K16" s="16"/>
      <c r="L16" s="16"/>
      <c r="M16" s="16">
        <f>L16+J16+H16</f>
        <v>0</v>
      </c>
      <c r="N16" s="46"/>
    </row>
    <row r="17" spans="2:15" s="3" customFormat="1" ht="15" x14ac:dyDescent="0.3">
      <c r="B17" s="5">
        <f>MAX($B$5:B16)+1</f>
        <v>4</v>
      </c>
      <c r="C17" s="23" t="s">
        <v>24</v>
      </c>
      <c r="D17" s="6" t="s">
        <v>18</v>
      </c>
      <c r="E17" s="6"/>
      <c r="F17" s="7">
        <f>3020*0.15</f>
        <v>453</v>
      </c>
      <c r="G17" s="8"/>
      <c r="H17" s="9"/>
      <c r="I17" s="10"/>
      <c r="J17" s="9"/>
      <c r="K17" s="10"/>
      <c r="L17" s="9"/>
      <c r="M17" s="11"/>
      <c r="N17" s="46"/>
    </row>
    <row r="18" spans="2:15" s="25" customFormat="1" x14ac:dyDescent="0.3">
      <c r="B18" s="12"/>
      <c r="C18" s="13" t="s">
        <v>14</v>
      </c>
      <c r="D18" s="14" t="s">
        <v>13</v>
      </c>
      <c r="E18" s="12">
        <v>1</v>
      </c>
      <c r="F18" s="15">
        <f>F17*E18</f>
        <v>453</v>
      </c>
      <c r="G18" s="16"/>
      <c r="H18" s="16"/>
      <c r="I18" s="17"/>
      <c r="J18" s="16">
        <f>I18*F18</f>
        <v>0</v>
      </c>
      <c r="K18" s="16"/>
      <c r="L18" s="16"/>
      <c r="M18" s="16">
        <f t="shared" ref="M18:M23" si="0">L18+J18+H18</f>
        <v>0</v>
      </c>
      <c r="N18" s="49"/>
    </row>
    <row r="19" spans="2:15" s="25" customFormat="1" ht="15" customHeight="1" x14ac:dyDescent="0.3">
      <c r="B19" s="12"/>
      <c r="C19" s="13" t="s">
        <v>20</v>
      </c>
      <c r="D19" s="14" t="s">
        <v>21</v>
      </c>
      <c r="E19" s="12">
        <v>1.12E-2</v>
      </c>
      <c r="F19" s="15">
        <f>E19*F17</f>
        <v>5.0735999999999999</v>
      </c>
      <c r="G19" s="16"/>
      <c r="H19" s="16"/>
      <c r="I19" s="16"/>
      <c r="J19" s="16"/>
      <c r="K19" s="16"/>
      <c r="L19" s="16">
        <f>K19*F19</f>
        <v>0</v>
      </c>
      <c r="M19" s="16">
        <f t="shared" si="0"/>
        <v>0</v>
      </c>
      <c r="N19" s="49"/>
    </row>
    <row r="20" spans="2:15" s="25" customFormat="1" x14ac:dyDescent="0.3">
      <c r="B20" s="12"/>
      <c r="C20" s="13" t="s">
        <v>22</v>
      </c>
      <c r="D20" s="14" t="s">
        <v>21</v>
      </c>
      <c r="E20" s="12">
        <v>1.2E-2</v>
      </c>
      <c r="F20" s="15">
        <f>E20*F17</f>
        <v>5.4359999999999999</v>
      </c>
      <c r="G20" s="16"/>
      <c r="H20" s="16"/>
      <c r="I20" s="16"/>
      <c r="J20" s="16"/>
      <c r="K20" s="16"/>
      <c r="L20" s="16">
        <f>K20*F20</f>
        <v>0</v>
      </c>
      <c r="M20" s="16">
        <f t="shared" si="0"/>
        <v>0</v>
      </c>
      <c r="N20" s="49"/>
    </row>
    <row r="21" spans="2:15" s="25" customFormat="1" x14ac:dyDescent="0.3">
      <c r="B21" s="12"/>
      <c r="C21" s="13" t="s">
        <v>23</v>
      </c>
      <c r="D21" s="14" t="s">
        <v>21</v>
      </c>
      <c r="E21" s="12">
        <v>2.6100000000000002E-2</v>
      </c>
      <c r="F21" s="15">
        <f>E21*F17</f>
        <v>11.823300000000001</v>
      </c>
      <c r="G21" s="16"/>
      <c r="H21" s="16"/>
      <c r="I21" s="16"/>
      <c r="J21" s="16"/>
      <c r="K21" s="16"/>
      <c r="L21" s="16">
        <f>K21*F21</f>
        <v>0</v>
      </c>
      <c r="M21" s="16">
        <f t="shared" si="0"/>
        <v>0</v>
      </c>
      <c r="N21" s="99">
        <f>M21/F18</f>
        <v>0</v>
      </c>
    </row>
    <row r="22" spans="2:15" s="25" customFormat="1" ht="13.5" customHeight="1" x14ac:dyDescent="0.3">
      <c r="B22" s="12"/>
      <c r="C22" s="13" t="s">
        <v>16</v>
      </c>
      <c r="D22" s="14"/>
      <c r="E22" s="12"/>
      <c r="F22" s="15"/>
      <c r="G22" s="16"/>
      <c r="H22" s="16"/>
      <c r="I22" s="16"/>
      <c r="J22" s="16"/>
      <c r="K22" s="16"/>
      <c r="L22" s="16"/>
      <c r="M22" s="16">
        <f t="shared" si="0"/>
        <v>0</v>
      </c>
      <c r="N22" s="49"/>
    </row>
    <row r="23" spans="2:15" s="25" customFormat="1" ht="16.2" x14ac:dyDescent="0.3">
      <c r="B23" s="12"/>
      <c r="C23" s="13" t="s">
        <v>78</v>
      </c>
      <c r="D23" s="14" t="s">
        <v>74</v>
      </c>
      <c r="E23" s="12">
        <v>1.26</v>
      </c>
      <c r="F23" s="15">
        <f>E23*F17</f>
        <v>570.78</v>
      </c>
      <c r="G23" s="17"/>
      <c r="H23" s="16">
        <f>G23*F23</f>
        <v>0</v>
      </c>
      <c r="I23" s="16"/>
      <c r="J23" s="16"/>
      <c r="K23" s="16"/>
      <c r="L23" s="16"/>
      <c r="M23" s="16">
        <f t="shared" si="0"/>
        <v>0</v>
      </c>
      <c r="N23" s="49"/>
    </row>
    <row r="24" spans="2:15" s="3" customFormat="1" x14ac:dyDescent="0.3">
      <c r="B24" s="5">
        <f>MAX($B$5:B23)+1</f>
        <v>5</v>
      </c>
      <c r="C24" s="23" t="s">
        <v>26</v>
      </c>
      <c r="D24" s="6" t="s">
        <v>27</v>
      </c>
      <c r="E24" s="6"/>
      <c r="F24" s="7">
        <v>530</v>
      </c>
      <c r="G24" s="8"/>
      <c r="H24" s="9"/>
      <c r="I24" s="10"/>
      <c r="J24" s="9"/>
      <c r="K24" s="10"/>
      <c r="L24" s="9"/>
      <c r="M24" s="11"/>
      <c r="N24" s="47"/>
    </row>
    <row r="25" spans="2:15" s="3" customFormat="1" ht="13.8" x14ac:dyDescent="0.3">
      <c r="B25" s="12"/>
      <c r="C25" s="13" t="s">
        <v>28</v>
      </c>
      <c r="D25" s="14" t="s">
        <v>27</v>
      </c>
      <c r="E25" s="12">
        <v>1</v>
      </c>
      <c r="F25" s="15">
        <f>E25*F24</f>
        <v>530</v>
      </c>
      <c r="G25" s="16"/>
      <c r="H25" s="16"/>
      <c r="I25" s="16"/>
      <c r="J25" s="16">
        <f>F25*I25</f>
        <v>0</v>
      </c>
      <c r="K25" s="16"/>
      <c r="L25" s="16"/>
      <c r="M25" s="16">
        <f>H25+J25+L25</f>
        <v>0</v>
      </c>
      <c r="N25" s="47"/>
    </row>
    <row r="26" spans="2:15" s="3" customFormat="1" ht="13.8" x14ac:dyDescent="0.3">
      <c r="B26" s="12"/>
      <c r="C26" s="13" t="s">
        <v>29</v>
      </c>
      <c r="D26" s="14" t="s">
        <v>30</v>
      </c>
      <c r="E26" s="12">
        <v>3</v>
      </c>
      <c r="F26" s="15">
        <f>F24*E26</f>
        <v>1590</v>
      </c>
      <c r="G26" s="16"/>
      <c r="H26" s="16">
        <f>F26*G26</f>
        <v>0</v>
      </c>
      <c r="I26" s="16"/>
      <c r="J26" s="16"/>
      <c r="K26" s="16"/>
      <c r="L26" s="16"/>
      <c r="M26" s="16">
        <f>H26+J26+L26</f>
        <v>0</v>
      </c>
      <c r="N26" s="47"/>
    </row>
    <row r="27" spans="2:15" s="3" customFormat="1" ht="13.8" x14ac:dyDescent="0.3">
      <c r="B27" s="12"/>
      <c r="C27" s="13" t="s">
        <v>122</v>
      </c>
      <c r="D27" s="14" t="s">
        <v>57</v>
      </c>
      <c r="E27" s="12">
        <v>1.1000000000000001</v>
      </c>
      <c r="F27" s="15">
        <f>F24*E27</f>
        <v>583</v>
      </c>
      <c r="G27" s="16"/>
      <c r="H27" s="16">
        <f>F27*G27</f>
        <v>0</v>
      </c>
      <c r="I27" s="16"/>
      <c r="J27" s="16"/>
      <c r="K27" s="16"/>
      <c r="L27" s="16"/>
      <c r="M27" s="16">
        <f>H27+J27+L27</f>
        <v>0</v>
      </c>
      <c r="N27" s="47"/>
    </row>
    <row r="28" spans="2:15" x14ac:dyDescent="0.3">
      <c r="B28" s="5">
        <f>MAX($B$5:B27)+1</f>
        <v>6</v>
      </c>
      <c r="C28" s="23" t="s">
        <v>38</v>
      </c>
      <c r="D28" s="6" t="s">
        <v>27</v>
      </c>
      <c r="E28" s="6"/>
      <c r="F28" s="7">
        <f>F24*0</f>
        <v>0</v>
      </c>
      <c r="G28" s="8"/>
      <c r="H28" s="9"/>
      <c r="I28" s="10"/>
      <c r="J28" s="9"/>
      <c r="K28" s="10"/>
      <c r="L28" s="9"/>
      <c r="M28" s="11">
        <f>L28+J28+H28</f>
        <v>0</v>
      </c>
      <c r="N28" s="50"/>
      <c r="O28" s="44"/>
    </row>
    <row r="29" spans="2:15" x14ac:dyDescent="0.3">
      <c r="B29" s="12"/>
      <c r="C29" s="13" t="s">
        <v>14</v>
      </c>
      <c r="D29" s="14" t="s">
        <v>27</v>
      </c>
      <c r="E29" s="12">
        <v>1</v>
      </c>
      <c r="F29" s="15">
        <f>E29*F28</f>
        <v>0</v>
      </c>
      <c r="G29" s="16"/>
      <c r="H29" s="16"/>
      <c r="I29" s="16"/>
      <c r="J29" s="16">
        <f>I29*F29</f>
        <v>0</v>
      </c>
      <c r="K29" s="16"/>
      <c r="L29" s="16"/>
      <c r="M29" s="16">
        <f>L29+J29+H29</f>
        <v>0</v>
      </c>
      <c r="N29" s="50"/>
      <c r="O29" s="44"/>
    </row>
    <row r="30" spans="2:15" x14ac:dyDescent="0.3">
      <c r="B30" s="12"/>
      <c r="C30" s="13" t="s">
        <v>31</v>
      </c>
      <c r="D30" s="14" t="s">
        <v>35</v>
      </c>
      <c r="E30" s="12">
        <f>0.065*1.02</f>
        <v>6.6299999999999998E-2</v>
      </c>
      <c r="F30" s="15">
        <f>F28*E30</f>
        <v>0</v>
      </c>
      <c r="G30" s="16"/>
      <c r="H30" s="16">
        <f>G30*F30</f>
        <v>0</v>
      </c>
      <c r="I30" s="16"/>
      <c r="J30" s="16"/>
      <c r="K30" s="16"/>
      <c r="L30" s="16"/>
      <c r="M30" s="16">
        <f>L30+J30+H30</f>
        <v>0</v>
      </c>
      <c r="N30" s="51"/>
      <c r="O30" s="45"/>
    </row>
    <row r="31" spans="2:15" x14ac:dyDescent="0.3">
      <c r="B31" s="12"/>
      <c r="C31" s="13" t="s">
        <v>37</v>
      </c>
      <c r="D31" s="14"/>
      <c r="E31" s="12"/>
      <c r="F31" s="15"/>
      <c r="G31" s="16"/>
      <c r="H31" s="16">
        <f>SUM(H30:H30)*5%</f>
        <v>0</v>
      </c>
      <c r="I31" s="16"/>
      <c r="J31" s="16"/>
      <c r="K31" s="16"/>
      <c r="L31" s="16"/>
      <c r="M31" s="16">
        <f>L31+J31+H31</f>
        <v>0</v>
      </c>
      <c r="N31" s="51"/>
      <c r="O31" s="45"/>
    </row>
    <row r="32" spans="2:15" s="3" customFormat="1" ht="15" x14ac:dyDescent="0.3">
      <c r="B32" s="5">
        <v>6</v>
      </c>
      <c r="C32" s="23" t="s">
        <v>236</v>
      </c>
      <c r="D32" s="6" t="s">
        <v>18</v>
      </c>
      <c r="E32" s="6"/>
      <c r="F32" s="7">
        <f>F39*0.065</f>
        <v>31.018000000000004</v>
      </c>
      <c r="G32" s="8"/>
      <c r="H32" s="9"/>
      <c r="I32" s="10"/>
      <c r="J32" s="9"/>
      <c r="K32" s="10"/>
      <c r="L32" s="9"/>
      <c r="M32" s="11"/>
      <c r="N32" s="46"/>
    </row>
    <row r="33" spans="2:14" s="25" customFormat="1" x14ac:dyDescent="0.3">
      <c r="B33" s="12"/>
      <c r="C33" s="13" t="s">
        <v>14</v>
      </c>
      <c r="D33" s="14" t="s">
        <v>13</v>
      </c>
      <c r="E33" s="12">
        <v>1</v>
      </c>
      <c r="F33" s="15">
        <f>F32*E33</f>
        <v>31.018000000000004</v>
      </c>
      <c r="G33" s="16"/>
      <c r="H33" s="16"/>
      <c r="I33" s="17"/>
      <c r="J33" s="16">
        <f>I33*F33</f>
        <v>0</v>
      </c>
      <c r="K33" s="16"/>
      <c r="L33" s="16"/>
      <c r="M33" s="16">
        <f t="shared" ref="M33:M38" si="1">L33+J33+H33</f>
        <v>0</v>
      </c>
      <c r="N33" s="49"/>
    </row>
    <row r="34" spans="2:14" s="25" customFormat="1" ht="15" customHeight="1" x14ac:dyDescent="0.3">
      <c r="B34" s="12"/>
      <c r="C34" s="13" t="s">
        <v>20</v>
      </c>
      <c r="D34" s="14" t="s">
        <v>21</v>
      </c>
      <c r="E34" s="12">
        <v>1.12E-2</v>
      </c>
      <c r="F34" s="15">
        <f>E34*F32</f>
        <v>0.34740160000000003</v>
      </c>
      <c r="G34" s="16"/>
      <c r="H34" s="16"/>
      <c r="I34" s="16"/>
      <c r="J34" s="16"/>
      <c r="K34" s="16"/>
      <c r="L34" s="16">
        <f>K34*F34</f>
        <v>0</v>
      </c>
      <c r="M34" s="16">
        <f t="shared" si="1"/>
        <v>0</v>
      </c>
      <c r="N34" s="49"/>
    </row>
    <row r="35" spans="2:14" s="25" customFormat="1" x14ac:dyDescent="0.3">
      <c r="B35" s="12"/>
      <c r="C35" s="13" t="s">
        <v>22</v>
      </c>
      <c r="D35" s="14" t="s">
        <v>21</v>
      </c>
      <c r="E35" s="12">
        <v>1.2E-2</v>
      </c>
      <c r="F35" s="15">
        <f>E35*F32</f>
        <v>0.37221600000000005</v>
      </c>
      <c r="G35" s="16"/>
      <c r="H35" s="16"/>
      <c r="I35" s="16"/>
      <c r="J35" s="16"/>
      <c r="K35" s="16"/>
      <c r="L35" s="16">
        <f>K35*F35</f>
        <v>0</v>
      </c>
      <c r="M35" s="16">
        <f t="shared" si="1"/>
        <v>0</v>
      </c>
      <c r="N35" s="49"/>
    </row>
    <row r="36" spans="2:14" s="25" customFormat="1" x14ac:dyDescent="0.3">
      <c r="B36" s="12"/>
      <c r="C36" s="13" t="s">
        <v>23</v>
      </c>
      <c r="D36" s="14" t="s">
        <v>21</v>
      </c>
      <c r="E36" s="12">
        <v>2.6100000000000002E-2</v>
      </c>
      <c r="F36" s="15">
        <f>E36*F32</f>
        <v>0.80956980000000012</v>
      </c>
      <c r="G36" s="16"/>
      <c r="H36" s="16"/>
      <c r="I36" s="16"/>
      <c r="J36" s="16"/>
      <c r="K36" s="16"/>
      <c r="L36" s="16">
        <f>K36*F36</f>
        <v>0</v>
      </c>
      <c r="M36" s="16">
        <f t="shared" si="1"/>
        <v>0</v>
      </c>
      <c r="N36" s="49"/>
    </row>
    <row r="37" spans="2:14" s="25" customFormat="1" ht="13.5" customHeight="1" x14ac:dyDescent="0.3">
      <c r="B37" s="12"/>
      <c r="C37" s="13" t="s">
        <v>16</v>
      </c>
      <c r="D37" s="14"/>
      <c r="E37" s="12"/>
      <c r="F37" s="15"/>
      <c r="G37" s="16"/>
      <c r="H37" s="16"/>
      <c r="I37" s="16"/>
      <c r="J37" s="16"/>
      <c r="K37" s="16"/>
      <c r="L37" s="16"/>
      <c r="M37" s="16">
        <f t="shared" si="1"/>
        <v>0</v>
      </c>
      <c r="N37" s="49"/>
    </row>
    <row r="38" spans="2:14" s="25" customFormat="1" ht="16.2" x14ac:dyDescent="0.3">
      <c r="B38" s="12"/>
      <c r="C38" s="13" t="s">
        <v>78</v>
      </c>
      <c r="D38" s="14" t="s">
        <v>74</v>
      </c>
      <c r="E38" s="12">
        <v>1.26</v>
      </c>
      <c r="F38" s="15">
        <f>E38*F32</f>
        <v>39.082680000000003</v>
      </c>
      <c r="G38" s="17"/>
      <c r="H38" s="16">
        <f>G38*F38</f>
        <v>0</v>
      </c>
      <c r="I38" s="16"/>
      <c r="J38" s="16"/>
      <c r="K38" s="16"/>
      <c r="L38" s="16"/>
      <c r="M38" s="16">
        <f t="shared" si="1"/>
        <v>0</v>
      </c>
      <c r="N38" s="49"/>
    </row>
    <row r="39" spans="2:14" x14ac:dyDescent="0.3">
      <c r="B39" s="5">
        <f>MAX($B$5:B31)+1</f>
        <v>7</v>
      </c>
      <c r="C39" s="23" t="s">
        <v>34</v>
      </c>
      <c r="D39" s="6" t="s">
        <v>27</v>
      </c>
      <c r="E39" s="6"/>
      <c r="F39" s="7">
        <f>(F42+F43+F44)/1.05</f>
        <v>477.20000000000005</v>
      </c>
      <c r="G39" s="8"/>
      <c r="H39" s="9"/>
      <c r="I39" s="10"/>
      <c r="J39" s="9"/>
      <c r="K39" s="10"/>
      <c r="L39" s="9"/>
      <c r="M39" s="11"/>
    </row>
    <row r="40" spans="2:14" x14ac:dyDescent="0.3">
      <c r="B40" s="12"/>
      <c r="C40" s="13" t="s">
        <v>28</v>
      </c>
      <c r="D40" s="14" t="s">
        <v>27</v>
      </c>
      <c r="E40" s="12">
        <v>1</v>
      </c>
      <c r="F40" s="15">
        <f>E40*F39</f>
        <v>477.20000000000005</v>
      </c>
      <c r="G40" s="16"/>
      <c r="H40" s="16"/>
      <c r="I40" s="16"/>
      <c r="J40" s="16">
        <f>F40*I40</f>
        <v>0</v>
      </c>
      <c r="K40" s="16"/>
      <c r="L40" s="16"/>
      <c r="M40" s="16">
        <f>H40+J40+L40</f>
        <v>0</v>
      </c>
    </row>
    <row r="41" spans="2:14" s="25" customFormat="1" ht="13.5" customHeight="1" x14ac:dyDescent="0.3">
      <c r="B41" s="12"/>
      <c r="C41" s="13" t="s">
        <v>16</v>
      </c>
      <c r="D41" s="14"/>
      <c r="E41" s="12"/>
      <c r="F41" s="15"/>
      <c r="G41" s="16"/>
      <c r="H41" s="16"/>
      <c r="I41" s="16"/>
      <c r="J41" s="16"/>
      <c r="K41" s="16"/>
      <c r="L41" s="16"/>
      <c r="M41" s="16">
        <f>H41+J41+L41</f>
        <v>0</v>
      </c>
      <c r="N41" s="49"/>
    </row>
    <row r="42" spans="2:14" x14ac:dyDescent="0.3">
      <c r="B42" s="12"/>
      <c r="C42" s="13" t="s">
        <v>254</v>
      </c>
      <c r="D42" s="14" t="s">
        <v>27</v>
      </c>
      <c r="E42" s="12">
        <v>1.05</v>
      </c>
      <c r="F42" s="15">
        <f>38.2*E42</f>
        <v>40.110000000000007</v>
      </c>
      <c r="G42" s="17"/>
      <c r="H42" s="16">
        <f>F42*G42</f>
        <v>0</v>
      </c>
      <c r="I42" s="16"/>
      <c r="J42" s="16"/>
      <c r="K42" s="16"/>
      <c r="L42" s="16"/>
      <c r="M42" s="16">
        <f>H42+J42+L42</f>
        <v>0</v>
      </c>
    </row>
    <row r="43" spans="2:14" x14ac:dyDescent="0.3">
      <c r="B43" s="12"/>
      <c r="C43" s="13" t="s">
        <v>255</v>
      </c>
      <c r="D43" s="14" t="s">
        <v>27</v>
      </c>
      <c r="E43" s="12">
        <v>1.05</v>
      </c>
      <c r="F43" s="15">
        <f>408*E43</f>
        <v>428.40000000000003</v>
      </c>
      <c r="G43" s="17"/>
      <c r="H43" s="16">
        <f>F43*G43</f>
        <v>0</v>
      </c>
      <c r="I43" s="16"/>
      <c r="J43" s="16"/>
      <c r="K43" s="16"/>
      <c r="L43" s="16"/>
      <c r="M43" s="16">
        <f>H43+J43+L43</f>
        <v>0</v>
      </c>
    </row>
    <row r="44" spans="2:14" x14ac:dyDescent="0.3">
      <c r="B44" s="12"/>
      <c r="C44" s="13" t="s">
        <v>256</v>
      </c>
      <c r="D44" s="14" t="s">
        <v>27</v>
      </c>
      <c r="E44" s="12">
        <v>1.05</v>
      </c>
      <c r="F44" s="15">
        <f>31*E44</f>
        <v>32.550000000000004</v>
      </c>
      <c r="G44" s="17"/>
      <c r="H44" s="16">
        <f>F44*G44</f>
        <v>0</v>
      </c>
      <c r="I44" s="16"/>
      <c r="J44" s="16"/>
      <c r="K44" s="16"/>
      <c r="L44" s="16"/>
      <c r="M44" s="16">
        <f>H44+J44+L44</f>
        <v>0</v>
      </c>
    </row>
    <row r="45" spans="2:14" s="3" customFormat="1" ht="15" x14ac:dyDescent="0.3">
      <c r="B45" s="12"/>
      <c r="C45" s="13" t="s">
        <v>31</v>
      </c>
      <c r="D45" s="14" t="s">
        <v>25</v>
      </c>
      <c r="E45" s="12">
        <v>1.7999999999999999E-2</v>
      </c>
      <c r="F45" s="15">
        <f>E45*F39</f>
        <v>8.5896000000000008</v>
      </c>
      <c r="G45" s="17"/>
      <c r="H45" s="16">
        <f>G45*F45</f>
        <v>0</v>
      </c>
      <c r="I45" s="16"/>
      <c r="J45" s="16"/>
      <c r="K45" s="16"/>
      <c r="L45" s="16"/>
      <c r="M45" s="16">
        <f>L45+J45+H45</f>
        <v>0</v>
      </c>
      <c r="N45" s="53"/>
    </row>
    <row r="46" spans="2:14" s="3" customFormat="1" ht="13.8" x14ac:dyDescent="0.3">
      <c r="B46" s="12"/>
      <c r="C46" s="13" t="s">
        <v>32</v>
      </c>
      <c r="D46" s="14" t="s">
        <v>33</v>
      </c>
      <c r="E46" s="12">
        <v>0.24</v>
      </c>
      <c r="F46" s="15">
        <f>E46*F39</f>
        <v>114.52800000000001</v>
      </c>
      <c r="G46" s="16"/>
      <c r="H46" s="16">
        <f>G46*F46</f>
        <v>0</v>
      </c>
      <c r="I46" s="16"/>
      <c r="J46" s="16"/>
      <c r="K46" s="16"/>
      <c r="L46" s="16"/>
      <c r="M46" s="16">
        <f>L46+J46+H46</f>
        <v>0</v>
      </c>
      <c r="N46" s="53"/>
    </row>
    <row r="47" spans="2:14" x14ac:dyDescent="0.3">
      <c r="B47" s="5">
        <f>MAX($B$5:B46)+1</f>
        <v>8</v>
      </c>
      <c r="C47" s="23" t="s">
        <v>39</v>
      </c>
      <c r="D47" s="6" t="s">
        <v>27</v>
      </c>
      <c r="E47" s="6"/>
      <c r="F47" s="7">
        <f>(F50+F51+F52+F53)/1.05</f>
        <v>1283</v>
      </c>
      <c r="G47" s="8"/>
      <c r="H47" s="9"/>
      <c r="I47" s="10"/>
      <c r="J47" s="9"/>
      <c r="K47" s="10"/>
      <c r="L47" s="9"/>
      <c r="M47" s="11"/>
    </row>
    <row r="48" spans="2:14" x14ac:dyDescent="0.3">
      <c r="B48" s="12"/>
      <c r="C48" s="13" t="s">
        <v>28</v>
      </c>
      <c r="D48" s="14" t="s">
        <v>27</v>
      </c>
      <c r="E48" s="12">
        <v>1</v>
      </c>
      <c r="F48" s="15">
        <f>E48*F47</f>
        <v>1283</v>
      </c>
      <c r="G48" s="16"/>
      <c r="H48" s="16"/>
      <c r="I48" s="16"/>
      <c r="J48" s="16">
        <f>F48*I48</f>
        <v>0</v>
      </c>
      <c r="K48" s="16"/>
      <c r="L48" s="16"/>
      <c r="M48" s="16">
        <f>H48+J48+L48</f>
        <v>0</v>
      </c>
    </row>
    <row r="49" spans="2:14" x14ac:dyDescent="0.3">
      <c r="B49" s="12"/>
      <c r="C49" s="13" t="s">
        <v>16</v>
      </c>
      <c r="D49" s="14"/>
      <c r="E49" s="12"/>
      <c r="F49" s="15"/>
      <c r="G49" s="16"/>
      <c r="H49" s="16"/>
      <c r="I49" s="16"/>
      <c r="J49" s="16"/>
      <c r="K49" s="16"/>
      <c r="L49" s="16"/>
      <c r="M49" s="16">
        <f t="shared" ref="M49:M54" si="2">H49+J49+L49</f>
        <v>0</v>
      </c>
    </row>
    <row r="50" spans="2:14" x14ac:dyDescent="0.3">
      <c r="B50" s="12"/>
      <c r="C50" s="13" t="s">
        <v>257</v>
      </c>
      <c r="D50" s="14" t="s">
        <v>27</v>
      </c>
      <c r="E50" s="12">
        <v>1.05</v>
      </c>
      <c r="F50" s="15">
        <f>635*E50</f>
        <v>666.75</v>
      </c>
      <c r="G50" s="17"/>
      <c r="H50" s="16">
        <f>F50*G50</f>
        <v>0</v>
      </c>
      <c r="I50" s="16"/>
      <c r="J50" s="16"/>
      <c r="K50" s="16"/>
      <c r="L50" s="16"/>
      <c r="M50" s="16">
        <f t="shared" si="2"/>
        <v>0</v>
      </c>
      <c r="N50" s="90"/>
    </row>
    <row r="51" spans="2:14" x14ac:dyDescent="0.3">
      <c r="B51" s="12"/>
      <c r="C51" s="13" t="s">
        <v>258</v>
      </c>
      <c r="D51" s="14" t="s">
        <v>27</v>
      </c>
      <c r="E51" s="12">
        <v>1.05</v>
      </c>
      <c r="F51" s="15">
        <f>35*E51</f>
        <v>36.75</v>
      </c>
      <c r="G51" s="17"/>
      <c r="H51" s="16">
        <f>F51*G51</f>
        <v>0</v>
      </c>
      <c r="I51" s="16"/>
      <c r="J51" s="16"/>
      <c r="K51" s="16"/>
      <c r="L51" s="16"/>
      <c r="M51" s="16">
        <f t="shared" si="2"/>
        <v>0</v>
      </c>
    </row>
    <row r="52" spans="2:14" x14ac:dyDescent="0.3">
      <c r="B52" s="12"/>
      <c r="C52" s="13" t="s">
        <v>259</v>
      </c>
      <c r="D52" s="14" t="s">
        <v>27</v>
      </c>
      <c r="E52" s="12">
        <v>1.05</v>
      </c>
      <c r="F52" s="15">
        <f>545*E52</f>
        <v>572.25</v>
      </c>
      <c r="G52" s="17"/>
      <c r="H52" s="16">
        <f>F52*G52</f>
        <v>0</v>
      </c>
      <c r="I52" s="16"/>
      <c r="J52" s="16"/>
      <c r="K52" s="16"/>
      <c r="L52" s="16"/>
      <c r="M52" s="16">
        <f t="shared" si="2"/>
        <v>0</v>
      </c>
    </row>
    <row r="53" spans="2:14" x14ac:dyDescent="0.3">
      <c r="B53" s="12"/>
      <c r="C53" s="13" t="s">
        <v>260</v>
      </c>
      <c r="D53" s="14" t="s">
        <v>27</v>
      </c>
      <c r="E53" s="12">
        <v>1.05</v>
      </c>
      <c r="F53" s="15">
        <f>68*E53</f>
        <v>71.400000000000006</v>
      </c>
      <c r="G53" s="17"/>
      <c r="H53" s="16">
        <f>F53*G53</f>
        <v>0</v>
      </c>
      <c r="I53" s="16"/>
      <c r="J53" s="16"/>
      <c r="K53" s="16"/>
      <c r="L53" s="16"/>
      <c r="M53" s="16">
        <f t="shared" si="2"/>
        <v>0</v>
      </c>
    </row>
    <row r="54" spans="2:14" ht="15" x14ac:dyDescent="0.3">
      <c r="B54" s="12"/>
      <c r="C54" s="13" t="s">
        <v>31</v>
      </c>
      <c r="D54" s="14" t="s">
        <v>25</v>
      </c>
      <c r="E54" s="12">
        <v>1.7999999999999999E-2</v>
      </c>
      <c r="F54" s="15">
        <f>E54*F47</f>
        <v>23.093999999999998</v>
      </c>
      <c r="G54" s="17"/>
      <c r="H54" s="16">
        <f>G54*F54</f>
        <v>0</v>
      </c>
      <c r="I54" s="16"/>
      <c r="J54" s="16"/>
      <c r="K54" s="16"/>
      <c r="L54" s="16"/>
      <c r="M54" s="16">
        <f t="shared" si="2"/>
        <v>0</v>
      </c>
    </row>
    <row r="55" spans="2:14" x14ac:dyDescent="0.3">
      <c r="B55" s="12"/>
      <c r="C55" s="13" t="s">
        <v>32</v>
      </c>
      <c r="D55" s="14" t="s">
        <v>33</v>
      </c>
      <c r="E55" s="12">
        <v>0.24</v>
      </c>
      <c r="F55" s="15">
        <f>E55*F47</f>
        <v>307.92</v>
      </c>
      <c r="G55" s="16"/>
      <c r="H55" s="16">
        <f>G55*F55</f>
        <v>0</v>
      </c>
      <c r="I55" s="16"/>
      <c r="J55" s="16"/>
      <c r="K55" s="16"/>
      <c r="L55" s="16"/>
      <c r="M55" s="16">
        <f>L55+J55+H55</f>
        <v>0</v>
      </c>
    </row>
    <row r="56" spans="2:14" x14ac:dyDescent="0.3">
      <c r="B56" s="5">
        <f>MAX($B$5:B55)+1</f>
        <v>9</v>
      </c>
      <c r="C56" s="23" t="s">
        <v>60</v>
      </c>
      <c r="D56" s="6" t="s">
        <v>27</v>
      </c>
      <c r="E56" s="6"/>
      <c r="F56" s="7">
        <f>(F59+F60+F61)/1.05</f>
        <v>80</v>
      </c>
      <c r="G56" s="8"/>
      <c r="H56" s="9"/>
      <c r="I56" s="10"/>
      <c r="J56" s="9"/>
      <c r="K56" s="10"/>
      <c r="L56" s="9"/>
      <c r="M56" s="11"/>
    </row>
    <row r="57" spans="2:14" x14ac:dyDescent="0.3">
      <c r="B57" s="12"/>
      <c r="C57" s="13" t="s">
        <v>28</v>
      </c>
      <c r="D57" s="14" t="s">
        <v>41</v>
      </c>
      <c r="E57" s="12">
        <v>1</v>
      </c>
      <c r="F57" s="15">
        <f>16/0.2+50/0.25+14/0.3</f>
        <v>326.66666666666669</v>
      </c>
      <c r="G57" s="16"/>
      <c r="H57" s="16"/>
      <c r="I57" s="16"/>
      <c r="J57" s="16">
        <f>F57*I57</f>
        <v>0</v>
      </c>
      <c r="K57" s="16"/>
      <c r="L57" s="16"/>
      <c r="M57" s="16">
        <f t="shared" ref="M57:M62" si="3">H57+J57+L57</f>
        <v>0</v>
      </c>
    </row>
    <row r="58" spans="2:14" x14ac:dyDescent="0.3">
      <c r="B58" s="12"/>
      <c r="C58" s="13" t="s">
        <v>16</v>
      </c>
      <c r="D58" s="14"/>
      <c r="E58" s="12"/>
      <c r="F58" s="15"/>
      <c r="G58" s="16"/>
      <c r="H58" s="16"/>
      <c r="I58" s="16"/>
      <c r="J58" s="16"/>
      <c r="K58" s="16"/>
      <c r="L58" s="16"/>
      <c r="M58" s="16">
        <f t="shared" si="3"/>
        <v>0</v>
      </c>
    </row>
    <row r="59" spans="2:14" x14ac:dyDescent="0.3">
      <c r="B59" s="12"/>
      <c r="C59" s="13" t="s">
        <v>62</v>
      </c>
      <c r="D59" s="14" t="s">
        <v>27</v>
      </c>
      <c r="E59" s="12">
        <v>1.05</v>
      </c>
      <c r="F59" s="15">
        <f>16*E59</f>
        <v>16.8</v>
      </c>
      <c r="G59" s="17"/>
      <c r="H59" s="16">
        <f>F59*G59</f>
        <v>0</v>
      </c>
      <c r="I59" s="16"/>
      <c r="J59" s="16"/>
      <c r="K59" s="16"/>
      <c r="L59" s="16"/>
      <c r="M59" s="16">
        <f t="shared" si="3"/>
        <v>0</v>
      </c>
    </row>
    <row r="60" spans="2:14" x14ac:dyDescent="0.3">
      <c r="B60" s="12"/>
      <c r="C60" s="13" t="s">
        <v>63</v>
      </c>
      <c r="D60" s="14" t="s">
        <v>27</v>
      </c>
      <c r="E60" s="12">
        <v>1.05</v>
      </c>
      <c r="F60" s="15">
        <f>50*E60</f>
        <v>52.5</v>
      </c>
      <c r="G60" s="17"/>
      <c r="H60" s="16">
        <f>F60*G60</f>
        <v>0</v>
      </c>
      <c r="I60" s="16"/>
      <c r="J60" s="16"/>
      <c r="K60" s="16"/>
      <c r="L60" s="16"/>
      <c r="M60" s="16">
        <f t="shared" si="3"/>
        <v>0</v>
      </c>
    </row>
    <row r="61" spans="2:14" x14ac:dyDescent="0.3">
      <c r="B61" s="12"/>
      <c r="C61" s="13" t="s">
        <v>64</v>
      </c>
      <c r="D61" s="14" t="s">
        <v>27</v>
      </c>
      <c r="E61" s="12">
        <v>1.05</v>
      </c>
      <c r="F61" s="15">
        <f>14*E61</f>
        <v>14.700000000000001</v>
      </c>
      <c r="G61" s="17"/>
      <c r="H61" s="16">
        <f>F61*G61</f>
        <v>0</v>
      </c>
      <c r="I61" s="16"/>
      <c r="J61" s="16"/>
      <c r="K61" s="16"/>
      <c r="L61" s="16"/>
      <c r="M61" s="16">
        <f t="shared" si="3"/>
        <v>0</v>
      </c>
    </row>
    <row r="62" spans="2:14" x14ac:dyDescent="0.3">
      <c r="B62" s="12"/>
      <c r="C62" s="13" t="s">
        <v>61</v>
      </c>
      <c r="D62" s="14" t="s">
        <v>48</v>
      </c>
      <c r="E62" s="12">
        <v>10</v>
      </c>
      <c r="F62" s="15">
        <f>E62*F56</f>
        <v>800</v>
      </c>
      <c r="G62" s="16"/>
      <c r="H62" s="16">
        <f>G62*F62</f>
        <v>0</v>
      </c>
      <c r="I62" s="16"/>
      <c r="J62" s="16"/>
      <c r="K62" s="16"/>
      <c r="L62" s="16"/>
      <c r="M62" s="16">
        <f t="shared" si="3"/>
        <v>0</v>
      </c>
    </row>
    <row r="63" spans="2:14" x14ac:dyDescent="0.3">
      <c r="B63" s="12"/>
      <c r="C63" s="13" t="s">
        <v>32</v>
      </c>
      <c r="D63" s="14" t="s">
        <v>33</v>
      </c>
      <c r="E63" s="12">
        <v>0.24</v>
      </c>
      <c r="F63" s="15">
        <f>E63*F56</f>
        <v>19.2</v>
      </c>
      <c r="G63" s="16"/>
      <c r="H63" s="16">
        <f>G63*F63</f>
        <v>0</v>
      </c>
      <c r="I63" s="16"/>
      <c r="J63" s="16"/>
      <c r="K63" s="16"/>
      <c r="L63" s="16"/>
      <c r="M63" s="16">
        <f>L63+J63+H63</f>
        <v>0</v>
      </c>
    </row>
    <row r="64" spans="2:14" x14ac:dyDescent="0.3">
      <c r="B64" s="5">
        <f>MAX($B$5:B63)+1</f>
        <v>10</v>
      </c>
      <c r="C64" s="23" t="s">
        <v>81</v>
      </c>
      <c r="D64" s="6" t="s">
        <v>27</v>
      </c>
      <c r="E64" s="6"/>
      <c r="F64" s="7">
        <v>400</v>
      </c>
      <c r="G64" s="8"/>
      <c r="H64" s="9"/>
      <c r="I64" s="10"/>
      <c r="J64" s="9"/>
      <c r="K64" s="10"/>
      <c r="L64" s="9"/>
      <c r="M64" s="11"/>
      <c r="N64" s="101"/>
    </row>
    <row r="65" spans="2:14" x14ac:dyDescent="0.3">
      <c r="B65" s="12"/>
      <c r="C65" s="13" t="s">
        <v>28</v>
      </c>
      <c r="D65" s="14" t="s">
        <v>27</v>
      </c>
      <c r="E65" s="12">
        <v>1</v>
      </c>
      <c r="F65" s="15">
        <f>E65*F64</f>
        <v>400</v>
      </c>
      <c r="G65" s="16"/>
      <c r="H65" s="16"/>
      <c r="I65" s="16"/>
      <c r="J65" s="16">
        <f>F65*I65</f>
        <v>0</v>
      </c>
      <c r="K65" s="16"/>
      <c r="L65" s="16"/>
      <c r="M65" s="16">
        <f>H65+J65+L65</f>
        <v>0</v>
      </c>
    </row>
    <row r="66" spans="2:14" x14ac:dyDescent="0.3">
      <c r="B66" s="12"/>
      <c r="C66" s="13" t="s">
        <v>16</v>
      </c>
      <c r="D66" s="14"/>
      <c r="E66" s="12"/>
      <c r="F66" s="15"/>
      <c r="G66" s="16"/>
      <c r="H66" s="16"/>
      <c r="I66" s="16"/>
      <c r="J66" s="16"/>
      <c r="K66" s="16"/>
      <c r="L66" s="16"/>
      <c r="M66" s="16">
        <f>H66+J66+L66</f>
        <v>0</v>
      </c>
    </row>
    <row r="67" spans="2:14" x14ac:dyDescent="0.3">
      <c r="B67" s="12"/>
      <c r="C67" s="13" t="s">
        <v>80</v>
      </c>
      <c r="D67" s="14" t="s">
        <v>27</v>
      </c>
      <c r="E67" s="12">
        <v>1.05</v>
      </c>
      <c r="F67" s="15">
        <f>F64*E67</f>
        <v>420</v>
      </c>
      <c r="G67" s="17"/>
      <c r="H67" s="16">
        <f>F67*G67</f>
        <v>0</v>
      </c>
      <c r="I67" s="16"/>
      <c r="J67" s="16"/>
      <c r="K67" s="16"/>
      <c r="L67" s="16"/>
      <c r="M67" s="16">
        <f>H67+J67+L67</f>
        <v>0</v>
      </c>
    </row>
    <row r="68" spans="2:14" x14ac:dyDescent="0.3">
      <c r="B68" s="12"/>
      <c r="C68" s="13" t="s">
        <v>32</v>
      </c>
      <c r="D68" s="14" t="s">
        <v>33</v>
      </c>
      <c r="E68" s="12">
        <v>9.5999999999999992E-3</v>
      </c>
      <c r="F68" s="15">
        <f>E68*F64</f>
        <v>3.84</v>
      </c>
      <c r="G68" s="16"/>
      <c r="H68" s="16">
        <f>G68*F68</f>
        <v>0</v>
      </c>
      <c r="I68" s="16"/>
      <c r="J68" s="16"/>
      <c r="K68" s="16"/>
      <c r="L68" s="16"/>
      <c r="M68" s="16">
        <f>H68+J68+L68</f>
        <v>0</v>
      </c>
    </row>
    <row r="69" spans="2:14" s="3" customFormat="1" x14ac:dyDescent="0.3">
      <c r="B69" s="5">
        <f>MAX($B$5:B68)+1</f>
        <v>11</v>
      </c>
      <c r="C69" s="23" t="s">
        <v>40</v>
      </c>
      <c r="D69" s="6" t="s">
        <v>41</v>
      </c>
      <c r="E69" s="6"/>
      <c r="F69" s="7">
        <f>(F72+F73)/1.03</f>
        <v>1169.23</v>
      </c>
      <c r="G69" s="8"/>
      <c r="H69" s="9"/>
      <c r="I69" s="10"/>
      <c r="J69" s="9"/>
      <c r="K69" s="10"/>
      <c r="L69" s="9"/>
      <c r="M69" s="11"/>
      <c r="N69" s="53"/>
    </row>
    <row r="70" spans="2:14" s="3" customFormat="1" ht="13.8" x14ac:dyDescent="0.3">
      <c r="B70" s="12"/>
      <c r="C70" s="13" t="s">
        <v>14</v>
      </c>
      <c r="D70" s="14" t="s">
        <v>41</v>
      </c>
      <c r="E70" s="12">
        <v>1</v>
      </c>
      <c r="F70" s="15">
        <f>E70*F69</f>
        <v>1169.23</v>
      </c>
      <c r="G70" s="16"/>
      <c r="H70" s="16"/>
      <c r="I70" s="16"/>
      <c r="J70" s="16">
        <f>I70*F70</f>
        <v>0</v>
      </c>
      <c r="K70" s="16"/>
      <c r="L70" s="16"/>
      <c r="M70" s="16">
        <f t="shared" ref="M70:M84" si="4">L70+J70+H70</f>
        <v>0</v>
      </c>
      <c r="N70" s="53"/>
    </row>
    <row r="71" spans="2:14" s="3" customFormat="1" ht="13.8" x14ac:dyDescent="0.3">
      <c r="B71" s="12"/>
      <c r="C71" s="13" t="s">
        <v>16</v>
      </c>
      <c r="D71" s="14"/>
      <c r="E71" s="12"/>
      <c r="F71" s="15"/>
      <c r="G71" s="16"/>
      <c r="H71" s="16"/>
      <c r="I71" s="16"/>
      <c r="J71" s="16"/>
      <c r="K71" s="16"/>
      <c r="L71" s="16"/>
      <c r="M71" s="16">
        <f t="shared" si="4"/>
        <v>0</v>
      </c>
      <c r="N71" s="53"/>
    </row>
    <row r="72" spans="2:14" s="3" customFormat="1" ht="13.8" x14ac:dyDescent="0.3">
      <c r="B72" s="12"/>
      <c r="C72" s="13" t="s">
        <v>197</v>
      </c>
      <c r="D72" s="14" t="s">
        <v>41</v>
      </c>
      <c r="E72" s="12">
        <v>1.03</v>
      </c>
      <c r="F72" s="15">
        <f>E72*(692.13+210)</f>
        <v>929.19389999999999</v>
      </c>
      <c r="G72" s="17"/>
      <c r="H72" s="16">
        <f>G72*F72</f>
        <v>0</v>
      </c>
      <c r="I72" s="16"/>
      <c r="J72" s="16"/>
      <c r="K72" s="16"/>
      <c r="L72" s="16"/>
      <c r="M72" s="16">
        <f t="shared" si="4"/>
        <v>0</v>
      </c>
      <c r="N72" s="53"/>
    </row>
    <row r="73" spans="2:14" s="3" customFormat="1" ht="13.8" x14ac:dyDescent="0.3">
      <c r="B73" s="12"/>
      <c r="C73" s="13" t="s">
        <v>263</v>
      </c>
      <c r="D73" s="14" t="s">
        <v>41</v>
      </c>
      <c r="E73" s="12">
        <v>1.03</v>
      </c>
      <c r="F73" s="15">
        <f>E73*267.1</f>
        <v>275.11300000000006</v>
      </c>
      <c r="G73" s="17"/>
      <c r="H73" s="16">
        <f>G73*F73</f>
        <v>0</v>
      </c>
      <c r="I73" s="16"/>
      <c r="J73" s="16"/>
      <c r="K73" s="16"/>
      <c r="L73" s="16"/>
      <c r="M73" s="16">
        <f>L73+J73+H73</f>
        <v>0</v>
      </c>
      <c r="N73" s="53"/>
    </row>
    <row r="74" spans="2:14" s="3" customFormat="1" ht="13.8" x14ac:dyDescent="0.3">
      <c r="B74" s="12"/>
      <c r="C74" s="13" t="s">
        <v>42</v>
      </c>
      <c r="D74" s="14" t="s">
        <v>13</v>
      </c>
      <c r="E74" s="12">
        <v>5.8999999999999997E-2</v>
      </c>
      <c r="F74" s="15">
        <f>E74*F69</f>
        <v>68.984569999999991</v>
      </c>
      <c r="G74" s="16"/>
      <c r="H74" s="16">
        <f>G74*F74</f>
        <v>0</v>
      </c>
      <c r="I74" s="16"/>
      <c r="J74" s="16"/>
      <c r="K74" s="16"/>
      <c r="L74" s="16"/>
      <c r="M74" s="16">
        <f t="shared" si="4"/>
        <v>0</v>
      </c>
      <c r="N74" s="53"/>
    </row>
    <row r="75" spans="2:14" s="3" customFormat="1" ht="13.8" x14ac:dyDescent="0.3">
      <c r="B75" s="12"/>
      <c r="C75" s="13" t="s">
        <v>32</v>
      </c>
      <c r="D75" s="14" t="s">
        <v>33</v>
      </c>
      <c r="E75" s="12">
        <v>9.6000000000000002E-2</v>
      </c>
      <c r="F75" s="15">
        <f>E75*F69</f>
        <v>112.24608000000001</v>
      </c>
      <c r="G75" s="16"/>
      <c r="H75" s="16">
        <f>G75*F75</f>
        <v>0</v>
      </c>
      <c r="I75" s="16"/>
      <c r="J75" s="16"/>
      <c r="K75" s="16"/>
      <c r="L75" s="16"/>
      <c r="M75" s="16">
        <f t="shared" si="4"/>
        <v>0</v>
      </c>
      <c r="N75" s="53"/>
    </row>
    <row r="76" spans="2:14" s="3" customFormat="1" x14ac:dyDescent="0.3">
      <c r="B76" s="5">
        <f>MAX($B$5:B75)+1</f>
        <v>12</v>
      </c>
      <c r="C76" s="23" t="s">
        <v>266</v>
      </c>
      <c r="D76" s="6" t="s">
        <v>58</v>
      </c>
      <c r="E76" s="6"/>
      <c r="F76" s="7">
        <v>100</v>
      </c>
      <c r="G76" s="8"/>
      <c r="H76" s="9"/>
      <c r="I76" s="10"/>
      <c r="J76" s="9"/>
      <c r="K76" s="10"/>
      <c r="L76" s="9"/>
      <c r="M76" s="11"/>
      <c r="N76" s="53"/>
    </row>
    <row r="77" spans="2:14" s="3" customFormat="1" ht="13.8" x14ac:dyDescent="0.3">
      <c r="B77" s="12"/>
      <c r="C77" s="13" t="s">
        <v>14</v>
      </c>
      <c r="D77" s="14" t="s">
        <v>41</v>
      </c>
      <c r="E77" s="12">
        <v>1</v>
      </c>
      <c r="F77" s="15">
        <f>E77*F76</f>
        <v>100</v>
      </c>
      <c r="G77" s="16"/>
      <c r="H77" s="16"/>
      <c r="I77" s="16"/>
      <c r="J77" s="16">
        <f>I77*F77</f>
        <v>0</v>
      </c>
      <c r="K77" s="16"/>
      <c r="L77" s="16"/>
      <c r="M77" s="16">
        <f t="shared" ref="M77" si="5">L77+J77+H77</f>
        <v>0</v>
      </c>
      <c r="N77" s="53"/>
    </row>
    <row r="78" spans="2:14" s="3" customFormat="1" ht="13.8" x14ac:dyDescent="0.3">
      <c r="B78" s="12"/>
      <c r="C78" s="13" t="s">
        <v>32</v>
      </c>
      <c r="D78" s="14" t="s">
        <v>33</v>
      </c>
      <c r="E78" s="12">
        <v>9.6000000000000002E-2</v>
      </c>
      <c r="F78" s="15">
        <f>E78*F76</f>
        <v>9.6</v>
      </c>
      <c r="G78" s="16"/>
      <c r="H78" s="16">
        <f>G78*F78</f>
        <v>0</v>
      </c>
      <c r="I78" s="16"/>
      <c r="J78" s="16"/>
      <c r="K78" s="16"/>
      <c r="L78" s="16"/>
      <c r="M78" s="16">
        <f t="shared" ref="M78" si="6">L78+J78+H78</f>
        <v>0</v>
      </c>
      <c r="N78" s="53"/>
    </row>
    <row r="79" spans="2:14" x14ac:dyDescent="0.3">
      <c r="B79" s="5">
        <f>MAX($B$5:B78)+1</f>
        <v>13</v>
      </c>
      <c r="C79" s="23" t="s">
        <v>45</v>
      </c>
      <c r="D79" s="6" t="s">
        <v>27</v>
      </c>
      <c r="E79" s="6"/>
      <c r="F79" s="7">
        <v>692</v>
      </c>
      <c r="G79" s="8"/>
      <c r="H79" s="9"/>
      <c r="I79" s="10"/>
      <c r="J79" s="9"/>
      <c r="K79" s="10"/>
      <c r="L79" s="9"/>
      <c r="M79" s="11">
        <f t="shared" si="4"/>
        <v>0</v>
      </c>
      <c r="N79" s="101"/>
    </row>
    <row r="80" spans="2:14" x14ac:dyDescent="0.3">
      <c r="B80" s="12"/>
      <c r="C80" s="13" t="s">
        <v>46</v>
      </c>
      <c r="D80" s="14" t="s">
        <v>27</v>
      </c>
      <c r="E80" s="12">
        <v>1</v>
      </c>
      <c r="F80" s="15">
        <f>F79/E80</f>
        <v>692</v>
      </c>
      <c r="G80" s="16"/>
      <c r="H80" s="16"/>
      <c r="I80" s="16"/>
      <c r="J80" s="16">
        <f>I80*F80</f>
        <v>0</v>
      </c>
      <c r="K80" s="16"/>
      <c r="L80" s="16"/>
      <c r="M80" s="16">
        <f t="shared" si="4"/>
        <v>0</v>
      </c>
    </row>
    <row r="81" spans="2:14" x14ac:dyDescent="0.3">
      <c r="B81" s="12"/>
      <c r="C81" s="13" t="s">
        <v>47</v>
      </c>
      <c r="D81" s="14" t="s">
        <v>13</v>
      </c>
      <c r="E81" s="12">
        <v>1</v>
      </c>
      <c r="F81" s="15">
        <f>F83</f>
        <v>70.584000000000003</v>
      </c>
      <c r="G81" s="16"/>
      <c r="H81" s="16"/>
      <c r="I81" s="16"/>
      <c r="J81" s="16"/>
      <c r="K81" s="16"/>
      <c r="L81" s="16">
        <f>K81*F81</f>
        <v>0</v>
      </c>
      <c r="M81" s="16">
        <f t="shared" si="4"/>
        <v>0</v>
      </c>
    </row>
    <row r="82" spans="2:14" s="3" customFormat="1" ht="13.8" x14ac:dyDescent="0.3">
      <c r="B82" s="12"/>
      <c r="C82" s="13" t="s">
        <v>16</v>
      </c>
      <c r="D82" s="14"/>
      <c r="E82" s="12"/>
      <c r="F82" s="15"/>
      <c r="G82" s="16"/>
      <c r="H82" s="16"/>
      <c r="I82" s="16"/>
      <c r="J82" s="16"/>
      <c r="K82" s="16"/>
      <c r="L82" s="16"/>
      <c r="M82" s="16">
        <f>L82+J82+H82</f>
        <v>0</v>
      </c>
      <c r="N82" s="53"/>
    </row>
    <row r="83" spans="2:14" x14ac:dyDescent="0.3">
      <c r="B83" s="12"/>
      <c r="C83" s="13" t="s">
        <v>49</v>
      </c>
      <c r="D83" s="14" t="s">
        <v>13</v>
      </c>
      <c r="E83" s="12">
        <f>0.1*1.02</f>
        <v>0.10200000000000001</v>
      </c>
      <c r="F83" s="15">
        <f>F79*E83</f>
        <v>70.584000000000003</v>
      </c>
      <c r="G83" s="17"/>
      <c r="H83" s="16">
        <f>G83*F83</f>
        <v>0</v>
      </c>
      <c r="I83" s="16"/>
      <c r="J83" s="16"/>
      <c r="K83" s="16"/>
      <c r="L83" s="16"/>
      <c r="M83" s="16">
        <f t="shared" si="4"/>
        <v>0</v>
      </c>
    </row>
    <row r="84" spans="2:14" x14ac:dyDescent="0.3">
      <c r="B84" s="12"/>
      <c r="C84" s="13" t="s">
        <v>75</v>
      </c>
      <c r="D84" s="14" t="s">
        <v>27</v>
      </c>
      <c r="E84" s="12">
        <v>1.05</v>
      </c>
      <c r="F84" s="15">
        <f>E84*F79</f>
        <v>726.6</v>
      </c>
      <c r="G84" s="16"/>
      <c r="H84" s="16">
        <f>G84*F84</f>
        <v>0</v>
      </c>
      <c r="I84" s="16"/>
      <c r="J84" s="16"/>
      <c r="K84" s="16"/>
      <c r="L84" s="16"/>
      <c r="M84" s="16">
        <f t="shared" si="4"/>
        <v>0</v>
      </c>
    </row>
    <row r="85" spans="2:14" s="102" customFormat="1" ht="22.5" customHeight="1" x14ac:dyDescent="0.3">
      <c r="B85" s="5">
        <f>MAX($B$5:B84)+1</f>
        <v>14</v>
      </c>
      <c r="C85" s="23" t="s">
        <v>56</v>
      </c>
      <c r="D85" s="6" t="s">
        <v>41</v>
      </c>
      <c r="E85" s="6"/>
      <c r="F85" s="7">
        <v>224.62799999999999</v>
      </c>
      <c r="G85" s="8"/>
      <c r="H85" s="9"/>
      <c r="I85" s="10"/>
      <c r="J85" s="9"/>
      <c r="K85" s="10"/>
      <c r="L85" s="9"/>
      <c r="M85" s="11"/>
      <c r="N85" s="103">
        <f>SUM(M86:M92)/F85</f>
        <v>0</v>
      </c>
    </row>
    <row r="86" spans="2:14" s="102" customFormat="1" ht="13.8" x14ac:dyDescent="0.3">
      <c r="B86" s="12"/>
      <c r="C86" s="13" t="s">
        <v>14</v>
      </c>
      <c r="D86" s="14" t="s">
        <v>41</v>
      </c>
      <c r="E86" s="12">
        <v>1</v>
      </c>
      <c r="F86" s="15">
        <f>E86*F85</f>
        <v>224.62799999999999</v>
      </c>
      <c r="G86" s="16"/>
      <c r="H86" s="16"/>
      <c r="I86" s="16"/>
      <c r="J86" s="16">
        <f>I86*F86</f>
        <v>0</v>
      </c>
      <c r="K86" s="16"/>
      <c r="L86" s="16"/>
      <c r="M86" s="16">
        <f t="shared" ref="M86:M91" si="7">H86+J86+L86</f>
        <v>0</v>
      </c>
      <c r="N86" s="103">
        <f>N85*1.18</f>
        <v>0</v>
      </c>
    </row>
    <row r="87" spans="2:14" s="102" customFormat="1" ht="13.8" x14ac:dyDescent="0.3">
      <c r="B87" s="12"/>
      <c r="C87" s="13" t="s">
        <v>43</v>
      </c>
      <c r="D87" s="14" t="s">
        <v>33</v>
      </c>
      <c r="E87" s="12">
        <v>1</v>
      </c>
      <c r="F87" s="15">
        <f>E87*F85</f>
        <v>224.62799999999999</v>
      </c>
      <c r="G87" s="16"/>
      <c r="H87" s="16"/>
      <c r="I87" s="16"/>
      <c r="J87" s="16"/>
      <c r="K87" s="16"/>
      <c r="L87" s="16">
        <f>K87*F87</f>
        <v>0</v>
      </c>
      <c r="M87" s="16">
        <f t="shared" si="7"/>
        <v>0</v>
      </c>
    </row>
    <row r="88" spans="2:14" s="102" customFormat="1" ht="13.8" x14ac:dyDescent="0.3">
      <c r="B88" s="12"/>
      <c r="C88" s="13" t="s">
        <v>16</v>
      </c>
      <c r="D88" s="14"/>
      <c r="E88" s="12"/>
      <c r="F88" s="15"/>
      <c r="G88" s="16"/>
      <c r="H88" s="16"/>
      <c r="I88" s="16"/>
      <c r="J88" s="16"/>
      <c r="K88" s="16"/>
      <c r="L88" s="16"/>
      <c r="M88" s="16">
        <f t="shared" si="7"/>
        <v>0</v>
      </c>
    </row>
    <row r="89" spans="2:14" s="102" customFormat="1" ht="13.8" x14ac:dyDescent="0.3">
      <c r="B89" s="12"/>
      <c r="C89" s="13" t="s">
        <v>49</v>
      </c>
      <c r="D89" s="14" t="s">
        <v>11</v>
      </c>
      <c r="E89" s="12">
        <v>1.0149999999999999</v>
      </c>
      <c r="F89" s="15">
        <f>(F85*0.2*0.1*2+F85*0.4*0.1)*E89</f>
        <v>18.239793599999999</v>
      </c>
      <c r="G89" s="16"/>
      <c r="H89" s="16">
        <f t="shared" ref="H89:H91" si="8">G89*F89</f>
        <v>0</v>
      </c>
      <c r="I89" s="16"/>
      <c r="J89" s="16"/>
      <c r="K89" s="16"/>
      <c r="L89" s="16"/>
      <c r="M89" s="16">
        <f t="shared" si="7"/>
        <v>0</v>
      </c>
    </row>
    <row r="90" spans="2:14" s="102" customFormat="1" ht="13.8" x14ac:dyDescent="0.3">
      <c r="B90" s="12"/>
      <c r="C90" s="13" t="s">
        <v>269</v>
      </c>
      <c r="D90" s="14" t="s">
        <v>36</v>
      </c>
      <c r="E90" s="12">
        <v>1.05</v>
      </c>
      <c r="F90" s="15">
        <f>(240*0.62+80)/1000*E90</f>
        <v>0.24024000000000001</v>
      </c>
      <c r="G90" s="16"/>
      <c r="H90" s="16">
        <f t="shared" si="8"/>
        <v>0</v>
      </c>
      <c r="I90" s="16"/>
      <c r="J90" s="16"/>
      <c r="K90" s="16"/>
      <c r="L90" s="16"/>
      <c r="M90" s="16">
        <f t="shared" si="7"/>
        <v>0</v>
      </c>
    </row>
    <row r="91" spans="2:14" s="102" customFormat="1" ht="13.8" x14ac:dyDescent="0.3">
      <c r="B91" s="12"/>
      <c r="C91" s="13" t="s">
        <v>270</v>
      </c>
      <c r="D91" s="14" t="s">
        <v>57</v>
      </c>
      <c r="E91" s="12">
        <v>1.0149999999999999</v>
      </c>
      <c r="F91" s="15">
        <f>F89/0.1</f>
        <v>182.39793599999999</v>
      </c>
      <c r="G91" s="16"/>
      <c r="H91" s="16">
        <f t="shared" si="8"/>
        <v>0</v>
      </c>
      <c r="I91" s="16"/>
      <c r="J91" s="16"/>
      <c r="K91" s="16"/>
      <c r="L91" s="16"/>
      <c r="M91" s="16">
        <f t="shared" si="7"/>
        <v>0</v>
      </c>
    </row>
    <row r="92" spans="2:14" s="102" customFormat="1" ht="13.8" x14ac:dyDescent="0.3">
      <c r="B92" s="12"/>
      <c r="C92" s="13" t="s">
        <v>32</v>
      </c>
      <c r="D92" s="14" t="s">
        <v>33</v>
      </c>
      <c r="E92" s="12">
        <v>1</v>
      </c>
      <c r="F92" s="15">
        <f>E92*F85</f>
        <v>224.62799999999999</v>
      </c>
      <c r="G92" s="16"/>
      <c r="H92" s="16">
        <f>G92*F92</f>
        <v>0</v>
      </c>
      <c r="I92" s="16"/>
      <c r="J92" s="16"/>
      <c r="K92" s="16"/>
      <c r="L92" s="16"/>
      <c r="M92" s="16">
        <f>L92+J92+H92</f>
        <v>0</v>
      </c>
    </row>
    <row r="93" spans="2:14" s="102" customFormat="1" ht="29.25" customHeight="1" x14ac:dyDescent="0.3">
      <c r="B93" s="5">
        <f>MAX($B$5:B92)+1</f>
        <v>15</v>
      </c>
      <c r="C93" s="23" t="s">
        <v>273</v>
      </c>
      <c r="D93" s="6" t="s">
        <v>41</v>
      </c>
      <c r="E93" s="6"/>
      <c r="F93" s="7">
        <f>F85</f>
        <v>224.62799999999999</v>
      </c>
      <c r="G93" s="8"/>
      <c r="H93" s="9"/>
      <c r="I93" s="10"/>
      <c r="J93" s="9"/>
      <c r="K93" s="10"/>
      <c r="L93" s="9"/>
      <c r="M93" s="11"/>
    </row>
    <row r="94" spans="2:14" s="102" customFormat="1" ht="13.8" x14ac:dyDescent="0.3">
      <c r="B94" s="12"/>
      <c r="C94" s="13" t="s">
        <v>14</v>
      </c>
      <c r="D94" s="14" t="s">
        <v>41</v>
      </c>
      <c r="E94" s="12">
        <v>1</v>
      </c>
      <c r="F94" s="15">
        <f>E94*F93</f>
        <v>224.62799999999999</v>
      </c>
      <c r="G94" s="16"/>
      <c r="H94" s="16"/>
      <c r="I94" s="16"/>
      <c r="J94" s="16">
        <f>I94*F94</f>
        <v>0</v>
      </c>
      <c r="K94" s="16"/>
      <c r="L94" s="16"/>
      <c r="M94" s="16">
        <f t="shared" ref="M94:M103" si="9">H94+J94+L94</f>
        <v>0</v>
      </c>
    </row>
    <row r="95" spans="2:14" s="102" customFormat="1" ht="13.8" x14ac:dyDescent="0.3">
      <c r="B95" s="12"/>
      <c r="C95" s="13" t="s">
        <v>43</v>
      </c>
      <c r="D95" s="14" t="s">
        <v>33</v>
      </c>
      <c r="E95" s="12">
        <v>1</v>
      </c>
      <c r="F95" s="15">
        <f>E95*F93</f>
        <v>224.62799999999999</v>
      </c>
      <c r="G95" s="16"/>
      <c r="H95" s="16"/>
      <c r="I95" s="16"/>
      <c r="J95" s="16"/>
      <c r="K95" s="16"/>
      <c r="L95" s="16">
        <f>K95*F95</f>
        <v>0</v>
      </c>
      <c r="M95" s="16">
        <f t="shared" si="9"/>
        <v>0</v>
      </c>
    </row>
    <row r="96" spans="2:14" s="102" customFormat="1" ht="13.8" x14ac:dyDescent="0.3">
      <c r="B96" s="12"/>
      <c r="C96" s="13" t="s">
        <v>16</v>
      </c>
      <c r="D96" s="14"/>
      <c r="E96" s="12"/>
      <c r="F96" s="15"/>
      <c r="G96" s="16"/>
      <c r="H96" s="16"/>
      <c r="I96" s="16"/>
      <c r="J96" s="16"/>
      <c r="K96" s="16"/>
      <c r="L96" s="16"/>
      <c r="M96" s="16">
        <f t="shared" si="9"/>
        <v>0</v>
      </c>
    </row>
    <row r="97" spans="2:15" s="62" customFormat="1" x14ac:dyDescent="0.3">
      <c r="B97" s="12" t="s">
        <v>240</v>
      </c>
      <c r="C97" s="13" t="s">
        <v>276</v>
      </c>
      <c r="D97" s="14" t="s">
        <v>41</v>
      </c>
      <c r="E97" s="12">
        <v>1</v>
      </c>
      <c r="F97" s="15">
        <f>E97*F95</f>
        <v>224.62799999999999</v>
      </c>
      <c r="G97" s="16"/>
      <c r="H97" s="16">
        <f t="shared" ref="H97" si="10">G97*F97</f>
        <v>0</v>
      </c>
      <c r="I97" s="16"/>
      <c r="J97" s="16"/>
      <c r="K97" s="16"/>
      <c r="L97" s="16"/>
      <c r="M97" s="16">
        <f t="shared" ref="M97" si="11">L97+J97+H97</f>
        <v>0</v>
      </c>
    </row>
    <row r="98" spans="2:15" s="102" customFormat="1" ht="13.8" x14ac:dyDescent="0.3">
      <c r="B98" s="12"/>
      <c r="C98" s="13" t="s">
        <v>274</v>
      </c>
      <c r="D98" s="14" t="s">
        <v>41</v>
      </c>
      <c r="E98" s="12">
        <f>1.05*2</f>
        <v>2.1</v>
      </c>
      <c r="F98" s="15">
        <f>F93*E98</f>
        <v>471.71879999999999</v>
      </c>
      <c r="G98" s="16"/>
      <c r="H98" s="16">
        <f>G98*F98</f>
        <v>0</v>
      </c>
      <c r="I98" s="16"/>
      <c r="J98" s="16"/>
      <c r="K98" s="16"/>
      <c r="L98" s="16"/>
      <c r="M98" s="16">
        <f t="shared" si="9"/>
        <v>0</v>
      </c>
      <c r="N98" s="102" t="e" vm="1">
        <v>#VALUE!</v>
      </c>
    </row>
    <row r="99" spans="2:15" s="102" customFormat="1" ht="13.8" x14ac:dyDescent="0.3">
      <c r="B99" s="12"/>
      <c r="C99" s="13" t="s">
        <v>275</v>
      </c>
      <c r="D99" s="14" t="s">
        <v>41</v>
      </c>
      <c r="E99" s="12">
        <f>1.05*2</f>
        <v>2.1</v>
      </c>
      <c r="F99" s="15">
        <f>F93*E99</f>
        <v>471.71879999999999</v>
      </c>
      <c r="G99" s="16"/>
      <c r="H99" s="16">
        <f t="shared" ref="H99:H101" si="12">G99*F99</f>
        <v>0</v>
      </c>
      <c r="I99" s="16"/>
      <c r="J99" s="16"/>
      <c r="K99" s="16"/>
      <c r="L99" s="16"/>
      <c r="M99" s="16">
        <f t="shared" si="9"/>
        <v>0</v>
      </c>
    </row>
    <row r="100" spans="2:15" s="102" customFormat="1" ht="13.5" customHeight="1" x14ac:dyDescent="0.3">
      <c r="B100" s="12"/>
      <c r="C100" s="13" t="s">
        <v>271</v>
      </c>
      <c r="D100" s="14" t="s">
        <v>48</v>
      </c>
      <c r="E100" s="12">
        <v>15</v>
      </c>
      <c r="F100" s="15">
        <f>(F98*8.42+F99*2.9)/1000*E100</f>
        <v>80.097852239999995</v>
      </c>
      <c r="G100" s="16"/>
      <c r="H100" s="16">
        <f t="shared" si="12"/>
        <v>0</v>
      </c>
      <c r="I100" s="16"/>
      <c r="J100" s="16"/>
      <c r="K100" s="16"/>
      <c r="L100" s="16"/>
      <c r="M100" s="16">
        <f t="shared" si="9"/>
        <v>0</v>
      </c>
    </row>
    <row r="101" spans="2:15" s="102" customFormat="1" ht="13.5" customHeight="1" x14ac:dyDescent="0.3">
      <c r="B101" s="12"/>
      <c r="C101" s="13" t="s">
        <v>272</v>
      </c>
      <c r="D101" s="14" t="s">
        <v>58</v>
      </c>
      <c r="E101" s="12">
        <v>3</v>
      </c>
      <c r="F101" s="15">
        <f>(F98*8.42+F99*2.9)/1000*E101</f>
        <v>16.019570447999996</v>
      </c>
      <c r="G101" s="16"/>
      <c r="H101" s="16">
        <f t="shared" si="12"/>
        <v>0</v>
      </c>
      <c r="I101" s="16"/>
      <c r="J101" s="16"/>
      <c r="K101" s="16"/>
      <c r="L101" s="16"/>
      <c r="M101" s="16">
        <f t="shared" si="9"/>
        <v>0</v>
      </c>
      <c r="N101" s="103"/>
    </row>
    <row r="102" spans="2:15" s="102" customFormat="1" ht="13.5" customHeight="1" x14ac:dyDescent="0.3">
      <c r="B102" s="12"/>
      <c r="C102" s="13" t="s">
        <v>59</v>
      </c>
      <c r="D102" s="14" t="s">
        <v>33</v>
      </c>
      <c r="E102" s="12">
        <v>0.3</v>
      </c>
      <c r="F102" s="15">
        <f>(F98*0.06*4+F99*0.05*2+F99*0.02*2)*E102</f>
        <v>53.775943199999993</v>
      </c>
      <c r="G102" s="16"/>
      <c r="H102" s="16">
        <f>G102*F102</f>
        <v>0</v>
      </c>
      <c r="I102" s="16"/>
      <c r="J102" s="16"/>
      <c r="K102" s="16"/>
      <c r="L102" s="16"/>
      <c r="M102" s="16">
        <f t="shared" si="9"/>
        <v>0</v>
      </c>
    </row>
    <row r="103" spans="2:15" s="102" customFormat="1" ht="13.8" x14ac:dyDescent="0.3">
      <c r="B103" s="12"/>
      <c r="C103" s="13" t="s">
        <v>32</v>
      </c>
      <c r="D103" s="14" t="s">
        <v>33</v>
      </c>
      <c r="E103" s="12">
        <v>1</v>
      </c>
      <c r="F103" s="15">
        <f>E103*F93</f>
        <v>224.62799999999999</v>
      </c>
      <c r="G103" s="16"/>
      <c r="H103" s="16">
        <f>G103*F103</f>
        <v>0</v>
      </c>
      <c r="I103" s="16"/>
      <c r="J103" s="16"/>
      <c r="K103" s="16"/>
      <c r="L103" s="16"/>
      <c r="M103" s="16">
        <f t="shared" si="9"/>
        <v>0</v>
      </c>
    </row>
    <row r="104" spans="2:15" s="28" customFormat="1" x14ac:dyDescent="0.3">
      <c r="B104" s="5">
        <f>MAX($B$5:B103)+1</f>
        <v>16</v>
      </c>
      <c r="C104" s="23" t="s">
        <v>76</v>
      </c>
      <c r="D104" s="6" t="s">
        <v>65</v>
      </c>
      <c r="E104" s="6"/>
      <c r="F104" s="7">
        <v>0.2</v>
      </c>
      <c r="G104" s="8"/>
      <c r="H104" s="9"/>
      <c r="I104" s="10"/>
      <c r="J104" s="9"/>
      <c r="K104" s="10"/>
      <c r="L104" s="9"/>
      <c r="M104" s="11">
        <f t="shared" ref="M104" si="13">H104+J104+L104</f>
        <v>0</v>
      </c>
      <c r="N104" s="85"/>
    </row>
    <row r="105" spans="2:15" s="28" customFormat="1" ht="13.8" x14ac:dyDescent="0.3">
      <c r="B105" s="12"/>
      <c r="C105" s="13" t="s">
        <v>14</v>
      </c>
      <c r="D105" s="14" t="s">
        <v>65</v>
      </c>
      <c r="E105" s="12">
        <v>1</v>
      </c>
      <c r="F105" s="15">
        <f>E105*F104</f>
        <v>0.2</v>
      </c>
      <c r="G105" s="17"/>
      <c r="H105" s="17">
        <f>G105*F105</f>
        <v>0</v>
      </c>
      <c r="I105" s="17"/>
      <c r="J105" s="17"/>
      <c r="K105" s="17"/>
      <c r="L105" s="17"/>
      <c r="M105" s="17">
        <f>H105+J105+L105</f>
        <v>0</v>
      </c>
      <c r="N105" s="54"/>
    </row>
    <row r="106" spans="2:15" x14ac:dyDescent="0.3">
      <c r="B106" s="5">
        <f>MAX($B$5:B105)+1</f>
        <v>17</v>
      </c>
      <c r="C106" s="23" t="s">
        <v>69</v>
      </c>
      <c r="D106" s="6" t="s">
        <v>41</v>
      </c>
      <c r="E106" s="6"/>
      <c r="F106" s="7">
        <v>70</v>
      </c>
      <c r="G106" s="8"/>
      <c r="H106" s="9"/>
      <c r="I106" s="10"/>
      <c r="J106" s="9"/>
      <c r="K106" s="10"/>
      <c r="L106" s="9"/>
      <c r="M106" s="11">
        <f t="shared" ref="M106:M112" si="14">L106+J106+H106</f>
        <v>0</v>
      </c>
      <c r="N106" s="54"/>
      <c r="O106" s="28"/>
    </row>
    <row r="107" spans="2:15" x14ac:dyDescent="0.3">
      <c r="B107" s="12"/>
      <c r="C107" s="13" t="s">
        <v>14</v>
      </c>
      <c r="D107" s="14" t="s">
        <v>41</v>
      </c>
      <c r="E107" s="12">
        <v>1</v>
      </c>
      <c r="F107" s="15">
        <f>F106*E107</f>
        <v>70</v>
      </c>
      <c r="G107" s="16"/>
      <c r="H107" s="16"/>
      <c r="I107" s="16"/>
      <c r="J107" s="16">
        <f>I107*F107</f>
        <v>0</v>
      </c>
      <c r="K107" s="16"/>
      <c r="L107" s="16"/>
      <c r="M107" s="16">
        <f t="shared" si="14"/>
        <v>0</v>
      </c>
      <c r="N107" s="54"/>
      <c r="O107" s="28"/>
    </row>
    <row r="108" spans="2:15" x14ac:dyDescent="0.3">
      <c r="B108" s="12"/>
      <c r="C108" s="13" t="s">
        <v>67</v>
      </c>
      <c r="D108" s="14" t="s">
        <v>41</v>
      </c>
      <c r="E108" s="12">
        <v>1</v>
      </c>
      <c r="F108" s="15">
        <f>F107*E108</f>
        <v>70</v>
      </c>
      <c r="G108" s="16"/>
      <c r="H108" s="16">
        <f>G108*F108</f>
        <v>0</v>
      </c>
      <c r="I108" s="16"/>
      <c r="J108" s="16"/>
      <c r="K108" s="16"/>
      <c r="L108" s="16"/>
      <c r="M108" s="16">
        <f t="shared" si="14"/>
        <v>0</v>
      </c>
      <c r="N108" s="54"/>
      <c r="O108" s="28"/>
    </row>
    <row r="109" spans="2:15" x14ac:dyDescent="0.3">
      <c r="B109" s="5">
        <f>MAX($B$5:B108)+1</f>
        <v>18</v>
      </c>
      <c r="C109" s="23" t="s">
        <v>70</v>
      </c>
      <c r="D109" s="6" t="s">
        <v>27</v>
      </c>
      <c r="E109" s="6"/>
      <c r="F109" s="7">
        <f>F106*1.2</f>
        <v>84</v>
      </c>
      <c r="G109" s="8"/>
      <c r="H109" s="9"/>
      <c r="I109" s="10"/>
      <c r="J109" s="9"/>
      <c r="K109" s="10"/>
      <c r="L109" s="9"/>
      <c r="M109" s="11">
        <f t="shared" si="14"/>
        <v>0</v>
      </c>
      <c r="N109" s="54"/>
      <c r="O109" s="28"/>
    </row>
    <row r="110" spans="2:15" x14ac:dyDescent="0.3">
      <c r="B110" s="12"/>
      <c r="C110" s="13" t="s">
        <v>14</v>
      </c>
      <c r="D110" s="14" t="s">
        <v>27</v>
      </c>
      <c r="E110" s="12">
        <v>1</v>
      </c>
      <c r="F110" s="15">
        <f>F109</f>
        <v>84</v>
      </c>
      <c r="G110" s="16"/>
      <c r="H110" s="16"/>
      <c r="I110" s="16"/>
      <c r="J110" s="16">
        <f>I110*F110</f>
        <v>0</v>
      </c>
      <c r="K110" s="16"/>
      <c r="L110" s="16"/>
      <c r="M110" s="16">
        <f t="shared" si="14"/>
        <v>0</v>
      </c>
      <c r="N110" s="54"/>
      <c r="O110" s="28"/>
    </row>
    <row r="111" spans="2:15" x14ac:dyDescent="0.3">
      <c r="B111" s="12"/>
      <c r="C111" s="13" t="s">
        <v>68</v>
      </c>
      <c r="D111" s="14" t="s">
        <v>48</v>
      </c>
      <c r="E111" s="12">
        <v>0.4</v>
      </c>
      <c r="F111" s="15">
        <f>F109*E111</f>
        <v>33.6</v>
      </c>
      <c r="G111" s="16"/>
      <c r="H111" s="16">
        <f>G111*F111</f>
        <v>0</v>
      </c>
      <c r="I111" s="16"/>
      <c r="J111" s="16"/>
      <c r="K111" s="16"/>
      <c r="L111" s="16"/>
      <c r="M111" s="16">
        <f t="shared" si="14"/>
        <v>0</v>
      </c>
      <c r="N111" s="54"/>
      <c r="O111" s="28"/>
    </row>
    <row r="112" spans="2:15" x14ac:dyDescent="0.3">
      <c r="B112" s="12"/>
      <c r="C112" s="13" t="s">
        <v>59</v>
      </c>
      <c r="D112" s="14" t="s">
        <v>48</v>
      </c>
      <c r="E112" s="12">
        <v>0.4</v>
      </c>
      <c r="F112" s="15">
        <f>F109*E112</f>
        <v>33.6</v>
      </c>
      <c r="G112" s="16"/>
      <c r="H112" s="16">
        <f>G112*F112</f>
        <v>0</v>
      </c>
      <c r="I112" s="16"/>
      <c r="J112" s="16"/>
      <c r="K112" s="16"/>
      <c r="L112" s="16"/>
      <c r="M112" s="16">
        <f t="shared" si="14"/>
        <v>0</v>
      </c>
      <c r="N112" s="54"/>
      <c r="O112" s="28"/>
    </row>
    <row r="113" spans="2:85" x14ac:dyDescent="0.3">
      <c r="B113" s="5">
        <f>MAX($B$5:B112)+1</f>
        <v>19</v>
      </c>
      <c r="C113" s="23" t="s">
        <v>71</v>
      </c>
      <c r="D113" s="6" t="s">
        <v>27</v>
      </c>
      <c r="E113" s="6"/>
      <c r="F113" s="7">
        <v>10</v>
      </c>
      <c r="G113" s="8"/>
      <c r="H113" s="9"/>
      <c r="I113" s="10"/>
      <c r="J113" s="9"/>
      <c r="K113" s="10"/>
      <c r="L113" s="9"/>
      <c r="M113" s="11">
        <f t="shared" ref="M113:M121" si="15">L113+J113+H113</f>
        <v>0</v>
      </c>
      <c r="N113" s="54"/>
      <c r="O113" s="28"/>
    </row>
    <row r="114" spans="2:85" x14ac:dyDescent="0.3">
      <c r="B114" s="12"/>
      <c r="C114" s="13" t="s">
        <v>14</v>
      </c>
      <c r="D114" s="14" t="s">
        <v>27</v>
      </c>
      <c r="E114" s="12">
        <v>1</v>
      </c>
      <c r="F114" s="15">
        <f>E114*F113</f>
        <v>10</v>
      </c>
      <c r="G114" s="16"/>
      <c r="H114" s="16"/>
      <c r="I114" s="16"/>
      <c r="J114" s="16">
        <f>I114*F114</f>
        <v>0</v>
      </c>
      <c r="K114" s="16"/>
      <c r="L114" s="16"/>
      <c r="M114" s="16">
        <f t="shared" si="15"/>
        <v>0</v>
      </c>
      <c r="N114" s="54"/>
      <c r="O114" s="28"/>
    </row>
    <row r="115" spans="2:85" x14ac:dyDescent="0.3">
      <c r="B115" s="12"/>
      <c r="C115" s="13" t="s">
        <v>43</v>
      </c>
      <c r="D115" s="14" t="s">
        <v>33</v>
      </c>
      <c r="E115" s="12">
        <v>5.7000000000000002E-2</v>
      </c>
      <c r="F115" s="15">
        <f>E115*F113</f>
        <v>0.57000000000000006</v>
      </c>
      <c r="G115" s="16"/>
      <c r="H115" s="16"/>
      <c r="I115" s="16"/>
      <c r="J115" s="16"/>
      <c r="K115" s="16"/>
      <c r="L115" s="16">
        <f>K115*F115</f>
        <v>0</v>
      </c>
      <c r="M115" s="16">
        <f t="shared" si="15"/>
        <v>0</v>
      </c>
      <c r="N115" s="54"/>
      <c r="O115" s="28"/>
    </row>
    <row r="116" spans="2:85" x14ac:dyDescent="0.3">
      <c r="B116" s="12"/>
      <c r="C116" s="13" t="s">
        <v>16</v>
      </c>
      <c r="D116" s="14"/>
      <c r="E116" s="12"/>
      <c r="F116" s="15"/>
      <c r="G116" s="16"/>
      <c r="H116" s="16"/>
      <c r="I116" s="16"/>
      <c r="J116" s="16"/>
      <c r="K116" s="16"/>
      <c r="L116" s="16"/>
      <c r="M116" s="16">
        <f t="shared" si="15"/>
        <v>0</v>
      </c>
      <c r="N116" s="54"/>
      <c r="O116" s="28"/>
    </row>
    <row r="117" spans="2:85" x14ac:dyDescent="0.3">
      <c r="B117" s="12"/>
      <c r="C117" s="13" t="s">
        <v>82</v>
      </c>
      <c r="D117" s="14" t="s">
        <v>27</v>
      </c>
      <c r="E117" s="12">
        <v>1.05</v>
      </c>
      <c r="F117" s="15">
        <f>E117*F113</f>
        <v>10.5</v>
      </c>
      <c r="G117" s="16"/>
      <c r="H117" s="16">
        <f>G117*F117</f>
        <v>0</v>
      </c>
      <c r="I117" s="16"/>
      <c r="J117" s="16"/>
      <c r="K117" s="16"/>
      <c r="L117" s="16"/>
      <c r="M117" s="16">
        <f t="shared" si="15"/>
        <v>0</v>
      </c>
      <c r="N117" s="54"/>
      <c r="O117" s="28"/>
    </row>
    <row r="118" spans="2:85" x14ac:dyDescent="0.3">
      <c r="B118" s="12"/>
      <c r="C118" s="13" t="s">
        <v>72</v>
      </c>
      <c r="D118" s="14" t="s">
        <v>41</v>
      </c>
      <c r="E118" s="12"/>
      <c r="F118" s="15">
        <f>F113/0.5*2*1.03</f>
        <v>41.2</v>
      </c>
      <c r="G118" s="16"/>
      <c r="H118" s="16">
        <f>G118*F118</f>
        <v>0</v>
      </c>
      <c r="I118" s="16"/>
      <c r="J118" s="16"/>
      <c r="K118" s="16"/>
      <c r="L118" s="16"/>
      <c r="M118" s="16">
        <f t="shared" si="15"/>
        <v>0</v>
      </c>
      <c r="N118" s="54"/>
      <c r="O118" s="28"/>
    </row>
    <row r="119" spans="2:85" x14ac:dyDescent="0.3">
      <c r="B119" s="12"/>
      <c r="C119" s="13" t="s">
        <v>83</v>
      </c>
      <c r="D119" s="14" t="s">
        <v>41</v>
      </c>
      <c r="E119" s="12"/>
      <c r="F119" s="15">
        <f>F113/0.5*2*1.03</f>
        <v>41.2</v>
      </c>
      <c r="G119" s="16"/>
      <c r="H119" s="16">
        <f>G119*F119</f>
        <v>0</v>
      </c>
      <c r="I119" s="16"/>
      <c r="J119" s="16"/>
      <c r="K119" s="16"/>
      <c r="L119" s="16"/>
      <c r="M119" s="16">
        <f t="shared" si="15"/>
        <v>0</v>
      </c>
      <c r="N119" s="54"/>
      <c r="O119" s="28"/>
    </row>
    <row r="120" spans="2:85" x14ac:dyDescent="0.3">
      <c r="B120" s="12"/>
      <c r="C120" s="13" t="s">
        <v>84</v>
      </c>
      <c r="D120" s="14" t="s">
        <v>27</v>
      </c>
      <c r="E120" s="12"/>
      <c r="F120" s="15">
        <f>F113</f>
        <v>10</v>
      </c>
      <c r="G120" s="16"/>
      <c r="H120" s="16">
        <f>G120*F120</f>
        <v>0</v>
      </c>
      <c r="I120" s="16"/>
      <c r="J120" s="16"/>
      <c r="K120" s="16"/>
      <c r="L120" s="16"/>
      <c r="M120" s="16">
        <f t="shared" si="15"/>
        <v>0</v>
      </c>
      <c r="N120" s="54"/>
      <c r="O120" s="28"/>
    </row>
    <row r="121" spans="2:85" x14ac:dyDescent="0.3">
      <c r="B121" s="12"/>
      <c r="C121" s="13" t="s">
        <v>73</v>
      </c>
      <c r="D121" s="14" t="s">
        <v>58</v>
      </c>
      <c r="E121" s="12">
        <v>6</v>
      </c>
      <c r="F121" s="15">
        <f>E121*F113</f>
        <v>60</v>
      </c>
      <c r="G121" s="16"/>
      <c r="H121" s="16">
        <f>G121*F121</f>
        <v>0</v>
      </c>
      <c r="I121" s="16"/>
      <c r="J121" s="16"/>
      <c r="K121" s="16"/>
      <c r="L121" s="16"/>
      <c r="M121" s="16">
        <f t="shared" si="15"/>
        <v>0</v>
      </c>
      <c r="N121" s="54"/>
      <c r="O121" s="28"/>
    </row>
    <row r="122" spans="2:85" x14ac:dyDescent="0.3">
      <c r="B122" s="12"/>
      <c r="C122" s="13" t="s">
        <v>32</v>
      </c>
      <c r="D122" s="14" t="s">
        <v>33</v>
      </c>
      <c r="E122" s="12">
        <v>1</v>
      </c>
      <c r="F122" s="15">
        <f>E122*F113</f>
        <v>10</v>
      </c>
      <c r="G122" s="16"/>
      <c r="H122" s="16">
        <f>F122*G122</f>
        <v>0</v>
      </c>
      <c r="I122" s="16"/>
      <c r="J122" s="16"/>
      <c r="K122" s="16"/>
      <c r="L122" s="16"/>
      <c r="M122" s="16">
        <f>H122+J122+L122</f>
        <v>0</v>
      </c>
      <c r="N122" s="54"/>
      <c r="O122" s="28"/>
    </row>
    <row r="123" spans="2:85" x14ac:dyDescent="0.3">
      <c r="B123" s="5">
        <f>MAX($B$5:B122)+1</f>
        <v>20</v>
      </c>
      <c r="C123" s="23" t="s">
        <v>198</v>
      </c>
      <c r="D123" s="6" t="s">
        <v>58</v>
      </c>
      <c r="E123" s="6"/>
      <c r="F123" s="7">
        <v>3</v>
      </c>
      <c r="G123" s="8"/>
      <c r="H123" s="9"/>
      <c r="I123" s="10"/>
      <c r="J123" s="9"/>
      <c r="K123" s="10"/>
      <c r="L123" s="9"/>
      <c r="M123" s="11">
        <f t="shared" ref="M123:M127" si="16">L123+J123+H123</f>
        <v>0</v>
      </c>
      <c r="N123" s="54"/>
      <c r="O123" s="28"/>
    </row>
    <row r="124" spans="2:85" x14ac:dyDescent="0.3">
      <c r="B124" s="12"/>
      <c r="C124" s="13" t="s">
        <v>14</v>
      </c>
      <c r="D124" s="14" t="s">
        <v>58</v>
      </c>
      <c r="E124" s="12">
        <v>1</v>
      </c>
      <c r="F124" s="15">
        <f>F123</f>
        <v>3</v>
      </c>
      <c r="G124" s="16"/>
      <c r="H124" s="16"/>
      <c r="I124" s="16"/>
      <c r="J124" s="16">
        <f>I124*F124</f>
        <v>0</v>
      </c>
      <c r="K124" s="16"/>
      <c r="L124" s="16"/>
      <c r="M124" s="16">
        <f t="shared" si="16"/>
        <v>0</v>
      </c>
      <c r="N124" s="54"/>
      <c r="O124" s="28"/>
    </row>
    <row r="125" spans="2:85" x14ac:dyDescent="0.3">
      <c r="B125" s="12"/>
      <c r="C125" s="13" t="s">
        <v>251</v>
      </c>
      <c r="D125" s="14" t="s">
        <v>58</v>
      </c>
      <c r="E125" s="12">
        <v>1</v>
      </c>
      <c r="F125" s="15">
        <f>F123*E125</f>
        <v>3</v>
      </c>
      <c r="G125" s="16"/>
      <c r="H125" s="16">
        <f>G125*F125</f>
        <v>0</v>
      </c>
      <c r="I125" s="16"/>
      <c r="J125" s="16"/>
      <c r="K125" s="16"/>
      <c r="L125" s="16"/>
      <c r="M125" s="16">
        <f t="shared" si="16"/>
        <v>0</v>
      </c>
      <c r="N125" s="54"/>
      <c r="O125" s="28"/>
    </row>
    <row r="126" spans="2:85" s="60" customFormat="1" ht="15.6" x14ac:dyDescent="0.3">
      <c r="B126" s="5">
        <f>MAX($B$5:B125)+1</f>
        <v>21</v>
      </c>
      <c r="C126" s="23" t="s">
        <v>203</v>
      </c>
      <c r="D126" s="6" t="s">
        <v>41</v>
      </c>
      <c r="E126" s="6"/>
      <c r="F126" s="7">
        <f>110*3</f>
        <v>330</v>
      </c>
      <c r="G126" s="8"/>
      <c r="H126" s="9"/>
      <c r="I126" s="10"/>
      <c r="J126" s="9"/>
      <c r="K126" s="10"/>
      <c r="L126" s="9"/>
      <c r="M126" s="11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  <c r="AH126" s="59"/>
      <c r="AI126" s="59"/>
      <c r="AJ126" s="59"/>
      <c r="AK126" s="59"/>
      <c r="AL126" s="59"/>
      <c r="AM126" s="59"/>
      <c r="AN126" s="59"/>
      <c r="AO126" s="59"/>
      <c r="AP126" s="59"/>
      <c r="AQ126" s="59"/>
      <c r="AR126" s="59"/>
      <c r="AS126" s="59"/>
      <c r="AT126" s="59"/>
      <c r="AU126" s="59"/>
      <c r="AV126" s="59"/>
      <c r="AW126" s="59"/>
      <c r="AX126" s="59"/>
      <c r="AY126" s="59"/>
      <c r="AZ126" s="59"/>
      <c r="BA126" s="59"/>
      <c r="BB126" s="59"/>
      <c r="BC126" s="59"/>
      <c r="BD126" s="59"/>
      <c r="BE126" s="59"/>
      <c r="BF126" s="59"/>
      <c r="BG126" s="59"/>
      <c r="BH126" s="59"/>
      <c r="BI126" s="59"/>
      <c r="BJ126" s="59"/>
      <c r="BK126" s="59"/>
      <c r="BL126" s="59"/>
      <c r="BM126" s="59"/>
      <c r="BN126" s="59"/>
      <c r="BO126" s="59"/>
      <c r="BP126" s="59"/>
      <c r="BQ126" s="59"/>
      <c r="BR126" s="59"/>
      <c r="BS126" s="59"/>
      <c r="BT126" s="59"/>
      <c r="BU126" s="59"/>
      <c r="BV126" s="59"/>
      <c r="BW126" s="59"/>
      <c r="BX126" s="59"/>
      <c r="BY126" s="59"/>
      <c r="BZ126" s="59"/>
      <c r="CA126" s="59"/>
      <c r="CB126" s="59"/>
      <c r="CC126" s="59"/>
      <c r="CD126" s="59"/>
      <c r="CE126" s="59"/>
      <c r="CF126" s="59"/>
      <c r="CG126" s="59"/>
    </row>
    <row r="127" spans="2:85" s="60" customFormat="1" ht="15.6" x14ac:dyDescent="0.3">
      <c r="B127" s="12"/>
      <c r="C127" s="13" t="s">
        <v>231</v>
      </c>
      <c r="D127" s="14" t="s">
        <v>41</v>
      </c>
      <c r="E127" s="12">
        <v>1.02</v>
      </c>
      <c r="F127" s="15">
        <f>E127*F126</f>
        <v>336.6</v>
      </c>
      <c r="G127" s="15"/>
      <c r="H127" s="16">
        <f>G127*F127</f>
        <v>0</v>
      </c>
      <c r="I127" s="16"/>
      <c r="J127" s="16">
        <f>I127*F127</f>
        <v>0</v>
      </c>
      <c r="K127" s="16"/>
      <c r="L127" s="16"/>
      <c r="M127" s="16">
        <f t="shared" si="16"/>
        <v>0</v>
      </c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  <c r="AG127" s="59"/>
      <c r="AH127" s="59"/>
      <c r="AI127" s="59"/>
      <c r="AJ127" s="59"/>
      <c r="AK127" s="59"/>
      <c r="AL127" s="59"/>
      <c r="AM127" s="59"/>
      <c r="AN127" s="59"/>
      <c r="AO127" s="59"/>
      <c r="AP127" s="59"/>
      <c r="AQ127" s="59"/>
      <c r="AR127" s="59"/>
      <c r="AS127" s="59"/>
      <c r="AT127" s="59"/>
      <c r="AU127" s="59"/>
      <c r="AV127" s="59"/>
      <c r="AW127" s="59"/>
      <c r="AX127" s="59"/>
      <c r="AY127" s="59"/>
      <c r="AZ127" s="59"/>
      <c r="BA127" s="59"/>
      <c r="BB127" s="59"/>
      <c r="BC127" s="59"/>
      <c r="BD127" s="59"/>
      <c r="BE127" s="59"/>
      <c r="BF127" s="59"/>
      <c r="BG127" s="59"/>
      <c r="BH127" s="59"/>
      <c r="BI127" s="59"/>
      <c r="BJ127" s="59"/>
      <c r="BK127" s="59"/>
      <c r="BL127" s="59"/>
      <c r="BM127" s="59"/>
      <c r="BN127" s="59"/>
      <c r="BO127" s="59"/>
      <c r="BP127" s="59"/>
      <c r="BQ127" s="59"/>
      <c r="BR127" s="59"/>
      <c r="BS127" s="59"/>
      <c r="BT127" s="59"/>
      <c r="BU127" s="59"/>
      <c r="BV127" s="59"/>
      <c r="BW127" s="59"/>
      <c r="BX127" s="59"/>
      <c r="BY127" s="59"/>
      <c r="BZ127" s="59"/>
      <c r="CA127" s="59"/>
      <c r="CB127" s="59"/>
      <c r="CC127" s="59"/>
      <c r="CD127" s="59"/>
      <c r="CE127" s="59"/>
      <c r="CF127" s="59"/>
      <c r="CG127" s="59"/>
    </row>
    <row r="128" spans="2:85" s="3" customFormat="1" x14ac:dyDescent="0.3">
      <c r="B128" s="12"/>
      <c r="C128" s="13" t="s">
        <v>232</v>
      </c>
      <c r="D128" s="14" t="s">
        <v>41</v>
      </c>
      <c r="E128" s="12">
        <v>1.01</v>
      </c>
      <c r="F128" s="15">
        <f>E128*F126</f>
        <v>333.3</v>
      </c>
      <c r="G128" s="15"/>
      <c r="H128" s="16">
        <f>G128*F128</f>
        <v>0</v>
      </c>
      <c r="I128" s="16"/>
      <c r="J128" s="16">
        <f>I128*F128</f>
        <v>0</v>
      </c>
      <c r="K128" s="16"/>
      <c r="L128" s="16"/>
      <c r="M128" s="16">
        <f>L128+J128+H128</f>
        <v>0</v>
      </c>
    </row>
    <row r="129" spans="2:85" s="60" customFormat="1" ht="15.6" x14ac:dyDescent="0.3">
      <c r="B129" s="5">
        <f>MAX($B$5:B128)+1</f>
        <v>22</v>
      </c>
      <c r="C129" s="23" t="s">
        <v>233</v>
      </c>
      <c r="D129" s="6" t="s">
        <v>41</v>
      </c>
      <c r="E129" s="6"/>
      <c r="F129" s="7">
        <f>110</f>
        <v>110</v>
      </c>
      <c r="G129" s="8"/>
      <c r="H129" s="9"/>
      <c r="I129" s="10"/>
      <c r="J129" s="9"/>
      <c r="K129" s="10"/>
      <c r="L129" s="9"/>
      <c r="M129" s="11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  <c r="AE129" s="59"/>
      <c r="AF129" s="59"/>
      <c r="AG129" s="59"/>
      <c r="AH129" s="59"/>
      <c r="AI129" s="59"/>
      <c r="AJ129" s="59"/>
      <c r="AK129" s="59"/>
      <c r="AL129" s="59"/>
      <c r="AM129" s="59"/>
      <c r="AN129" s="59"/>
      <c r="AO129" s="59"/>
      <c r="AP129" s="59"/>
      <c r="AQ129" s="59"/>
      <c r="AR129" s="59"/>
      <c r="AS129" s="59"/>
      <c r="AT129" s="59"/>
      <c r="AU129" s="59"/>
      <c r="AV129" s="59"/>
      <c r="AW129" s="59"/>
      <c r="AX129" s="59"/>
      <c r="AY129" s="59"/>
      <c r="AZ129" s="59"/>
      <c r="BA129" s="59"/>
      <c r="BB129" s="59"/>
      <c r="BC129" s="59"/>
      <c r="BD129" s="59"/>
      <c r="BE129" s="59"/>
      <c r="BF129" s="59"/>
      <c r="BG129" s="59"/>
      <c r="BH129" s="59"/>
      <c r="BI129" s="59"/>
      <c r="BJ129" s="59"/>
      <c r="BK129" s="59"/>
      <c r="BL129" s="59"/>
      <c r="BM129" s="59"/>
      <c r="BN129" s="59"/>
      <c r="BO129" s="59"/>
      <c r="BP129" s="59"/>
      <c r="BQ129" s="59"/>
      <c r="BR129" s="59"/>
      <c r="BS129" s="59"/>
      <c r="BT129" s="59"/>
      <c r="BU129" s="59"/>
      <c r="BV129" s="59"/>
      <c r="BW129" s="59"/>
      <c r="BX129" s="59"/>
      <c r="BY129" s="59"/>
      <c r="BZ129" s="59"/>
      <c r="CA129" s="59"/>
      <c r="CB129" s="59"/>
      <c r="CC129" s="59"/>
      <c r="CD129" s="59"/>
      <c r="CE129" s="59"/>
      <c r="CF129" s="59"/>
      <c r="CG129" s="59"/>
    </row>
    <row r="130" spans="2:85" s="60" customFormat="1" ht="15.6" x14ac:dyDescent="0.3">
      <c r="B130" s="12"/>
      <c r="C130" s="13" t="s">
        <v>234</v>
      </c>
      <c r="D130" s="14" t="s">
        <v>41</v>
      </c>
      <c r="E130" s="12">
        <v>1.02</v>
      </c>
      <c r="F130" s="15">
        <f>E130*F129</f>
        <v>112.2</v>
      </c>
      <c r="G130" s="15"/>
      <c r="H130" s="16">
        <f>G130*F130</f>
        <v>0</v>
      </c>
      <c r="I130" s="16"/>
      <c r="J130" s="16">
        <f>I130*F130</f>
        <v>0</v>
      </c>
      <c r="K130" s="16"/>
      <c r="L130" s="16"/>
      <c r="M130" s="16">
        <f t="shared" ref="M130" si="17">L130+J130+H130</f>
        <v>0</v>
      </c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  <c r="AA130" s="59"/>
      <c r="AB130" s="59"/>
      <c r="AC130" s="59"/>
      <c r="AD130" s="59"/>
      <c r="AE130" s="59"/>
      <c r="AF130" s="59"/>
      <c r="AG130" s="59"/>
      <c r="AH130" s="59"/>
      <c r="AI130" s="59"/>
      <c r="AJ130" s="59"/>
      <c r="AK130" s="59"/>
      <c r="AL130" s="59"/>
      <c r="AM130" s="59"/>
      <c r="AN130" s="59"/>
      <c r="AO130" s="59"/>
      <c r="AP130" s="59"/>
      <c r="AQ130" s="59"/>
      <c r="AR130" s="59"/>
      <c r="AS130" s="59"/>
      <c r="AT130" s="59"/>
      <c r="AU130" s="59"/>
      <c r="AV130" s="59"/>
      <c r="AW130" s="59"/>
      <c r="AX130" s="59"/>
      <c r="AY130" s="59"/>
      <c r="AZ130" s="59"/>
      <c r="BA130" s="59"/>
      <c r="BB130" s="59"/>
      <c r="BC130" s="59"/>
      <c r="BD130" s="59"/>
      <c r="BE130" s="59"/>
      <c r="BF130" s="59"/>
      <c r="BG130" s="59"/>
      <c r="BH130" s="59"/>
      <c r="BI130" s="59"/>
      <c r="BJ130" s="59"/>
      <c r="BK130" s="59"/>
      <c r="BL130" s="59"/>
      <c r="BM130" s="59"/>
      <c r="BN130" s="59"/>
      <c r="BO130" s="59"/>
      <c r="BP130" s="59"/>
      <c r="BQ130" s="59"/>
      <c r="BR130" s="59"/>
      <c r="BS130" s="59"/>
      <c r="BT130" s="59"/>
      <c r="BU130" s="59"/>
      <c r="BV130" s="59"/>
      <c r="BW130" s="59"/>
      <c r="BX130" s="59"/>
      <c r="BY130" s="59"/>
      <c r="BZ130" s="59"/>
      <c r="CA130" s="59"/>
      <c r="CB130" s="59"/>
      <c r="CC130" s="59"/>
      <c r="CD130" s="59"/>
      <c r="CE130" s="59"/>
      <c r="CF130" s="59"/>
      <c r="CG130" s="59"/>
    </row>
    <row r="131" spans="2:85" s="3" customFormat="1" x14ac:dyDescent="0.3">
      <c r="B131" s="12"/>
      <c r="C131" s="13" t="s">
        <v>146</v>
      </c>
      <c r="D131" s="14" t="s">
        <v>41</v>
      </c>
      <c r="E131" s="12">
        <v>1.01</v>
      </c>
      <c r="F131" s="15">
        <f>E131*F129</f>
        <v>111.1</v>
      </c>
      <c r="G131" s="17"/>
      <c r="H131" s="16">
        <f>G131*F131</f>
        <v>0</v>
      </c>
      <c r="I131" s="16"/>
      <c r="J131" s="16"/>
      <c r="K131" s="16"/>
      <c r="L131" s="16"/>
      <c r="M131" s="16">
        <f>L131+J131+H131</f>
        <v>0</v>
      </c>
    </row>
    <row r="132" spans="2:85" s="60" customFormat="1" ht="15.6" x14ac:dyDescent="0.3">
      <c r="B132" s="5">
        <f>MAX($B$5:B130)+1</f>
        <v>23</v>
      </c>
      <c r="C132" s="23" t="s">
        <v>206</v>
      </c>
      <c r="D132" s="6" t="s">
        <v>41</v>
      </c>
      <c r="E132" s="6"/>
      <c r="F132" s="7">
        <v>50</v>
      </c>
      <c r="G132" s="8"/>
      <c r="H132" s="9"/>
      <c r="I132" s="10"/>
      <c r="J132" s="9"/>
      <c r="K132" s="10"/>
      <c r="L132" s="9"/>
      <c r="M132" s="11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G132" s="59"/>
      <c r="AH132" s="59"/>
      <c r="AI132" s="59"/>
      <c r="AJ132" s="59"/>
      <c r="AK132" s="59"/>
      <c r="AL132" s="59"/>
      <c r="AM132" s="59"/>
      <c r="AN132" s="59"/>
      <c r="AO132" s="59"/>
      <c r="AP132" s="59"/>
      <c r="AQ132" s="59"/>
      <c r="AR132" s="59"/>
      <c r="AS132" s="59"/>
      <c r="AT132" s="59"/>
      <c r="AU132" s="59"/>
      <c r="AV132" s="59"/>
      <c r="AW132" s="59"/>
      <c r="AX132" s="59"/>
      <c r="AY132" s="59"/>
      <c r="AZ132" s="59"/>
      <c r="BA132" s="59"/>
      <c r="BB132" s="59"/>
      <c r="BC132" s="59"/>
      <c r="BD132" s="59"/>
      <c r="BE132" s="59"/>
      <c r="BF132" s="59"/>
      <c r="BG132" s="59"/>
      <c r="BH132" s="59"/>
      <c r="BI132" s="59"/>
      <c r="BJ132" s="59"/>
      <c r="BK132" s="59"/>
      <c r="BL132" s="59"/>
      <c r="BM132" s="59"/>
      <c r="BN132" s="59"/>
      <c r="BO132" s="59"/>
      <c r="BP132" s="59"/>
      <c r="BQ132" s="59"/>
      <c r="BR132" s="59"/>
      <c r="BS132" s="59"/>
      <c r="BT132" s="59"/>
      <c r="BU132" s="59"/>
      <c r="BV132" s="59"/>
      <c r="BW132" s="59"/>
      <c r="BX132" s="59"/>
      <c r="BY132" s="59"/>
      <c r="BZ132" s="59"/>
      <c r="CA132" s="59"/>
      <c r="CB132" s="59"/>
      <c r="CC132" s="59"/>
      <c r="CD132" s="59"/>
      <c r="CE132" s="59"/>
      <c r="CF132" s="59"/>
      <c r="CG132" s="59"/>
    </row>
    <row r="133" spans="2:85" x14ac:dyDescent="0.3">
      <c r="B133" s="12"/>
      <c r="C133" s="13" t="s">
        <v>14</v>
      </c>
      <c r="D133" s="14" t="s">
        <v>41</v>
      </c>
      <c r="E133" s="12">
        <v>1</v>
      </c>
      <c r="F133" s="15">
        <f>F132</f>
        <v>50</v>
      </c>
      <c r="G133" s="16"/>
      <c r="H133" s="16"/>
      <c r="I133" s="16"/>
      <c r="J133" s="16">
        <f>I133*F133</f>
        <v>0</v>
      </c>
      <c r="K133" s="16"/>
      <c r="L133" s="16"/>
      <c r="M133" s="16">
        <f t="shared" ref="M133" si="18">L133+J133+H133</f>
        <v>0</v>
      </c>
      <c r="N133" s="54"/>
      <c r="O133" s="28"/>
    </row>
    <row r="134" spans="2:85" s="60" customFormat="1" ht="15.6" x14ac:dyDescent="0.3">
      <c r="B134" s="12"/>
      <c r="C134" s="13" t="s">
        <v>207</v>
      </c>
      <c r="D134" s="14" t="s">
        <v>41</v>
      </c>
      <c r="E134" s="12">
        <v>1</v>
      </c>
      <c r="F134" s="15">
        <f>E134*F132</f>
        <v>50</v>
      </c>
      <c r="G134" s="15"/>
      <c r="H134" s="16">
        <f>G134*F134</f>
        <v>0</v>
      </c>
      <c r="I134" s="16"/>
      <c r="J134" s="16"/>
      <c r="K134" s="16"/>
      <c r="L134" s="16"/>
      <c r="M134" s="16">
        <f t="shared" ref="M134" si="19">L134+J134+H134</f>
        <v>0</v>
      </c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  <c r="AA134" s="59"/>
      <c r="AB134" s="59"/>
      <c r="AC134" s="59"/>
      <c r="AD134" s="59"/>
      <c r="AE134" s="59"/>
      <c r="AF134" s="59"/>
      <c r="AG134" s="59"/>
      <c r="AH134" s="59"/>
      <c r="AI134" s="59"/>
      <c r="AJ134" s="59"/>
      <c r="AK134" s="59"/>
      <c r="AL134" s="59"/>
      <c r="AM134" s="59"/>
      <c r="AN134" s="59"/>
      <c r="AO134" s="59"/>
      <c r="AP134" s="59"/>
      <c r="AQ134" s="59"/>
      <c r="AR134" s="59"/>
      <c r="AS134" s="59"/>
      <c r="AT134" s="59"/>
      <c r="AU134" s="59"/>
      <c r="AV134" s="59"/>
      <c r="AW134" s="59"/>
      <c r="AX134" s="59"/>
      <c r="AY134" s="59"/>
      <c r="AZ134" s="59"/>
      <c r="BA134" s="59"/>
      <c r="BB134" s="59"/>
      <c r="BC134" s="59"/>
      <c r="BD134" s="59"/>
      <c r="BE134" s="59"/>
      <c r="BF134" s="59"/>
      <c r="BG134" s="59"/>
      <c r="BH134" s="59"/>
      <c r="BI134" s="59"/>
      <c r="BJ134" s="59"/>
      <c r="BK134" s="59"/>
      <c r="BL134" s="59"/>
      <c r="BM134" s="59"/>
      <c r="BN134" s="59"/>
      <c r="BO134" s="59"/>
      <c r="BP134" s="59"/>
      <c r="BQ134" s="59"/>
      <c r="BR134" s="59"/>
      <c r="BS134" s="59"/>
      <c r="BT134" s="59"/>
      <c r="BU134" s="59"/>
      <c r="BV134" s="59"/>
      <c r="BW134" s="59"/>
      <c r="BX134" s="59"/>
      <c r="BY134" s="59"/>
      <c r="BZ134" s="59"/>
      <c r="CA134" s="59"/>
      <c r="CB134" s="59"/>
      <c r="CC134" s="59"/>
      <c r="CD134" s="59"/>
      <c r="CE134" s="59"/>
      <c r="CF134" s="59"/>
      <c r="CG134" s="59"/>
    </row>
    <row r="135" spans="2:85" s="60" customFormat="1" ht="15.6" x14ac:dyDescent="0.3">
      <c r="B135" s="5">
        <f>MAX($B$5:B133)+1</f>
        <v>24</v>
      </c>
      <c r="C135" s="23" t="s">
        <v>208</v>
      </c>
      <c r="D135" s="6" t="s">
        <v>58</v>
      </c>
      <c r="E135" s="6"/>
      <c r="F135" s="7">
        <f>F136+F137</f>
        <v>18</v>
      </c>
      <c r="G135" s="8"/>
      <c r="H135" s="9"/>
      <c r="I135" s="10"/>
      <c r="J135" s="9"/>
      <c r="K135" s="10"/>
      <c r="L135" s="9"/>
      <c r="M135" s="11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  <c r="AA135" s="59"/>
      <c r="AB135" s="59"/>
      <c r="AC135" s="59"/>
      <c r="AD135" s="59"/>
      <c r="AE135" s="59"/>
      <c r="AF135" s="59"/>
      <c r="AG135" s="59"/>
      <c r="AH135" s="59"/>
      <c r="AI135" s="59"/>
      <c r="AJ135" s="59"/>
      <c r="AK135" s="59"/>
      <c r="AL135" s="59"/>
      <c r="AM135" s="59"/>
      <c r="AN135" s="59"/>
      <c r="AO135" s="59"/>
      <c r="AP135" s="59"/>
      <c r="AQ135" s="59"/>
      <c r="AR135" s="59"/>
      <c r="AS135" s="59"/>
      <c r="AT135" s="59"/>
      <c r="AU135" s="59"/>
      <c r="AV135" s="59"/>
      <c r="AW135" s="59"/>
      <c r="AX135" s="59"/>
      <c r="AY135" s="59"/>
      <c r="AZ135" s="59"/>
      <c r="BA135" s="59"/>
      <c r="BB135" s="59"/>
      <c r="BC135" s="59"/>
      <c r="BD135" s="59"/>
      <c r="BE135" s="59"/>
      <c r="BF135" s="59"/>
      <c r="BG135" s="59"/>
      <c r="BH135" s="59"/>
      <c r="BI135" s="59"/>
      <c r="BJ135" s="59"/>
      <c r="BK135" s="59"/>
      <c r="BL135" s="59"/>
      <c r="BM135" s="59"/>
      <c r="BN135" s="59"/>
      <c r="BO135" s="59"/>
      <c r="BP135" s="59"/>
      <c r="BQ135" s="59"/>
      <c r="BR135" s="59"/>
      <c r="BS135" s="59"/>
      <c r="BT135" s="59"/>
      <c r="BU135" s="59"/>
      <c r="BV135" s="59"/>
      <c r="BW135" s="59"/>
      <c r="BX135" s="59"/>
      <c r="BY135" s="59"/>
      <c r="BZ135" s="59"/>
      <c r="CA135" s="59"/>
      <c r="CB135" s="59"/>
      <c r="CC135" s="59"/>
      <c r="CD135" s="59"/>
      <c r="CE135" s="59"/>
      <c r="CF135" s="59"/>
      <c r="CG135" s="59"/>
    </row>
    <row r="136" spans="2:85" s="60" customFormat="1" ht="15.6" x14ac:dyDescent="0.3">
      <c r="B136" s="12"/>
      <c r="C136" s="13" t="s">
        <v>209</v>
      </c>
      <c r="D136" s="14" t="s">
        <v>58</v>
      </c>
      <c r="E136" s="12">
        <v>1</v>
      </c>
      <c r="F136" s="15">
        <v>11</v>
      </c>
      <c r="G136" s="15"/>
      <c r="H136" s="16">
        <f>G136*F136</f>
        <v>0</v>
      </c>
      <c r="I136" s="16"/>
      <c r="J136" s="16">
        <f>I136*F136</f>
        <v>0</v>
      </c>
      <c r="K136" s="16"/>
      <c r="L136" s="16"/>
      <c r="M136" s="16">
        <f t="shared" ref="M136" si="20">L136+J136+H136</f>
        <v>0</v>
      </c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  <c r="AA136" s="59"/>
      <c r="AB136" s="59"/>
      <c r="AC136" s="59"/>
      <c r="AD136" s="59"/>
      <c r="AE136" s="59"/>
      <c r="AF136" s="59"/>
      <c r="AG136" s="59"/>
      <c r="AH136" s="59"/>
      <c r="AI136" s="59"/>
      <c r="AJ136" s="59"/>
      <c r="AK136" s="59"/>
      <c r="AL136" s="59"/>
      <c r="AM136" s="59"/>
      <c r="AN136" s="59"/>
      <c r="AO136" s="59"/>
      <c r="AP136" s="59"/>
      <c r="AQ136" s="59"/>
      <c r="AR136" s="59"/>
      <c r="AS136" s="59"/>
      <c r="AT136" s="59"/>
      <c r="AU136" s="59"/>
      <c r="AV136" s="59"/>
      <c r="AW136" s="59"/>
      <c r="AX136" s="59"/>
      <c r="AY136" s="59"/>
      <c r="AZ136" s="59"/>
      <c r="BA136" s="59"/>
      <c r="BB136" s="59"/>
      <c r="BC136" s="59"/>
      <c r="BD136" s="59"/>
      <c r="BE136" s="59"/>
      <c r="BF136" s="59"/>
      <c r="BG136" s="59"/>
      <c r="BH136" s="59"/>
      <c r="BI136" s="59"/>
      <c r="BJ136" s="59"/>
      <c r="BK136" s="59"/>
      <c r="BL136" s="59"/>
      <c r="BM136" s="59"/>
      <c r="BN136" s="59"/>
      <c r="BO136" s="59"/>
      <c r="BP136" s="59"/>
      <c r="BQ136" s="59"/>
      <c r="BR136" s="59"/>
      <c r="BS136" s="59"/>
      <c r="BT136" s="59"/>
      <c r="BU136" s="59"/>
      <c r="BV136" s="59"/>
      <c r="BW136" s="59"/>
      <c r="BX136" s="59"/>
      <c r="BY136" s="59"/>
      <c r="BZ136" s="59"/>
      <c r="CA136" s="59"/>
      <c r="CB136" s="59"/>
      <c r="CC136" s="59"/>
      <c r="CD136" s="59"/>
      <c r="CE136" s="59"/>
      <c r="CF136" s="59"/>
      <c r="CG136" s="59"/>
    </row>
    <row r="137" spans="2:85" s="60" customFormat="1" ht="15.6" x14ac:dyDescent="0.3">
      <c r="B137" s="12"/>
      <c r="C137" s="13" t="s">
        <v>210</v>
      </c>
      <c r="D137" s="14" t="s">
        <v>58</v>
      </c>
      <c r="E137" s="12">
        <v>1</v>
      </c>
      <c r="F137" s="15">
        <v>7</v>
      </c>
      <c r="G137" s="15"/>
      <c r="H137" s="16">
        <f>G137*F137</f>
        <v>0</v>
      </c>
      <c r="I137" s="16"/>
      <c r="J137" s="16">
        <f>I137*F137</f>
        <v>0</v>
      </c>
      <c r="K137" s="16"/>
      <c r="L137" s="16"/>
      <c r="M137" s="16">
        <f t="shared" ref="M137" si="21">L137+J137+H137</f>
        <v>0</v>
      </c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  <c r="AA137" s="59"/>
      <c r="AB137" s="59"/>
      <c r="AC137" s="59"/>
      <c r="AD137" s="59"/>
      <c r="AE137" s="59"/>
      <c r="AF137" s="59"/>
      <c r="AG137" s="59"/>
      <c r="AH137" s="59"/>
      <c r="AI137" s="59"/>
      <c r="AJ137" s="59"/>
      <c r="AK137" s="59"/>
      <c r="AL137" s="59"/>
      <c r="AM137" s="59"/>
      <c r="AN137" s="59"/>
      <c r="AO137" s="59"/>
      <c r="AP137" s="59"/>
      <c r="AQ137" s="59"/>
      <c r="AR137" s="59"/>
      <c r="AS137" s="59"/>
      <c r="AT137" s="59"/>
      <c r="AU137" s="59"/>
      <c r="AV137" s="59"/>
      <c r="AW137" s="59"/>
      <c r="AX137" s="59"/>
      <c r="AY137" s="59"/>
      <c r="AZ137" s="59"/>
      <c r="BA137" s="59"/>
      <c r="BB137" s="59"/>
      <c r="BC137" s="59"/>
      <c r="BD137" s="59"/>
      <c r="BE137" s="59"/>
      <c r="BF137" s="59"/>
      <c r="BG137" s="59"/>
      <c r="BH137" s="59"/>
      <c r="BI137" s="59"/>
      <c r="BJ137" s="59"/>
      <c r="BK137" s="59"/>
      <c r="BL137" s="59"/>
      <c r="BM137" s="59"/>
      <c r="BN137" s="59"/>
      <c r="BO137" s="59"/>
      <c r="BP137" s="59"/>
      <c r="BQ137" s="59"/>
      <c r="BR137" s="59"/>
      <c r="BS137" s="59"/>
      <c r="BT137" s="59"/>
      <c r="BU137" s="59"/>
      <c r="BV137" s="59"/>
      <c r="BW137" s="59"/>
      <c r="BX137" s="59"/>
      <c r="BY137" s="59"/>
      <c r="BZ137" s="59"/>
      <c r="CA137" s="59"/>
      <c r="CB137" s="59"/>
      <c r="CC137" s="59"/>
      <c r="CD137" s="59"/>
      <c r="CE137" s="59"/>
      <c r="CF137" s="59"/>
      <c r="CG137" s="59"/>
    </row>
    <row r="138" spans="2:85" s="60" customFormat="1" ht="15.6" x14ac:dyDescent="0.3">
      <c r="B138" s="5">
        <f>MAX($B$5:B136)+1</f>
        <v>25</v>
      </c>
      <c r="C138" s="23" t="s">
        <v>264</v>
      </c>
      <c r="D138" s="6" t="s">
        <v>58</v>
      </c>
      <c r="E138" s="6"/>
      <c r="F138" s="7">
        <v>10</v>
      </c>
      <c r="G138" s="8"/>
      <c r="H138" s="9"/>
      <c r="I138" s="10"/>
      <c r="J138" s="9"/>
      <c r="K138" s="10"/>
      <c r="L138" s="9"/>
      <c r="M138" s="11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  <c r="AA138" s="59"/>
      <c r="AB138" s="59"/>
      <c r="AC138" s="59"/>
      <c r="AD138" s="59"/>
      <c r="AE138" s="59"/>
      <c r="AF138" s="59"/>
      <c r="AG138" s="59"/>
      <c r="AH138" s="59"/>
      <c r="AI138" s="59"/>
      <c r="AJ138" s="59"/>
      <c r="AK138" s="59"/>
      <c r="AL138" s="59"/>
      <c r="AM138" s="59"/>
      <c r="AN138" s="59"/>
      <c r="AO138" s="59"/>
      <c r="AP138" s="59"/>
      <c r="AQ138" s="59"/>
      <c r="AR138" s="59"/>
      <c r="AS138" s="59"/>
      <c r="AT138" s="59"/>
      <c r="AU138" s="59"/>
      <c r="AV138" s="59"/>
      <c r="AW138" s="59"/>
      <c r="AX138" s="59"/>
      <c r="AY138" s="59"/>
      <c r="AZ138" s="59"/>
      <c r="BA138" s="59"/>
      <c r="BB138" s="59"/>
      <c r="BC138" s="59"/>
      <c r="BD138" s="59"/>
      <c r="BE138" s="59"/>
      <c r="BF138" s="59"/>
      <c r="BG138" s="59"/>
      <c r="BH138" s="59"/>
      <c r="BI138" s="59"/>
      <c r="BJ138" s="59"/>
      <c r="BK138" s="59"/>
      <c r="BL138" s="59"/>
      <c r="BM138" s="59"/>
      <c r="BN138" s="59"/>
      <c r="BO138" s="59"/>
      <c r="BP138" s="59"/>
      <c r="BQ138" s="59"/>
      <c r="BR138" s="59"/>
      <c r="BS138" s="59"/>
      <c r="BT138" s="59"/>
      <c r="BU138" s="59"/>
      <c r="BV138" s="59"/>
      <c r="BW138" s="59"/>
      <c r="BX138" s="59"/>
      <c r="BY138" s="59"/>
      <c r="BZ138" s="59"/>
      <c r="CA138" s="59"/>
      <c r="CB138" s="59"/>
      <c r="CC138" s="59"/>
      <c r="CD138" s="59"/>
      <c r="CE138" s="59"/>
      <c r="CF138" s="59"/>
      <c r="CG138" s="59"/>
    </row>
    <row r="139" spans="2:85" x14ac:dyDescent="0.3">
      <c r="B139" s="12"/>
      <c r="C139" s="13" t="s">
        <v>14</v>
      </c>
      <c r="D139" s="14" t="s">
        <v>58</v>
      </c>
      <c r="E139" s="12">
        <v>1</v>
      </c>
      <c r="F139" s="15">
        <f>F138</f>
        <v>10</v>
      </c>
      <c r="G139" s="16"/>
      <c r="H139" s="16"/>
      <c r="I139" s="16"/>
      <c r="J139" s="16">
        <f>I139*F139</f>
        <v>0</v>
      </c>
      <c r="K139" s="16"/>
      <c r="L139" s="16"/>
      <c r="M139" s="16">
        <f t="shared" ref="M139:M140" si="22">L139+J139+H139</f>
        <v>0</v>
      </c>
      <c r="N139" s="54"/>
      <c r="O139" s="28"/>
    </row>
    <row r="140" spans="2:85" s="60" customFormat="1" ht="15.6" x14ac:dyDescent="0.3">
      <c r="B140" s="12"/>
      <c r="C140" s="13" t="s">
        <v>265</v>
      </c>
      <c r="D140" s="14" t="s">
        <v>58</v>
      </c>
      <c r="E140" s="12">
        <v>1</v>
      </c>
      <c r="F140" s="15">
        <f>E140*F138</f>
        <v>10</v>
      </c>
      <c r="G140" s="15"/>
      <c r="H140" s="16">
        <f>G140*F140</f>
        <v>0</v>
      </c>
      <c r="I140" s="16"/>
      <c r="J140" s="16"/>
      <c r="K140" s="16"/>
      <c r="L140" s="16"/>
      <c r="M140" s="16">
        <f t="shared" si="22"/>
        <v>0</v>
      </c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  <c r="AA140" s="59"/>
      <c r="AB140" s="59"/>
      <c r="AC140" s="59"/>
      <c r="AD140" s="59"/>
      <c r="AE140" s="59"/>
      <c r="AF140" s="59"/>
      <c r="AG140" s="59"/>
      <c r="AH140" s="59"/>
      <c r="AI140" s="59"/>
      <c r="AJ140" s="59"/>
      <c r="AK140" s="59"/>
      <c r="AL140" s="59"/>
      <c r="AM140" s="59"/>
      <c r="AN140" s="59"/>
      <c r="AO140" s="59"/>
      <c r="AP140" s="59"/>
      <c r="AQ140" s="59"/>
      <c r="AR140" s="59"/>
      <c r="AS140" s="59"/>
      <c r="AT140" s="59"/>
      <c r="AU140" s="59"/>
      <c r="AV140" s="59"/>
      <c r="AW140" s="59"/>
      <c r="AX140" s="59"/>
      <c r="AY140" s="59"/>
      <c r="AZ140" s="59"/>
      <c r="BA140" s="59"/>
      <c r="BB140" s="59"/>
      <c r="BC140" s="59"/>
      <c r="BD140" s="59"/>
      <c r="BE140" s="59"/>
      <c r="BF140" s="59"/>
      <c r="BG140" s="59"/>
      <c r="BH140" s="59"/>
      <c r="BI140" s="59"/>
      <c r="BJ140" s="59"/>
      <c r="BK140" s="59"/>
      <c r="BL140" s="59"/>
      <c r="BM140" s="59"/>
      <c r="BN140" s="59"/>
      <c r="BO140" s="59"/>
      <c r="BP140" s="59"/>
      <c r="BQ140" s="59"/>
      <c r="BR140" s="59"/>
      <c r="BS140" s="59"/>
      <c r="BT140" s="59"/>
      <c r="BU140" s="59"/>
      <c r="BV140" s="59"/>
      <c r="BW140" s="59"/>
      <c r="BX140" s="59"/>
      <c r="BY140" s="59"/>
      <c r="BZ140" s="59"/>
      <c r="CA140" s="59"/>
      <c r="CB140" s="59"/>
      <c r="CC140" s="59"/>
      <c r="CD140" s="59"/>
      <c r="CE140" s="59"/>
      <c r="CF140" s="59"/>
      <c r="CG140" s="59"/>
    </row>
    <row r="141" spans="2:85" s="60" customFormat="1" ht="15.6" x14ac:dyDescent="0.3">
      <c r="B141" s="5">
        <f>MAX($B$5:B139)+1</f>
        <v>26</v>
      </c>
      <c r="C141" s="23" t="s">
        <v>267</v>
      </c>
      <c r="D141" s="6" t="s">
        <v>58</v>
      </c>
      <c r="E141" s="6"/>
      <c r="F141" s="7">
        <v>10</v>
      </c>
      <c r="G141" s="8"/>
      <c r="H141" s="9"/>
      <c r="I141" s="10"/>
      <c r="J141" s="9"/>
      <c r="K141" s="10"/>
      <c r="L141" s="9"/>
      <c r="M141" s="11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  <c r="AE141" s="59"/>
      <c r="AF141" s="59"/>
      <c r="AG141" s="59"/>
      <c r="AH141" s="59"/>
      <c r="AI141" s="59"/>
      <c r="AJ141" s="59"/>
      <c r="AK141" s="59"/>
      <c r="AL141" s="59"/>
      <c r="AM141" s="59"/>
      <c r="AN141" s="59"/>
      <c r="AO141" s="59"/>
      <c r="AP141" s="59"/>
      <c r="AQ141" s="59"/>
      <c r="AR141" s="59"/>
      <c r="AS141" s="59"/>
      <c r="AT141" s="59"/>
      <c r="AU141" s="59"/>
      <c r="AV141" s="59"/>
      <c r="AW141" s="59"/>
      <c r="AX141" s="59"/>
      <c r="AY141" s="59"/>
      <c r="AZ141" s="59"/>
      <c r="BA141" s="59"/>
      <c r="BB141" s="59"/>
      <c r="BC141" s="59"/>
      <c r="BD141" s="59"/>
      <c r="BE141" s="59"/>
      <c r="BF141" s="59"/>
      <c r="BG141" s="59"/>
      <c r="BH141" s="59"/>
      <c r="BI141" s="59"/>
      <c r="BJ141" s="59"/>
      <c r="BK141" s="59"/>
      <c r="BL141" s="59"/>
      <c r="BM141" s="59"/>
      <c r="BN141" s="59"/>
      <c r="BO141" s="59"/>
      <c r="BP141" s="59"/>
      <c r="BQ141" s="59"/>
      <c r="BR141" s="59"/>
      <c r="BS141" s="59"/>
      <c r="BT141" s="59"/>
      <c r="BU141" s="59"/>
      <c r="BV141" s="59"/>
      <c r="BW141" s="59"/>
      <c r="BX141" s="59"/>
      <c r="BY141" s="59"/>
      <c r="BZ141" s="59"/>
      <c r="CA141" s="59"/>
      <c r="CB141" s="59"/>
      <c r="CC141" s="59"/>
      <c r="CD141" s="59"/>
      <c r="CE141" s="59"/>
      <c r="CF141" s="59"/>
      <c r="CG141" s="59"/>
    </row>
    <row r="142" spans="2:85" x14ac:dyDescent="0.3">
      <c r="B142" s="12"/>
      <c r="C142" s="13" t="s">
        <v>14</v>
      </c>
      <c r="D142" s="14" t="s">
        <v>58</v>
      </c>
      <c r="E142" s="12">
        <v>1</v>
      </c>
      <c r="F142" s="15">
        <f>F141</f>
        <v>10</v>
      </c>
      <c r="G142" s="16"/>
      <c r="H142" s="16"/>
      <c r="I142" s="16"/>
      <c r="J142" s="16">
        <f>I142*F142</f>
        <v>0</v>
      </c>
      <c r="K142" s="16"/>
      <c r="L142" s="16"/>
      <c r="M142" s="16">
        <f t="shared" ref="M142:M143" si="23">L142+J142+H142</f>
        <v>0</v>
      </c>
      <c r="N142" s="54"/>
      <c r="O142" s="28"/>
    </row>
    <row r="143" spans="2:85" s="60" customFormat="1" ht="15.6" x14ac:dyDescent="0.3">
      <c r="B143" s="12"/>
      <c r="C143" s="13" t="s">
        <v>268</v>
      </c>
      <c r="D143" s="14" t="s">
        <v>58</v>
      </c>
      <c r="E143" s="12">
        <v>1</v>
      </c>
      <c r="F143" s="15">
        <f>E143*F141</f>
        <v>10</v>
      </c>
      <c r="G143" s="15"/>
      <c r="H143" s="16">
        <f>G143*F143</f>
        <v>0</v>
      </c>
      <c r="I143" s="16"/>
      <c r="J143" s="16"/>
      <c r="K143" s="16"/>
      <c r="L143" s="16"/>
      <c r="M143" s="16">
        <f t="shared" si="23"/>
        <v>0</v>
      </c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  <c r="AA143" s="59"/>
      <c r="AB143" s="59"/>
      <c r="AC143" s="59"/>
      <c r="AD143" s="59"/>
      <c r="AE143" s="59"/>
      <c r="AF143" s="59"/>
      <c r="AG143" s="59"/>
      <c r="AH143" s="59"/>
      <c r="AI143" s="59"/>
      <c r="AJ143" s="59"/>
      <c r="AK143" s="59"/>
      <c r="AL143" s="59"/>
      <c r="AM143" s="59"/>
      <c r="AN143" s="59"/>
      <c r="AO143" s="59"/>
      <c r="AP143" s="59"/>
      <c r="AQ143" s="59"/>
      <c r="AR143" s="59"/>
      <c r="AS143" s="59"/>
      <c r="AT143" s="59"/>
      <c r="AU143" s="59"/>
      <c r="AV143" s="59"/>
      <c r="AW143" s="59"/>
      <c r="AX143" s="59"/>
      <c r="AY143" s="59"/>
      <c r="AZ143" s="59"/>
      <c r="BA143" s="59"/>
      <c r="BB143" s="59"/>
      <c r="BC143" s="59"/>
      <c r="BD143" s="59"/>
      <c r="BE143" s="59"/>
      <c r="BF143" s="59"/>
      <c r="BG143" s="59"/>
      <c r="BH143" s="59"/>
      <c r="BI143" s="59"/>
      <c r="BJ143" s="59"/>
      <c r="BK143" s="59"/>
      <c r="BL143" s="59"/>
      <c r="BM143" s="59"/>
      <c r="BN143" s="59"/>
      <c r="BO143" s="59"/>
      <c r="BP143" s="59"/>
      <c r="BQ143" s="59"/>
      <c r="BR143" s="59"/>
      <c r="BS143" s="59"/>
      <c r="BT143" s="59"/>
      <c r="BU143" s="59"/>
      <c r="BV143" s="59"/>
      <c r="BW143" s="59"/>
      <c r="BX143" s="59"/>
      <c r="BY143" s="59"/>
      <c r="BZ143" s="59"/>
      <c r="CA143" s="59"/>
      <c r="CB143" s="59"/>
      <c r="CC143" s="59"/>
      <c r="CD143" s="59"/>
      <c r="CE143" s="59"/>
      <c r="CF143" s="59"/>
      <c r="CG143" s="59"/>
    </row>
    <row r="144" spans="2:85" s="3" customFormat="1" ht="15" x14ac:dyDescent="0.3">
      <c r="B144" s="5">
        <f>MAX($B$5:B142)+1</f>
        <v>27</v>
      </c>
      <c r="C144" s="23" t="s">
        <v>79</v>
      </c>
      <c r="D144" s="6" t="s">
        <v>18</v>
      </c>
      <c r="E144" s="6"/>
      <c r="F144" s="7">
        <f>F156*0.1</f>
        <v>70</v>
      </c>
      <c r="G144" s="8"/>
      <c r="H144" s="9"/>
      <c r="I144" s="10"/>
      <c r="J144" s="9"/>
      <c r="K144" s="10"/>
      <c r="L144" s="9"/>
      <c r="M144" s="11"/>
      <c r="N144" s="46"/>
    </row>
    <row r="145" spans="1:14" s="24" customFormat="1" x14ac:dyDescent="0.3">
      <c r="A145" s="3"/>
      <c r="B145" s="12"/>
      <c r="C145" s="13" t="s">
        <v>14</v>
      </c>
      <c r="D145" s="14" t="s">
        <v>13</v>
      </c>
      <c r="E145" s="12">
        <v>1</v>
      </c>
      <c r="F145" s="15">
        <f>F144*E145</f>
        <v>70</v>
      </c>
      <c r="G145" s="17"/>
      <c r="H145" s="17"/>
      <c r="I145" s="17"/>
      <c r="J145" s="17">
        <f>I145*F145</f>
        <v>0</v>
      </c>
      <c r="K145" s="17"/>
      <c r="L145" s="17"/>
      <c r="M145" s="17">
        <f>L145+J145+H145</f>
        <v>0</v>
      </c>
      <c r="N145" s="48"/>
    </row>
    <row r="146" spans="1:14" s="24" customFormat="1" x14ac:dyDescent="0.3">
      <c r="A146" s="3"/>
      <c r="B146" s="12"/>
      <c r="C146" s="13" t="s">
        <v>15</v>
      </c>
      <c r="D146" s="14" t="str">
        <f>D144</f>
        <v>მ3</v>
      </c>
      <c r="E146" s="12">
        <v>1</v>
      </c>
      <c r="F146" s="15">
        <f>F144*E146</f>
        <v>70</v>
      </c>
      <c r="G146" s="17"/>
      <c r="H146" s="17"/>
      <c r="I146" s="17"/>
      <c r="J146" s="17"/>
      <c r="K146" s="17"/>
      <c r="L146" s="17">
        <f>F146*K146</f>
        <v>0</v>
      </c>
      <c r="M146" s="17">
        <f>L146+J146+H146</f>
        <v>0</v>
      </c>
      <c r="N146" s="48"/>
    </row>
    <row r="147" spans="1:14" s="3" customFormat="1" ht="13.8" x14ac:dyDescent="0.3">
      <c r="B147" s="12"/>
      <c r="C147" s="13" t="s">
        <v>16</v>
      </c>
      <c r="D147" s="14"/>
      <c r="E147" s="12"/>
      <c r="F147" s="15"/>
      <c r="G147" s="17"/>
      <c r="H147" s="17"/>
      <c r="I147" s="17"/>
      <c r="J147" s="17"/>
      <c r="K147" s="17"/>
      <c r="L147" s="17"/>
      <c r="M147" s="17">
        <f>L147+J147+H147</f>
        <v>0</v>
      </c>
      <c r="N147" s="46"/>
    </row>
    <row r="148" spans="1:14" s="3" customFormat="1" ht="15" x14ac:dyDescent="0.3">
      <c r="B148" s="12"/>
      <c r="C148" s="13" t="s">
        <v>44</v>
      </c>
      <c r="D148" s="14" t="s">
        <v>25</v>
      </c>
      <c r="E148" s="12">
        <v>1.22</v>
      </c>
      <c r="F148" s="15">
        <f>E148*F144</f>
        <v>85.399999999999991</v>
      </c>
      <c r="G148" s="17"/>
      <c r="H148" s="17">
        <f>G148*F148</f>
        <v>0</v>
      </c>
      <c r="I148" s="17"/>
      <c r="J148" s="17"/>
      <c r="K148" s="17"/>
      <c r="L148" s="17"/>
      <c r="M148" s="17">
        <f>L148+J148+H148</f>
        <v>0</v>
      </c>
      <c r="N148" s="46"/>
    </row>
    <row r="149" spans="1:14" s="3" customFormat="1" ht="15" x14ac:dyDescent="0.3">
      <c r="B149" s="5">
        <f>MAX($B$5:B148)+1</f>
        <v>28</v>
      </c>
      <c r="C149" s="23" t="s">
        <v>24</v>
      </c>
      <c r="D149" s="6" t="s">
        <v>18</v>
      </c>
      <c r="E149" s="6"/>
      <c r="F149" s="7">
        <f>F156*0.15</f>
        <v>105</v>
      </c>
      <c r="G149" s="8"/>
      <c r="H149" s="9"/>
      <c r="I149" s="10"/>
      <c r="J149" s="9"/>
      <c r="K149" s="10"/>
      <c r="L149" s="9"/>
      <c r="M149" s="11"/>
      <c r="N149" s="46"/>
    </row>
    <row r="150" spans="1:14" s="25" customFormat="1" x14ac:dyDescent="0.3">
      <c r="B150" s="12"/>
      <c r="C150" s="13" t="s">
        <v>14</v>
      </c>
      <c r="D150" s="14" t="s">
        <v>13</v>
      </c>
      <c r="E150" s="12">
        <v>1</v>
      </c>
      <c r="F150" s="15">
        <f>F149*E150</f>
        <v>105</v>
      </c>
      <c r="G150" s="17"/>
      <c r="H150" s="17"/>
      <c r="I150" s="17"/>
      <c r="J150" s="17">
        <f>I150*F150</f>
        <v>0</v>
      </c>
      <c r="K150" s="17"/>
      <c r="L150" s="17"/>
      <c r="M150" s="17">
        <f t="shared" ref="M150:M155" si="24">L150+J150+H150</f>
        <v>0</v>
      </c>
      <c r="N150" s="49"/>
    </row>
    <row r="151" spans="1:14" s="25" customFormat="1" ht="15" customHeight="1" x14ac:dyDescent="0.3">
      <c r="B151" s="12"/>
      <c r="C151" s="13" t="s">
        <v>20</v>
      </c>
      <c r="D151" s="14" t="s">
        <v>21</v>
      </c>
      <c r="E151" s="12">
        <v>1.12E-2</v>
      </c>
      <c r="F151" s="15">
        <f>E151*F149</f>
        <v>1.1759999999999999</v>
      </c>
      <c r="G151" s="17"/>
      <c r="H151" s="17"/>
      <c r="I151" s="17"/>
      <c r="J151" s="17"/>
      <c r="K151" s="17"/>
      <c r="L151" s="17">
        <f>K151*F151</f>
        <v>0</v>
      </c>
      <c r="M151" s="17">
        <f t="shared" si="24"/>
        <v>0</v>
      </c>
      <c r="N151" s="49"/>
    </row>
    <row r="152" spans="1:14" s="25" customFormat="1" x14ac:dyDescent="0.3">
      <c r="B152" s="12"/>
      <c r="C152" s="13" t="s">
        <v>22</v>
      </c>
      <c r="D152" s="14" t="s">
        <v>21</v>
      </c>
      <c r="E152" s="12">
        <v>1.2E-2</v>
      </c>
      <c r="F152" s="15">
        <f>E152*F149</f>
        <v>1.26</v>
      </c>
      <c r="G152" s="17"/>
      <c r="H152" s="17"/>
      <c r="I152" s="17"/>
      <c r="J152" s="17"/>
      <c r="K152" s="17"/>
      <c r="L152" s="17">
        <f>K152*F152</f>
        <v>0</v>
      </c>
      <c r="M152" s="17">
        <f t="shared" si="24"/>
        <v>0</v>
      </c>
      <c r="N152" s="49"/>
    </row>
    <row r="153" spans="1:14" s="25" customFormat="1" x14ac:dyDescent="0.3">
      <c r="B153" s="12"/>
      <c r="C153" s="13" t="s">
        <v>23</v>
      </c>
      <c r="D153" s="14" t="s">
        <v>21</v>
      </c>
      <c r="E153" s="12">
        <v>2.6100000000000002E-2</v>
      </c>
      <c r="F153" s="15">
        <f>E153*F149</f>
        <v>2.7405000000000004</v>
      </c>
      <c r="G153" s="17"/>
      <c r="H153" s="17"/>
      <c r="I153" s="17"/>
      <c r="J153" s="17"/>
      <c r="K153" s="17"/>
      <c r="L153" s="17">
        <f>K153*F153</f>
        <v>0</v>
      </c>
      <c r="M153" s="17">
        <f t="shared" si="24"/>
        <v>0</v>
      </c>
      <c r="N153" s="99">
        <f>M153/F150</f>
        <v>0</v>
      </c>
    </row>
    <row r="154" spans="1:14" s="25" customFormat="1" ht="13.5" customHeight="1" x14ac:dyDescent="0.3">
      <c r="B154" s="12"/>
      <c r="C154" s="13" t="s">
        <v>16</v>
      </c>
      <c r="D154" s="14"/>
      <c r="E154" s="12"/>
      <c r="F154" s="15"/>
      <c r="G154" s="17"/>
      <c r="H154" s="17"/>
      <c r="I154" s="17"/>
      <c r="J154" s="17"/>
      <c r="K154" s="17"/>
      <c r="L154" s="17"/>
      <c r="M154" s="17">
        <f t="shared" si="24"/>
        <v>0</v>
      </c>
      <c r="N154" s="49"/>
    </row>
    <row r="155" spans="1:14" s="25" customFormat="1" ht="16.2" x14ac:dyDescent="0.3">
      <c r="B155" s="12"/>
      <c r="C155" s="13" t="s">
        <v>78</v>
      </c>
      <c r="D155" s="14" t="s">
        <v>74</v>
      </c>
      <c r="E155" s="12">
        <v>1.26</v>
      </c>
      <c r="F155" s="15">
        <f>E155*F149</f>
        <v>132.30000000000001</v>
      </c>
      <c r="G155" s="17"/>
      <c r="H155" s="17">
        <f>G155*F155</f>
        <v>0</v>
      </c>
      <c r="I155" s="17"/>
      <c r="J155" s="17"/>
      <c r="K155" s="17"/>
      <c r="L155" s="17"/>
      <c r="M155" s="17">
        <f t="shared" si="24"/>
        <v>0</v>
      </c>
      <c r="N155" s="49"/>
    </row>
    <row r="156" spans="1:14" x14ac:dyDescent="0.3">
      <c r="B156" s="5">
        <f>MAX($B$5:B155)+1</f>
        <v>29</v>
      </c>
      <c r="C156" s="23" t="s">
        <v>252</v>
      </c>
      <c r="D156" s="6" t="s">
        <v>27</v>
      </c>
      <c r="E156" s="6"/>
      <c r="F156" s="7">
        <f>(F159)/1.05</f>
        <v>700</v>
      </c>
      <c r="G156" s="8"/>
      <c r="H156" s="9"/>
      <c r="I156" s="10"/>
      <c r="J156" s="9"/>
      <c r="K156" s="10"/>
      <c r="L156" s="9"/>
      <c r="M156" s="11"/>
    </row>
    <row r="157" spans="1:14" x14ac:dyDescent="0.3">
      <c r="B157" s="12"/>
      <c r="C157" s="13" t="s">
        <v>28</v>
      </c>
      <c r="D157" s="14" t="s">
        <v>27</v>
      </c>
      <c r="E157" s="12">
        <v>1</v>
      </c>
      <c r="F157" s="15">
        <f>E157*F156</f>
        <v>700</v>
      </c>
      <c r="G157" s="17"/>
      <c r="H157" s="17"/>
      <c r="I157" s="17"/>
      <c r="J157" s="17">
        <f>F157*I157</f>
        <v>0</v>
      </c>
      <c r="K157" s="17"/>
      <c r="L157" s="17"/>
      <c r="M157" s="17">
        <f>H157+J157+L157</f>
        <v>0</v>
      </c>
    </row>
    <row r="158" spans="1:14" x14ac:dyDescent="0.3">
      <c r="B158" s="12"/>
      <c r="C158" s="13" t="s">
        <v>16</v>
      </c>
      <c r="D158" s="14"/>
      <c r="E158" s="12"/>
      <c r="F158" s="15"/>
      <c r="G158" s="17"/>
      <c r="H158" s="17"/>
      <c r="I158" s="17"/>
      <c r="J158" s="17"/>
      <c r="K158" s="17"/>
      <c r="L158" s="17"/>
      <c r="M158" s="17">
        <f t="shared" ref="M158:M160" si="25">H158+J158+L158</f>
        <v>0</v>
      </c>
    </row>
    <row r="159" spans="1:14" x14ac:dyDescent="0.3">
      <c r="B159" s="12"/>
      <c r="C159" s="13" t="s">
        <v>253</v>
      </c>
      <c r="D159" s="14" t="s">
        <v>27</v>
      </c>
      <c r="E159" s="12">
        <v>1.05</v>
      </c>
      <c r="F159" s="15">
        <f>700*E159</f>
        <v>735</v>
      </c>
      <c r="G159" s="17"/>
      <c r="H159" s="17">
        <f>F159*G159</f>
        <v>0</v>
      </c>
      <c r="I159" s="17"/>
      <c r="J159" s="17"/>
      <c r="K159" s="17"/>
      <c r="L159" s="17"/>
      <c r="M159" s="17">
        <f t="shared" si="25"/>
        <v>0</v>
      </c>
      <c r="N159" s="90"/>
    </row>
    <row r="160" spans="1:14" ht="15" x14ac:dyDescent="0.3">
      <c r="B160" s="12"/>
      <c r="C160" s="13" t="s">
        <v>31</v>
      </c>
      <c r="D160" s="14" t="s">
        <v>25</v>
      </c>
      <c r="E160" s="12">
        <v>1.7999999999999999E-2</v>
      </c>
      <c r="F160" s="15">
        <f>E160*F156</f>
        <v>12.6</v>
      </c>
      <c r="G160" s="17"/>
      <c r="H160" s="17">
        <f>G160*F160</f>
        <v>0</v>
      </c>
      <c r="I160" s="17"/>
      <c r="J160" s="17"/>
      <c r="K160" s="17"/>
      <c r="L160" s="17"/>
      <c r="M160" s="17">
        <f t="shared" si="25"/>
        <v>0</v>
      </c>
    </row>
    <row r="161" spans="2:15" x14ac:dyDescent="0.3">
      <c r="B161" s="12"/>
      <c r="C161" s="13" t="s">
        <v>32</v>
      </c>
      <c r="D161" s="14" t="s">
        <v>33</v>
      </c>
      <c r="E161" s="12">
        <v>0.24</v>
      </c>
      <c r="F161" s="15">
        <f>E161*F156</f>
        <v>168</v>
      </c>
      <c r="G161" s="17"/>
      <c r="H161" s="17">
        <f>G161*F161</f>
        <v>0</v>
      </c>
      <c r="I161" s="17"/>
      <c r="J161" s="17"/>
      <c r="K161" s="17"/>
      <c r="L161" s="17"/>
      <c r="M161" s="17">
        <f>L161+J161+H161</f>
        <v>0</v>
      </c>
    </row>
    <row r="162" spans="2:15" x14ac:dyDescent="0.3">
      <c r="B162" s="37"/>
      <c r="C162" s="37" t="s">
        <v>155</v>
      </c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54"/>
      <c r="O162" s="28"/>
    </row>
    <row r="163" spans="2:15" s="3" customFormat="1" x14ac:dyDescent="0.3">
      <c r="B163" s="5">
        <f>MAX($B$5:B162)+1</f>
        <v>30</v>
      </c>
      <c r="C163" s="23" t="s">
        <v>239</v>
      </c>
      <c r="D163" s="6" t="s">
        <v>13</v>
      </c>
      <c r="E163" s="6"/>
      <c r="F163" s="7">
        <f>F179*0.3</f>
        <v>178.5</v>
      </c>
      <c r="G163" s="8"/>
      <c r="H163" s="9"/>
      <c r="I163" s="10"/>
      <c r="J163" s="9"/>
      <c r="K163" s="10"/>
      <c r="L163" s="9"/>
      <c r="M163" s="11"/>
    </row>
    <row r="164" spans="2:15" s="3" customFormat="1" ht="13.8" x14ac:dyDescent="0.3">
      <c r="B164" s="12"/>
      <c r="C164" s="13" t="s">
        <v>14</v>
      </c>
      <c r="D164" s="14" t="s">
        <v>13</v>
      </c>
      <c r="E164" s="12">
        <v>1</v>
      </c>
      <c r="F164" s="15">
        <f>F163*E164</f>
        <v>178.5</v>
      </c>
      <c r="G164" s="16"/>
      <c r="H164" s="16"/>
      <c r="I164" s="16"/>
      <c r="J164" s="16">
        <f>I164*F164</f>
        <v>0</v>
      </c>
      <c r="K164" s="16"/>
      <c r="L164" s="16"/>
      <c r="M164" s="16">
        <f>L164+J164+H164</f>
        <v>0</v>
      </c>
      <c r="N164" s="47"/>
    </row>
    <row r="165" spans="2:15" s="3" customFormat="1" ht="13.8" x14ac:dyDescent="0.3">
      <c r="B165" s="12"/>
      <c r="C165" s="13" t="s">
        <v>15</v>
      </c>
      <c r="D165" s="14" t="str">
        <f>D163</f>
        <v>მ³</v>
      </c>
      <c r="E165" s="12">
        <v>1</v>
      </c>
      <c r="F165" s="15">
        <f>F163*E165</f>
        <v>178.5</v>
      </c>
      <c r="G165" s="16"/>
      <c r="H165" s="16"/>
      <c r="I165" s="16"/>
      <c r="J165" s="16"/>
      <c r="K165" s="16"/>
      <c r="L165" s="16">
        <f>K165*F165</f>
        <v>0</v>
      </c>
      <c r="M165" s="16">
        <f>L165+J165+H165</f>
        <v>0</v>
      </c>
      <c r="N165" s="47"/>
    </row>
    <row r="166" spans="2:15" s="3" customFormat="1" ht="13.8" x14ac:dyDescent="0.3">
      <c r="B166" s="12"/>
      <c r="C166" s="13" t="s">
        <v>16</v>
      </c>
      <c r="D166" s="14"/>
      <c r="E166" s="12"/>
      <c r="F166" s="15"/>
      <c r="G166" s="16"/>
      <c r="H166" s="16"/>
      <c r="I166" s="16"/>
      <c r="J166" s="16"/>
      <c r="K166" s="16"/>
      <c r="L166" s="16"/>
      <c r="M166" s="16"/>
    </row>
    <row r="167" spans="2:15" s="3" customFormat="1" ht="13.8" x14ac:dyDescent="0.3">
      <c r="B167" s="12"/>
      <c r="C167" s="13" t="s">
        <v>17</v>
      </c>
      <c r="D167" s="14" t="s">
        <v>13</v>
      </c>
      <c r="E167" s="12">
        <v>1.26</v>
      </c>
      <c r="F167" s="15">
        <f>E167*F163</f>
        <v>224.91</v>
      </c>
      <c r="G167" s="17"/>
      <c r="H167" s="16">
        <f>G167*F167</f>
        <v>0</v>
      </c>
      <c r="I167" s="16"/>
      <c r="J167" s="16"/>
      <c r="K167" s="16"/>
      <c r="L167" s="16"/>
      <c r="M167" s="16">
        <f>L167+J167+H167</f>
        <v>0</v>
      </c>
      <c r="N167" s="47"/>
    </row>
    <row r="168" spans="2:15" s="3" customFormat="1" ht="15" x14ac:dyDescent="0.3">
      <c r="B168" s="5">
        <f>MAX($B$5:B167)+1</f>
        <v>31</v>
      </c>
      <c r="C168" s="23" t="s">
        <v>238</v>
      </c>
      <c r="D168" s="6" t="s">
        <v>18</v>
      </c>
      <c r="E168" s="6"/>
      <c r="F168" s="7">
        <f>F179*0.2</f>
        <v>119</v>
      </c>
      <c r="G168" s="8"/>
      <c r="H168" s="9"/>
      <c r="I168" s="10"/>
      <c r="J168" s="9"/>
      <c r="K168" s="10"/>
      <c r="L168" s="9"/>
      <c r="M168" s="11"/>
      <c r="N168" s="46"/>
    </row>
    <row r="169" spans="2:15" s="25" customFormat="1" x14ac:dyDescent="0.3">
      <c r="B169" s="12"/>
      <c r="C169" s="13" t="s">
        <v>14</v>
      </c>
      <c r="D169" s="14" t="s">
        <v>13</v>
      </c>
      <c r="E169" s="12">
        <v>1</v>
      </c>
      <c r="F169" s="15">
        <f>F168*E169</f>
        <v>119</v>
      </c>
      <c r="G169" s="16"/>
      <c r="H169" s="16"/>
      <c r="I169" s="17"/>
      <c r="J169" s="16">
        <f>I169*F169</f>
        <v>0</v>
      </c>
      <c r="K169" s="16"/>
      <c r="L169" s="16"/>
      <c r="M169" s="16">
        <f t="shared" ref="M169:M174" si="26">L169+J169+H169</f>
        <v>0</v>
      </c>
      <c r="N169" s="49"/>
    </row>
    <row r="170" spans="2:15" s="25" customFormat="1" ht="15" customHeight="1" x14ac:dyDescent="0.3">
      <c r="B170" s="12"/>
      <c r="C170" s="13" t="s">
        <v>20</v>
      </c>
      <c r="D170" s="14" t="s">
        <v>21</v>
      </c>
      <c r="E170" s="12">
        <v>1.12E-2</v>
      </c>
      <c r="F170" s="15">
        <f>E170*F168</f>
        <v>1.3328</v>
      </c>
      <c r="G170" s="16"/>
      <c r="H170" s="16"/>
      <c r="I170" s="16"/>
      <c r="J170" s="16"/>
      <c r="K170" s="16"/>
      <c r="L170" s="16">
        <f>K170*F170</f>
        <v>0</v>
      </c>
      <c r="M170" s="16">
        <f t="shared" si="26"/>
        <v>0</v>
      </c>
      <c r="N170" s="49"/>
    </row>
    <row r="171" spans="2:15" s="25" customFormat="1" x14ac:dyDescent="0.3">
      <c r="B171" s="12"/>
      <c r="C171" s="13" t="s">
        <v>22</v>
      </c>
      <c r="D171" s="14" t="s">
        <v>21</v>
      </c>
      <c r="E171" s="12">
        <v>1.2E-2</v>
      </c>
      <c r="F171" s="15">
        <f>E171*F168</f>
        <v>1.4279999999999999</v>
      </c>
      <c r="G171" s="16"/>
      <c r="H171" s="16"/>
      <c r="I171" s="16"/>
      <c r="J171" s="16"/>
      <c r="K171" s="16"/>
      <c r="L171" s="16">
        <f>K171*F171</f>
        <v>0</v>
      </c>
      <c r="M171" s="16">
        <f t="shared" si="26"/>
        <v>0</v>
      </c>
      <c r="N171" s="49"/>
    </row>
    <row r="172" spans="2:15" s="25" customFormat="1" x14ac:dyDescent="0.3">
      <c r="B172" s="12"/>
      <c r="C172" s="13" t="s">
        <v>23</v>
      </c>
      <c r="D172" s="14" t="s">
        <v>21</v>
      </c>
      <c r="E172" s="12">
        <v>2.6100000000000002E-2</v>
      </c>
      <c r="F172" s="15">
        <f>E172*F168</f>
        <v>3.1059000000000001</v>
      </c>
      <c r="G172" s="16"/>
      <c r="H172" s="16"/>
      <c r="I172" s="16"/>
      <c r="J172" s="16"/>
      <c r="K172" s="16"/>
      <c r="L172" s="16">
        <f>K172*F172</f>
        <v>0</v>
      </c>
      <c r="M172" s="16">
        <f t="shared" si="26"/>
        <v>0</v>
      </c>
      <c r="N172" s="49"/>
    </row>
    <row r="173" spans="2:15" s="25" customFormat="1" ht="13.5" customHeight="1" x14ac:dyDescent="0.3">
      <c r="B173" s="12"/>
      <c r="C173" s="13" t="s">
        <v>16</v>
      </c>
      <c r="D173" s="14"/>
      <c r="E173" s="12"/>
      <c r="F173" s="15"/>
      <c r="G173" s="16"/>
      <c r="H173" s="16"/>
      <c r="I173" s="16"/>
      <c r="J173" s="16"/>
      <c r="K173" s="16"/>
      <c r="L173" s="16"/>
      <c r="M173" s="16">
        <f t="shared" si="26"/>
        <v>0</v>
      </c>
      <c r="N173" s="49"/>
    </row>
    <row r="174" spans="2:15" s="25" customFormat="1" ht="16.2" x14ac:dyDescent="0.3">
      <c r="B174" s="12"/>
      <c r="C174" s="13" t="s">
        <v>237</v>
      </c>
      <c r="D174" s="14" t="s">
        <v>74</v>
      </c>
      <c r="E174" s="12">
        <v>1.26</v>
      </c>
      <c r="F174" s="15">
        <f>E174*F168</f>
        <v>149.94</v>
      </c>
      <c r="G174" s="17"/>
      <c r="H174" s="16">
        <f>G174*F174</f>
        <v>0</v>
      </c>
      <c r="I174" s="16"/>
      <c r="J174" s="16"/>
      <c r="K174" s="16"/>
      <c r="L174" s="16"/>
      <c r="M174" s="16">
        <f t="shared" si="26"/>
        <v>0</v>
      </c>
      <c r="N174" s="49"/>
    </row>
    <row r="175" spans="2:15" s="3" customFormat="1" x14ac:dyDescent="0.3">
      <c r="B175" s="5">
        <f>MAX($B$5:B167)+1</f>
        <v>31</v>
      </c>
      <c r="C175" s="23" t="s">
        <v>126</v>
      </c>
      <c r="D175" s="6" t="s">
        <v>36</v>
      </c>
      <c r="E175" s="6"/>
      <c r="F175" s="7">
        <f>F179*0.00067</f>
        <v>0.39865</v>
      </c>
      <c r="G175" s="8"/>
      <c r="H175" s="9"/>
      <c r="I175" s="10"/>
      <c r="J175" s="9"/>
      <c r="K175" s="10"/>
      <c r="L175" s="9"/>
      <c r="M175" s="11"/>
      <c r="N175" s="54"/>
      <c r="O175" s="28"/>
    </row>
    <row r="176" spans="2:15" s="3" customFormat="1" ht="13.8" x14ac:dyDescent="0.3">
      <c r="B176" s="12"/>
      <c r="C176" s="13" t="s">
        <v>127</v>
      </c>
      <c r="D176" s="14" t="s">
        <v>21</v>
      </c>
      <c r="E176" s="12">
        <v>0.3</v>
      </c>
      <c r="F176" s="15">
        <f>F175*E176</f>
        <v>0.11959499999999999</v>
      </c>
      <c r="G176" s="16"/>
      <c r="H176" s="16"/>
      <c r="I176" s="16"/>
      <c r="J176" s="16"/>
      <c r="K176" s="16"/>
      <c r="L176" s="16">
        <f>K176*F176</f>
        <v>0</v>
      </c>
      <c r="M176" s="16">
        <f>L176+J176+H176</f>
        <v>0</v>
      </c>
      <c r="N176" s="54"/>
      <c r="O176" s="28"/>
    </row>
    <row r="177" spans="2:15" s="3" customFormat="1" ht="13.8" x14ac:dyDescent="0.3">
      <c r="B177" s="12"/>
      <c r="C177" s="13" t="s">
        <v>16</v>
      </c>
      <c r="D177" s="14"/>
      <c r="E177" s="12"/>
      <c r="F177" s="15"/>
      <c r="G177" s="16"/>
      <c r="H177" s="16"/>
      <c r="I177" s="16"/>
      <c r="J177" s="16"/>
      <c r="K177" s="16"/>
      <c r="L177" s="16"/>
      <c r="M177" s="16">
        <f>L177+J177+H177</f>
        <v>0</v>
      </c>
      <c r="N177" s="54"/>
      <c r="O177" s="28"/>
    </row>
    <row r="178" spans="2:15" s="3" customFormat="1" ht="13.8" x14ac:dyDescent="0.3">
      <c r="B178" s="12"/>
      <c r="C178" s="13" t="s">
        <v>128</v>
      </c>
      <c r="D178" s="14" t="s">
        <v>36</v>
      </c>
      <c r="E178" s="12">
        <v>1.03</v>
      </c>
      <c r="F178" s="15">
        <f>F175*E178</f>
        <v>0.41060950000000002</v>
      </c>
      <c r="G178" s="16"/>
      <c r="H178" s="16">
        <f>G178*F178</f>
        <v>0</v>
      </c>
      <c r="I178" s="16"/>
      <c r="J178" s="16"/>
      <c r="K178" s="16"/>
      <c r="L178" s="16"/>
      <c r="M178" s="16">
        <f>L178+J178+H178</f>
        <v>0</v>
      </c>
      <c r="N178" s="54"/>
      <c r="O178" s="28"/>
    </row>
    <row r="179" spans="2:15" s="3" customFormat="1" x14ac:dyDescent="0.3">
      <c r="B179" s="5">
        <f>MAX($B$5:B178)+1</f>
        <v>32</v>
      </c>
      <c r="C179" s="23" t="s">
        <v>129</v>
      </c>
      <c r="D179" s="6" t="s">
        <v>130</v>
      </c>
      <c r="E179" s="6"/>
      <c r="F179" s="7">
        <v>595</v>
      </c>
      <c r="G179" s="8"/>
      <c r="H179" s="9"/>
      <c r="I179" s="10"/>
      <c r="J179" s="9"/>
      <c r="K179" s="10"/>
      <c r="L179" s="9"/>
      <c r="M179" s="11"/>
    </row>
    <row r="180" spans="2:15" s="3" customFormat="1" ht="13.8" x14ac:dyDescent="0.3">
      <c r="B180" s="12"/>
      <c r="C180" s="13" t="s">
        <v>14</v>
      </c>
      <c r="D180" s="14" t="s">
        <v>19</v>
      </c>
      <c r="E180" s="12">
        <v>0.04</v>
      </c>
      <c r="F180" s="15">
        <f>E180*F179</f>
        <v>23.8</v>
      </c>
      <c r="G180" s="16"/>
      <c r="H180" s="16"/>
      <c r="I180" s="16"/>
      <c r="J180" s="16">
        <f>I180*F180</f>
        <v>0</v>
      </c>
      <c r="K180" s="16"/>
      <c r="L180" s="16">
        <f>K180*F180</f>
        <v>0</v>
      </c>
      <c r="M180" s="16">
        <f>L180+J180+H180</f>
        <v>0</v>
      </c>
    </row>
    <row r="181" spans="2:15" s="3" customFormat="1" ht="13.8" x14ac:dyDescent="0.3">
      <c r="B181" s="12"/>
      <c r="C181" s="13" t="s">
        <v>131</v>
      </c>
      <c r="D181" s="14" t="s">
        <v>21</v>
      </c>
      <c r="E181" s="12">
        <f>0.00302*1.5</f>
        <v>4.5300000000000002E-3</v>
      </c>
      <c r="F181" s="15">
        <f>E181*F179</f>
        <v>2.6953499999999999</v>
      </c>
      <c r="G181" s="16"/>
      <c r="H181" s="16"/>
      <c r="I181" s="16"/>
      <c r="J181" s="16"/>
      <c r="K181" s="16"/>
      <c r="L181" s="16">
        <f>K181*F181</f>
        <v>0</v>
      </c>
      <c r="M181" s="16">
        <f t="shared" ref="M181:M186" si="27">L181+J181+H181</f>
        <v>0</v>
      </c>
    </row>
    <row r="182" spans="2:15" s="3" customFormat="1" ht="13.8" x14ac:dyDescent="0.3">
      <c r="B182" s="12"/>
      <c r="C182" s="13" t="s">
        <v>22</v>
      </c>
      <c r="D182" s="14" t="s">
        <v>21</v>
      </c>
      <c r="E182" s="12">
        <f>0.0037*1.5</f>
        <v>5.5500000000000002E-3</v>
      </c>
      <c r="F182" s="15">
        <f>E182*F179</f>
        <v>3.3022500000000004</v>
      </c>
      <c r="G182" s="16"/>
      <c r="H182" s="16"/>
      <c r="I182" s="16"/>
      <c r="J182" s="16"/>
      <c r="K182" s="16"/>
      <c r="L182" s="16">
        <f>K182*F182</f>
        <v>0</v>
      </c>
      <c r="M182" s="16">
        <f t="shared" si="27"/>
        <v>0</v>
      </c>
    </row>
    <row r="183" spans="2:15" s="3" customFormat="1" ht="13.8" x14ac:dyDescent="0.3">
      <c r="B183" s="12"/>
      <c r="C183" s="13" t="s">
        <v>23</v>
      </c>
      <c r="D183" s="14" t="s">
        <v>21</v>
      </c>
      <c r="E183" s="12">
        <f>0.0111*1.5</f>
        <v>1.6650000000000002E-2</v>
      </c>
      <c r="F183" s="15">
        <f>E183*F179</f>
        <v>9.9067500000000006</v>
      </c>
      <c r="G183" s="16"/>
      <c r="H183" s="16"/>
      <c r="I183" s="16"/>
      <c r="J183" s="16"/>
      <c r="K183" s="16"/>
      <c r="L183" s="16">
        <f>K183*F183</f>
        <v>0</v>
      </c>
      <c r="M183" s="16">
        <f t="shared" si="27"/>
        <v>0</v>
      </c>
    </row>
    <row r="184" spans="2:15" s="3" customFormat="1" ht="13.8" x14ac:dyDescent="0.3">
      <c r="B184" s="12"/>
      <c r="C184" s="13" t="s">
        <v>16</v>
      </c>
      <c r="D184" s="14"/>
      <c r="E184" s="12"/>
      <c r="F184" s="15"/>
      <c r="G184" s="16"/>
      <c r="H184" s="16"/>
      <c r="I184" s="16"/>
      <c r="J184" s="16"/>
      <c r="K184" s="16"/>
      <c r="L184" s="16"/>
      <c r="M184" s="16">
        <f t="shared" si="27"/>
        <v>0</v>
      </c>
    </row>
    <row r="185" spans="2:15" s="3" customFormat="1" ht="13.8" x14ac:dyDescent="0.3">
      <c r="B185" s="12"/>
      <c r="C185" s="13" t="s">
        <v>132</v>
      </c>
      <c r="D185" s="14" t="s">
        <v>36</v>
      </c>
      <c r="E185" s="12">
        <v>0.13950000000000001</v>
      </c>
      <c r="F185" s="15">
        <f>E185*F179</f>
        <v>83.002500000000012</v>
      </c>
      <c r="G185" s="16"/>
      <c r="H185" s="16">
        <f>G185*F185</f>
        <v>0</v>
      </c>
      <c r="I185" s="16"/>
      <c r="J185" s="16"/>
      <c r="K185" s="16"/>
      <c r="L185" s="16"/>
      <c r="M185" s="16">
        <f t="shared" si="27"/>
        <v>0</v>
      </c>
    </row>
    <row r="186" spans="2:15" s="3" customFormat="1" ht="13.8" x14ac:dyDescent="0.3">
      <c r="B186" s="12"/>
      <c r="C186" s="13" t="s">
        <v>32</v>
      </c>
      <c r="D186" s="14" t="s">
        <v>33</v>
      </c>
      <c r="E186" s="12">
        <v>1.4759999999999999E-2</v>
      </c>
      <c r="F186" s="15">
        <f>E186*F179</f>
        <v>8.7821999999999996</v>
      </c>
      <c r="G186" s="16"/>
      <c r="H186" s="16">
        <f>G186*F186</f>
        <v>0</v>
      </c>
      <c r="I186" s="16"/>
      <c r="J186" s="16"/>
      <c r="K186" s="16"/>
      <c r="L186" s="16"/>
      <c r="M186" s="16">
        <f t="shared" si="27"/>
        <v>0</v>
      </c>
    </row>
    <row r="187" spans="2:15" s="3" customFormat="1" x14ac:dyDescent="0.3">
      <c r="B187" s="5">
        <f>MAX($B$5:B186)+1</f>
        <v>33</v>
      </c>
      <c r="C187" s="23" t="s">
        <v>133</v>
      </c>
      <c r="D187" s="6" t="s">
        <v>36</v>
      </c>
      <c r="E187" s="6"/>
      <c r="F187" s="7">
        <f>F191*0.00029</f>
        <v>0.17255000000000001</v>
      </c>
      <c r="G187" s="8"/>
      <c r="H187" s="9"/>
      <c r="I187" s="10"/>
      <c r="J187" s="9"/>
      <c r="K187" s="10"/>
      <c r="L187" s="9"/>
      <c r="M187" s="11"/>
    </row>
    <row r="188" spans="2:15" s="3" customFormat="1" ht="13.8" x14ac:dyDescent="0.3">
      <c r="B188" s="12"/>
      <c r="C188" s="13" t="s">
        <v>127</v>
      </c>
      <c r="D188" s="14" t="s">
        <v>21</v>
      </c>
      <c r="E188" s="12">
        <v>0.3</v>
      </c>
      <c r="F188" s="15">
        <f>F187*E188</f>
        <v>5.1764999999999999E-2</v>
      </c>
      <c r="G188" s="16"/>
      <c r="H188" s="16"/>
      <c r="I188" s="16"/>
      <c r="J188" s="16"/>
      <c r="K188" s="16"/>
      <c r="L188" s="16">
        <f>K188*F188</f>
        <v>0</v>
      </c>
      <c r="M188" s="16">
        <f>L188+J188+H188</f>
        <v>0</v>
      </c>
    </row>
    <row r="189" spans="2:15" s="3" customFormat="1" ht="13.8" x14ac:dyDescent="0.3">
      <c r="B189" s="12"/>
      <c r="C189" s="13" t="s">
        <v>16</v>
      </c>
      <c r="D189" s="14"/>
      <c r="E189" s="12"/>
      <c r="F189" s="15"/>
      <c r="G189" s="16"/>
      <c r="H189" s="16"/>
      <c r="I189" s="16"/>
      <c r="J189" s="16"/>
      <c r="K189" s="16"/>
      <c r="L189" s="16"/>
      <c r="M189" s="16">
        <f>L189+J189+H189</f>
        <v>0</v>
      </c>
    </row>
    <row r="190" spans="2:15" s="3" customFormat="1" ht="13.8" x14ac:dyDescent="0.3">
      <c r="B190" s="12"/>
      <c r="C190" s="13" t="s">
        <v>128</v>
      </c>
      <c r="D190" s="14" t="s">
        <v>36</v>
      </c>
      <c r="E190" s="12">
        <v>1.03</v>
      </c>
      <c r="F190" s="15">
        <f>F187*E190</f>
        <v>0.17772650000000001</v>
      </c>
      <c r="G190" s="16"/>
      <c r="H190" s="16">
        <f>G190*F190</f>
        <v>0</v>
      </c>
      <c r="I190" s="16"/>
      <c r="J190" s="16"/>
      <c r="K190" s="16"/>
      <c r="L190" s="16"/>
      <c r="M190" s="16">
        <f>L190+J190+H190</f>
        <v>0</v>
      </c>
    </row>
    <row r="191" spans="2:15" s="3" customFormat="1" x14ac:dyDescent="0.3">
      <c r="B191" s="5">
        <f>MAX($B$5:B190)+1</f>
        <v>34</v>
      </c>
      <c r="C191" s="23" t="s">
        <v>134</v>
      </c>
      <c r="D191" s="6" t="s">
        <v>130</v>
      </c>
      <c r="E191" s="6"/>
      <c r="F191" s="7">
        <f>F179</f>
        <v>595</v>
      </c>
      <c r="G191" s="8"/>
      <c r="H191" s="9"/>
      <c r="I191" s="10"/>
      <c r="J191" s="9"/>
      <c r="K191" s="10"/>
      <c r="L191" s="9"/>
      <c r="M191" s="11"/>
    </row>
    <row r="192" spans="2:15" s="3" customFormat="1" ht="13.8" x14ac:dyDescent="0.3">
      <c r="B192" s="12"/>
      <c r="C192" s="13" t="s">
        <v>14</v>
      </c>
      <c r="D192" s="14" t="s">
        <v>19</v>
      </c>
      <c r="E192" s="12">
        <v>3.7499999999999999E-2</v>
      </c>
      <c r="F192" s="15">
        <f>E192*F191</f>
        <v>22.3125</v>
      </c>
      <c r="G192" s="16"/>
      <c r="H192" s="16"/>
      <c r="I192" s="16"/>
      <c r="J192" s="16">
        <f>I192*F192</f>
        <v>0</v>
      </c>
      <c r="K192" s="16"/>
      <c r="L192" s="16">
        <f>K192*F192</f>
        <v>0</v>
      </c>
      <c r="M192" s="16">
        <f>L192+J192+H192</f>
        <v>0</v>
      </c>
    </row>
    <row r="193" spans="2:13" s="3" customFormat="1" ht="13.8" x14ac:dyDescent="0.3">
      <c r="B193" s="12"/>
      <c r="C193" s="13" t="s">
        <v>131</v>
      </c>
      <c r="D193" s="14" t="s">
        <v>21</v>
      </c>
      <c r="E193" s="12">
        <f>0.0208*1.5</f>
        <v>3.1199999999999999E-2</v>
      </c>
      <c r="F193" s="15">
        <f>E193*F191</f>
        <v>18.564</v>
      </c>
      <c r="G193" s="16"/>
      <c r="H193" s="16"/>
      <c r="I193" s="16"/>
      <c r="J193" s="16"/>
      <c r="K193" s="16"/>
      <c r="L193" s="16">
        <f>K193*F193</f>
        <v>0</v>
      </c>
      <c r="M193" s="16">
        <f t="shared" ref="M193:M198" si="28">L193+J193+H193</f>
        <v>0</v>
      </c>
    </row>
    <row r="194" spans="2:13" s="3" customFormat="1" ht="13.8" x14ac:dyDescent="0.3">
      <c r="B194" s="12"/>
      <c r="C194" s="13" t="s">
        <v>22</v>
      </c>
      <c r="D194" s="14" t="s">
        <v>21</v>
      </c>
      <c r="E194" s="12">
        <f>0.0037*1.5</f>
        <v>5.5500000000000002E-3</v>
      </c>
      <c r="F194" s="15">
        <f>E194*F191</f>
        <v>3.3022500000000004</v>
      </c>
      <c r="G194" s="16"/>
      <c r="H194" s="16"/>
      <c r="I194" s="16"/>
      <c r="J194" s="16"/>
      <c r="K194" s="16"/>
      <c r="L194" s="16">
        <f>K194*F194</f>
        <v>0</v>
      </c>
      <c r="M194" s="16">
        <f t="shared" si="28"/>
        <v>0</v>
      </c>
    </row>
    <row r="195" spans="2:13" s="3" customFormat="1" ht="13.8" x14ac:dyDescent="0.3">
      <c r="B195" s="12"/>
      <c r="C195" s="13" t="s">
        <v>23</v>
      </c>
      <c r="D195" s="14" t="s">
        <v>21</v>
      </c>
      <c r="E195" s="12">
        <v>1.11E-2</v>
      </c>
      <c r="F195" s="15">
        <f>E195*F191</f>
        <v>6.6045000000000007</v>
      </c>
      <c r="G195" s="16"/>
      <c r="H195" s="16"/>
      <c r="I195" s="16"/>
      <c r="J195" s="16"/>
      <c r="K195" s="16"/>
      <c r="L195" s="16">
        <f>K195*F195</f>
        <v>0</v>
      </c>
      <c r="M195" s="16">
        <f t="shared" si="28"/>
        <v>0</v>
      </c>
    </row>
    <row r="196" spans="2:13" s="3" customFormat="1" ht="13.8" x14ac:dyDescent="0.3">
      <c r="B196" s="12"/>
      <c r="C196" s="13" t="s">
        <v>16</v>
      </c>
      <c r="D196" s="14"/>
      <c r="E196" s="12"/>
      <c r="F196" s="15"/>
      <c r="G196" s="16"/>
      <c r="H196" s="16"/>
      <c r="I196" s="16"/>
      <c r="J196" s="16"/>
      <c r="K196" s="16"/>
      <c r="L196" s="16"/>
      <c r="M196" s="16">
        <f t="shared" si="28"/>
        <v>0</v>
      </c>
    </row>
    <row r="197" spans="2:13" s="3" customFormat="1" ht="13.8" x14ac:dyDescent="0.3">
      <c r="B197" s="12"/>
      <c r="C197" s="13" t="s">
        <v>132</v>
      </c>
      <c r="D197" s="14" t="s">
        <v>36</v>
      </c>
      <c r="E197" s="12">
        <v>9.8000000000000004E-2</v>
      </c>
      <c r="F197" s="15">
        <f>E197*F191</f>
        <v>58.31</v>
      </c>
      <c r="G197" s="16"/>
      <c r="H197" s="16">
        <f>G197*F197</f>
        <v>0</v>
      </c>
      <c r="I197" s="16"/>
      <c r="J197" s="16"/>
      <c r="K197" s="16"/>
      <c r="L197" s="16"/>
      <c r="M197" s="16">
        <f t="shared" si="28"/>
        <v>0</v>
      </c>
    </row>
    <row r="198" spans="2:13" s="3" customFormat="1" ht="13.8" x14ac:dyDescent="0.3">
      <c r="B198" s="12"/>
      <c r="C198" s="13" t="s">
        <v>32</v>
      </c>
      <c r="D198" s="14" t="s">
        <v>33</v>
      </c>
      <c r="E198" s="12">
        <v>1.4759999999999999E-2</v>
      </c>
      <c r="F198" s="15">
        <f>E198*F191</f>
        <v>8.7821999999999996</v>
      </c>
      <c r="G198" s="16"/>
      <c r="H198" s="16">
        <f>G198*F198</f>
        <v>0</v>
      </c>
      <c r="I198" s="16"/>
      <c r="J198" s="16"/>
      <c r="K198" s="16"/>
      <c r="L198" s="16"/>
      <c r="M198" s="16">
        <f t="shared" si="28"/>
        <v>0</v>
      </c>
    </row>
    <row r="199" spans="2:13" x14ac:dyDescent="0.3">
      <c r="B199" s="29"/>
      <c r="C199" s="30"/>
      <c r="D199" s="29"/>
      <c r="E199" s="31"/>
      <c r="F199" s="32"/>
      <c r="G199" s="31"/>
      <c r="H199" s="32"/>
      <c r="I199" s="31"/>
      <c r="J199" s="32"/>
      <c r="K199" s="31"/>
      <c r="L199" s="32"/>
      <c r="M199" s="32"/>
    </row>
    <row r="200" spans="2:13" x14ac:dyDescent="0.3">
      <c r="B200" s="33"/>
      <c r="C200" s="34" t="s">
        <v>10</v>
      </c>
      <c r="D200" s="33"/>
      <c r="E200" s="34"/>
      <c r="F200" s="33"/>
      <c r="G200" s="33"/>
      <c r="H200" s="35">
        <f>SUM(H5:H199)</f>
        <v>0</v>
      </c>
      <c r="I200" s="35"/>
      <c r="J200" s="35">
        <f>SUM(J5:J199)</f>
        <v>0</v>
      </c>
      <c r="K200" s="35"/>
      <c r="L200" s="35">
        <f>SUM(L5:L199)</f>
        <v>0</v>
      </c>
      <c r="M200" s="35">
        <f>SUM(M5:M199)</f>
        <v>0</v>
      </c>
    </row>
    <row r="201" spans="2:13" x14ac:dyDescent="0.3">
      <c r="B201" s="12"/>
      <c r="C201" s="12" t="s">
        <v>53</v>
      </c>
      <c r="D201" s="18"/>
      <c r="E201" s="12"/>
      <c r="F201" s="12"/>
      <c r="G201" s="12"/>
      <c r="H201" s="12"/>
      <c r="I201" s="12"/>
      <c r="J201" s="12"/>
      <c r="K201" s="12"/>
      <c r="L201" s="12"/>
      <c r="M201" s="21">
        <f>H200*D201</f>
        <v>0</v>
      </c>
    </row>
    <row r="202" spans="2:13" x14ac:dyDescent="0.3">
      <c r="B202" s="12"/>
      <c r="C202" s="19" t="s">
        <v>10</v>
      </c>
      <c r="D202" s="20"/>
      <c r="E202" s="19"/>
      <c r="F202" s="19"/>
      <c r="G202" s="19"/>
      <c r="H202" s="19"/>
      <c r="I202" s="19"/>
      <c r="J202" s="19"/>
      <c r="K202" s="19"/>
      <c r="L202" s="19"/>
      <c r="M202" s="22">
        <f>M201+M200</f>
        <v>0</v>
      </c>
    </row>
    <row r="203" spans="2:13" x14ac:dyDescent="0.3">
      <c r="B203" s="12"/>
      <c r="C203" s="12" t="s">
        <v>52</v>
      </c>
      <c r="D203" s="18"/>
      <c r="E203" s="12"/>
      <c r="F203" s="12"/>
      <c r="G203" s="12"/>
      <c r="H203" s="12"/>
      <c r="I203" s="12"/>
      <c r="J203" s="12"/>
      <c r="K203" s="12"/>
      <c r="L203" s="12"/>
      <c r="M203" s="21">
        <f>M202*D203</f>
        <v>0</v>
      </c>
    </row>
    <row r="204" spans="2:13" x14ac:dyDescent="0.3">
      <c r="B204" s="12"/>
      <c r="C204" s="19" t="s">
        <v>10</v>
      </c>
      <c r="D204" s="20"/>
      <c r="E204" s="19"/>
      <c r="F204" s="19"/>
      <c r="G204" s="19"/>
      <c r="H204" s="19"/>
      <c r="I204" s="19"/>
      <c r="J204" s="19"/>
      <c r="K204" s="19"/>
      <c r="L204" s="19"/>
      <c r="M204" s="22">
        <f>M202+M203</f>
        <v>0</v>
      </c>
    </row>
    <row r="205" spans="2:13" x14ac:dyDescent="0.3">
      <c r="B205" s="12"/>
      <c r="C205" s="12" t="s">
        <v>54</v>
      </c>
      <c r="D205" s="18"/>
      <c r="E205" s="12"/>
      <c r="F205" s="12"/>
      <c r="G205" s="12"/>
      <c r="H205" s="12"/>
      <c r="I205" s="12"/>
      <c r="J205" s="12"/>
      <c r="K205" s="12"/>
      <c r="L205" s="12"/>
      <c r="M205" s="21">
        <f>M204*D205</f>
        <v>0</v>
      </c>
    </row>
    <row r="206" spans="2:13" x14ac:dyDescent="0.3">
      <c r="B206" s="12"/>
      <c r="C206" s="19" t="s">
        <v>10</v>
      </c>
      <c r="D206" s="20"/>
      <c r="E206" s="19"/>
      <c r="F206" s="19"/>
      <c r="G206" s="19"/>
      <c r="H206" s="19"/>
      <c r="I206" s="19"/>
      <c r="J206" s="19"/>
      <c r="K206" s="19"/>
      <c r="L206" s="19"/>
      <c r="M206" s="22">
        <f>M204+M205</f>
        <v>0</v>
      </c>
    </row>
    <row r="207" spans="2:13" x14ac:dyDescent="0.3">
      <c r="B207" s="12"/>
      <c r="C207" s="12" t="s">
        <v>55</v>
      </c>
      <c r="D207" s="18">
        <v>0.18</v>
      </c>
      <c r="E207" s="12"/>
      <c r="F207" s="12"/>
      <c r="G207" s="12"/>
      <c r="H207" s="12"/>
      <c r="I207" s="12"/>
      <c r="J207" s="12"/>
      <c r="K207" s="12"/>
      <c r="L207" s="12"/>
      <c r="M207" s="21">
        <f>M206*D207</f>
        <v>0</v>
      </c>
    </row>
    <row r="208" spans="2:13" x14ac:dyDescent="0.3">
      <c r="B208" s="36"/>
      <c r="C208" s="37" t="s">
        <v>10</v>
      </c>
      <c r="D208" s="36"/>
      <c r="E208" s="37"/>
      <c r="F208" s="36"/>
      <c r="G208" s="36"/>
      <c r="H208" s="38"/>
      <c r="I208" s="39"/>
      <c r="J208" s="39"/>
      <c r="K208" s="39"/>
      <c r="L208" s="39"/>
      <c r="M208" s="40">
        <f>M207+M206</f>
        <v>0</v>
      </c>
    </row>
  </sheetData>
  <autoFilter ref="B4:M198" xr:uid="{E0FBA920-F744-4DEF-95BE-8B821A74D771}"/>
  <mergeCells count="9">
    <mergeCell ref="I2:J2"/>
    <mergeCell ref="K2:L2"/>
    <mergeCell ref="M2:M3"/>
    <mergeCell ref="B2:B3"/>
    <mergeCell ref="C2:C3"/>
    <mergeCell ref="D2:D3"/>
    <mergeCell ref="E2:E3"/>
    <mergeCell ref="F2:F3"/>
    <mergeCell ref="G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FC89B-3837-4DF6-ACD2-2C11BD33D961}">
  <dimension ref="A2:M50"/>
  <sheetViews>
    <sheetView showGridLines="0" topLeftCell="C1" workbookViewId="0">
      <selection activeCell="N13" sqref="N1:N1048576"/>
    </sheetView>
  </sheetViews>
  <sheetFormatPr defaultRowHeight="14.4" x14ac:dyDescent="0.3"/>
  <cols>
    <col min="1" max="1" width="3.6640625" style="26" customWidth="1"/>
    <col min="2" max="2" width="8.88671875" style="26"/>
    <col min="3" max="3" width="88.6640625" style="26" customWidth="1"/>
    <col min="4" max="6" width="8.88671875" style="26"/>
    <col min="7" max="7" width="11.109375" style="26" bestFit="1" customWidth="1"/>
    <col min="8" max="8" width="11" style="26" bestFit="1" customWidth="1"/>
    <col min="9" max="9" width="8.88671875" style="26"/>
    <col min="10" max="10" width="10" style="26" bestFit="1" customWidth="1"/>
    <col min="11" max="11" width="8.88671875" style="26"/>
    <col min="12" max="12" width="11" style="26" bestFit="1" customWidth="1"/>
    <col min="13" max="13" width="16" style="26" bestFit="1" customWidth="1"/>
    <col min="14" max="16384" width="8.88671875" style="26"/>
  </cols>
  <sheetData>
    <row r="2" spans="2:13" s="1" customFormat="1" x14ac:dyDescent="0.3">
      <c r="B2" s="107" t="s">
        <v>0</v>
      </c>
      <c r="C2" s="109" t="s">
        <v>1</v>
      </c>
      <c r="D2" s="109" t="s">
        <v>2</v>
      </c>
      <c r="E2" s="109" t="s">
        <v>3</v>
      </c>
      <c r="F2" s="109" t="s">
        <v>4</v>
      </c>
      <c r="G2" s="104" t="s">
        <v>5</v>
      </c>
      <c r="H2" s="104"/>
      <c r="I2" s="104" t="s">
        <v>6</v>
      </c>
      <c r="J2" s="104"/>
      <c r="K2" s="104" t="s">
        <v>7</v>
      </c>
      <c r="L2" s="104"/>
      <c r="M2" s="105" t="s">
        <v>8</v>
      </c>
    </row>
    <row r="3" spans="2:13" s="1" customFormat="1" ht="15.6" customHeight="1" x14ac:dyDescent="0.3">
      <c r="B3" s="108"/>
      <c r="C3" s="110"/>
      <c r="D3" s="110"/>
      <c r="E3" s="110"/>
      <c r="F3" s="111"/>
      <c r="G3" s="2" t="s">
        <v>9</v>
      </c>
      <c r="H3" s="2" t="s">
        <v>10</v>
      </c>
      <c r="I3" s="2" t="s">
        <v>9</v>
      </c>
      <c r="J3" s="2" t="s">
        <v>10</v>
      </c>
      <c r="K3" s="2" t="s">
        <v>9</v>
      </c>
      <c r="L3" s="2" t="s">
        <v>10</v>
      </c>
      <c r="M3" s="106"/>
    </row>
    <row r="4" spans="2:13" s="3" customFormat="1" x14ac:dyDescent="0.3">
      <c r="B4" s="4">
        <v>1</v>
      </c>
      <c r="C4" s="4">
        <v>2</v>
      </c>
      <c r="D4" s="4">
        <v>3</v>
      </c>
      <c r="E4" s="4">
        <v>4</v>
      </c>
      <c r="F4" s="4">
        <v>5</v>
      </c>
      <c r="G4" s="4">
        <v>6</v>
      </c>
      <c r="H4" s="4">
        <v>7</v>
      </c>
      <c r="I4" s="4">
        <v>8</v>
      </c>
      <c r="J4" s="4">
        <v>9</v>
      </c>
      <c r="K4" s="4">
        <v>10</v>
      </c>
      <c r="L4" s="4">
        <v>11</v>
      </c>
      <c r="M4" s="4">
        <v>12</v>
      </c>
    </row>
    <row r="5" spans="2:13" s="3" customFormat="1" x14ac:dyDescent="0.3">
      <c r="B5" s="5"/>
      <c r="C5" s="23"/>
      <c r="D5" s="6"/>
      <c r="E5" s="6"/>
      <c r="F5" s="7"/>
      <c r="G5" s="8"/>
      <c r="H5" s="9"/>
      <c r="I5" s="10"/>
      <c r="J5" s="9"/>
      <c r="K5" s="10"/>
      <c r="L5" s="9"/>
      <c r="M5" s="11"/>
    </row>
    <row r="6" spans="2:13" s="3" customFormat="1" x14ac:dyDescent="0.3">
      <c r="B6" s="5">
        <v>1</v>
      </c>
      <c r="C6" s="23" t="s">
        <v>88</v>
      </c>
      <c r="D6" s="6" t="s">
        <v>58</v>
      </c>
      <c r="E6" s="6"/>
      <c r="F6" s="7">
        <v>144</v>
      </c>
      <c r="G6" s="8"/>
      <c r="H6" s="9"/>
      <c r="I6" s="10"/>
      <c r="J6" s="9"/>
      <c r="K6" s="10"/>
      <c r="L6" s="9"/>
      <c r="M6" s="11"/>
    </row>
    <row r="7" spans="2:13" s="3" customFormat="1" ht="13.8" x14ac:dyDescent="0.3">
      <c r="B7" s="12"/>
      <c r="C7" s="13" t="s">
        <v>14</v>
      </c>
      <c r="D7" s="14" t="s">
        <v>58</v>
      </c>
      <c r="E7" s="12">
        <v>1</v>
      </c>
      <c r="F7" s="15">
        <f>F6*E7</f>
        <v>144</v>
      </c>
      <c r="G7" s="16"/>
      <c r="H7" s="16"/>
      <c r="I7" s="16"/>
      <c r="J7" s="16">
        <f>I7*F7</f>
        <v>0</v>
      </c>
      <c r="K7" s="16"/>
      <c r="L7" s="16"/>
      <c r="M7" s="16">
        <f>L7+J7+H7</f>
        <v>0</v>
      </c>
    </row>
    <row r="8" spans="2:13" s="3" customFormat="1" x14ac:dyDescent="0.3">
      <c r="B8" s="5">
        <f>MAX($B$5:B7)+1</f>
        <v>2</v>
      </c>
      <c r="C8" s="23" t="s">
        <v>89</v>
      </c>
      <c r="D8" s="6" t="s">
        <v>58</v>
      </c>
      <c r="E8" s="6"/>
      <c r="F8" s="7">
        <v>151</v>
      </c>
      <c r="G8" s="8"/>
      <c r="H8" s="9"/>
      <c r="I8" s="10"/>
      <c r="J8" s="9"/>
      <c r="K8" s="10"/>
      <c r="L8" s="9"/>
      <c r="M8" s="11"/>
    </row>
    <row r="9" spans="2:13" s="3" customFormat="1" ht="13.8" x14ac:dyDescent="0.3">
      <c r="B9" s="12"/>
      <c r="C9" s="13" t="s">
        <v>14</v>
      </c>
      <c r="D9" s="14" t="s">
        <v>58</v>
      </c>
      <c r="E9" s="12">
        <v>1</v>
      </c>
      <c r="F9" s="15">
        <f>F8*E9</f>
        <v>151</v>
      </c>
      <c r="G9" s="16"/>
      <c r="H9" s="16"/>
      <c r="I9" s="16"/>
      <c r="J9" s="16">
        <f>I9*F9</f>
        <v>0</v>
      </c>
      <c r="K9" s="16"/>
      <c r="L9" s="16"/>
      <c r="M9" s="16">
        <f>L9+J9+H9</f>
        <v>0</v>
      </c>
    </row>
    <row r="10" spans="2:13" s="3" customFormat="1" x14ac:dyDescent="0.3">
      <c r="B10" s="5">
        <f>MAX($B$5:B9)+1</f>
        <v>3</v>
      </c>
      <c r="C10" s="23" t="s">
        <v>90</v>
      </c>
      <c r="D10" s="6" t="s">
        <v>58</v>
      </c>
      <c r="E10" s="6"/>
      <c r="F10" s="7">
        <v>74</v>
      </c>
      <c r="G10" s="8"/>
      <c r="H10" s="9"/>
      <c r="I10" s="10"/>
      <c r="J10" s="9"/>
      <c r="K10" s="10"/>
      <c r="L10" s="9"/>
      <c r="M10" s="11"/>
    </row>
    <row r="11" spans="2:13" s="3" customFormat="1" ht="13.8" x14ac:dyDescent="0.3">
      <c r="B11" s="12"/>
      <c r="C11" s="13" t="s">
        <v>14</v>
      </c>
      <c r="D11" s="14" t="s">
        <v>58</v>
      </c>
      <c r="E11" s="12">
        <v>1</v>
      </c>
      <c r="F11" s="15">
        <f>F10*E11</f>
        <v>74</v>
      </c>
      <c r="G11" s="16"/>
      <c r="H11" s="16"/>
      <c r="I11" s="16"/>
      <c r="J11" s="16">
        <f>I11*F11</f>
        <v>0</v>
      </c>
      <c r="K11" s="16"/>
      <c r="L11" s="16"/>
      <c r="M11" s="16">
        <f>L11+J11+H11</f>
        <v>0</v>
      </c>
    </row>
    <row r="12" spans="2:13" s="3" customFormat="1" x14ac:dyDescent="0.3">
      <c r="B12" s="5">
        <f>MAX($B$5:B11)+1</f>
        <v>4</v>
      </c>
      <c r="C12" s="23" t="s">
        <v>91</v>
      </c>
      <c r="D12" s="6" t="s">
        <v>58</v>
      </c>
      <c r="E12" s="6"/>
      <c r="F12" s="7">
        <v>87</v>
      </c>
      <c r="G12" s="8"/>
      <c r="H12" s="9"/>
      <c r="I12" s="10"/>
      <c r="J12" s="9"/>
      <c r="K12" s="10"/>
      <c r="L12" s="9"/>
      <c r="M12" s="11"/>
    </row>
    <row r="13" spans="2:13" s="3" customFormat="1" ht="13.8" x14ac:dyDescent="0.3">
      <c r="B13" s="12"/>
      <c r="C13" s="13" t="s">
        <v>14</v>
      </c>
      <c r="D13" s="14" t="s">
        <v>58</v>
      </c>
      <c r="E13" s="12">
        <v>1</v>
      </c>
      <c r="F13" s="15">
        <f>F12*E13</f>
        <v>87</v>
      </c>
      <c r="G13" s="16"/>
      <c r="H13" s="16"/>
      <c r="I13" s="16"/>
      <c r="J13" s="16">
        <f>I13*F13</f>
        <v>0</v>
      </c>
      <c r="K13" s="16"/>
      <c r="L13" s="16"/>
      <c r="M13" s="16">
        <f>L13+J13+H13</f>
        <v>0</v>
      </c>
    </row>
    <row r="14" spans="2:13" s="3" customFormat="1" x14ac:dyDescent="0.3">
      <c r="B14" s="5">
        <f>MAX($B$5:B13)+1</f>
        <v>5</v>
      </c>
      <c r="C14" s="23" t="s">
        <v>92</v>
      </c>
      <c r="D14" s="6" t="s">
        <v>58</v>
      </c>
      <c r="E14" s="6"/>
      <c r="F14" s="7">
        <f>F16</f>
        <v>9</v>
      </c>
      <c r="G14" s="8"/>
      <c r="H14" s="9"/>
      <c r="I14" s="10"/>
      <c r="J14" s="9"/>
      <c r="K14" s="10"/>
      <c r="L14" s="9"/>
      <c r="M14" s="11"/>
    </row>
    <row r="15" spans="2:13" s="3" customFormat="1" ht="13.8" x14ac:dyDescent="0.3">
      <c r="B15" s="12"/>
      <c r="C15" s="13" t="s">
        <v>14</v>
      </c>
      <c r="D15" s="14" t="s">
        <v>58</v>
      </c>
      <c r="E15" s="12">
        <v>1</v>
      </c>
      <c r="F15" s="15">
        <f>F14*E15</f>
        <v>9</v>
      </c>
      <c r="G15" s="16"/>
      <c r="H15" s="16"/>
      <c r="I15" s="16"/>
      <c r="J15" s="16">
        <f>I15*F15</f>
        <v>0</v>
      </c>
      <c r="K15" s="16"/>
      <c r="L15" s="16"/>
      <c r="M15" s="16">
        <f>L15+J15+H15</f>
        <v>0</v>
      </c>
    </row>
    <row r="16" spans="2:13" s="3" customFormat="1" x14ac:dyDescent="0.3">
      <c r="B16" s="5">
        <f>MAX($B$5:B15)+1</f>
        <v>6</v>
      </c>
      <c r="C16" s="23" t="s">
        <v>93</v>
      </c>
      <c r="D16" s="6" t="s">
        <v>58</v>
      </c>
      <c r="E16" s="6"/>
      <c r="F16" s="7">
        <f>F17+F18</f>
        <v>9</v>
      </c>
      <c r="G16" s="8"/>
      <c r="H16" s="9"/>
      <c r="I16" s="10"/>
      <c r="J16" s="9"/>
      <c r="K16" s="10"/>
      <c r="L16" s="9"/>
      <c r="M16" s="11"/>
    </row>
    <row r="17" spans="2:13" s="3" customFormat="1" ht="13.8" x14ac:dyDescent="0.3">
      <c r="B17" s="12"/>
      <c r="C17" s="13" t="s">
        <v>99</v>
      </c>
      <c r="D17" s="14" t="s">
        <v>58</v>
      </c>
      <c r="E17" s="12">
        <v>1</v>
      </c>
      <c r="F17" s="15">
        <v>4</v>
      </c>
      <c r="G17" s="17"/>
      <c r="H17" s="16">
        <f>G17*F17</f>
        <v>0</v>
      </c>
      <c r="I17" s="16"/>
      <c r="J17" s="16"/>
      <c r="K17" s="16"/>
      <c r="L17" s="16"/>
      <c r="M17" s="16">
        <f>L17+J17+H17</f>
        <v>0</v>
      </c>
    </row>
    <row r="18" spans="2:13" s="3" customFormat="1" ht="13.8" x14ac:dyDescent="0.3">
      <c r="B18" s="12"/>
      <c r="C18" s="13" t="s">
        <v>100</v>
      </c>
      <c r="D18" s="14" t="s">
        <v>58</v>
      </c>
      <c r="E18" s="12">
        <v>1</v>
      </c>
      <c r="F18" s="15">
        <v>5</v>
      </c>
      <c r="G18" s="17"/>
      <c r="H18" s="16">
        <f>G18*F18</f>
        <v>0</v>
      </c>
      <c r="I18" s="16"/>
      <c r="J18" s="16"/>
      <c r="K18" s="16"/>
      <c r="L18" s="16"/>
      <c r="M18" s="16">
        <f>L18+J18+H18</f>
        <v>0</v>
      </c>
    </row>
    <row r="19" spans="2:13" s="3" customFormat="1" x14ac:dyDescent="0.3">
      <c r="B19" s="5">
        <f>MAX($B$5:B16)+1</f>
        <v>7</v>
      </c>
      <c r="C19" s="23" t="s">
        <v>94</v>
      </c>
      <c r="D19" s="6" t="s">
        <v>58</v>
      </c>
      <c r="E19" s="6"/>
      <c r="F19" s="7">
        <f>F21</f>
        <v>25</v>
      </c>
      <c r="G19" s="8"/>
      <c r="H19" s="9"/>
      <c r="I19" s="10"/>
      <c r="J19" s="9"/>
      <c r="K19" s="10"/>
      <c r="L19" s="9"/>
      <c r="M19" s="11"/>
    </row>
    <row r="20" spans="2:13" s="3" customFormat="1" ht="13.8" x14ac:dyDescent="0.3">
      <c r="B20" s="12"/>
      <c r="C20" s="13" t="s">
        <v>14</v>
      </c>
      <c r="D20" s="14" t="s">
        <v>58</v>
      </c>
      <c r="E20" s="12">
        <v>1</v>
      </c>
      <c r="F20" s="15">
        <f>F19*E20</f>
        <v>25</v>
      </c>
      <c r="G20" s="16"/>
      <c r="H20" s="16"/>
      <c r="I20" s="16"/>
      <c r="J20" s="16">
        <f>I20*F20</f>
        <v>0</v>
      </c>
      <c r="K20" s="16"/>
      <c r="L20" s="16"/>
      <c r="M20" s="16">
        <f>L20+J20+H20</f>
        <v>0</v>
      </c>
    </row>
    <row r="21" spans="2:13" s="3" customFormat="1" x14ac:dyDescent="0.3">
      <c r="B21" s="5">
        <f>MAX($B$5:B20)+1</f>
        <v>8</v>
      </c>
      <c r="C21" s="23" t="s">
        <v>95</v>
      </c>
      <c r="D21" s="6" t="s">
        <v>58</v>
      </c>
      <c r="E21" s="6"/>
      <c r="F21" s="7">
        <f>F22+F23+F24</f>
        <v>25</v>
      </c>
      <c r="G21" s="8"/>
      <c r="H21" s="9"/>
      <c r="I21" s="10"/>
      <c r="J21" s="9"/>
      <c r="K21" s="10"/>
      <c r="L21" s="9"/>
      <c r="M21" s="11"/>
    </row>
    <row r="22" spans="2:13" s="3" customFormat="1" ht="13.8" x14ac:dyDescent="0.3">
      <c r="B22" s="12"/>
      <c r="C22" s="13" t="s">
        <v>101</v>
      </c>
      <c r="D22" s="14" t="s">
        <v>58</v>
      </c>
      <c r="E22" s="12">
        <v>1</v>
      </c>
      <c r="F22" s="15">
        <v>9</v>
      </c>
      <c r="G22" s="17"/>
      <c r="H22" s="16">
        <f>G22*F22</f>
        <v>0</v>
      </c>
      <c r="I22" s="16"/>
      <c r="J22" s="16">
        <f t="shared" ref="J22:J24" si="0">I22*F22</f>
        <v>0</v>
      </c>
      <c r="K22" s="16"/>
      <c r="L22" s="16"/>
      <c r="M22" s="16">
        <f>L22+J22+H22</f>
        <v>0</v>
      </c>
    </row>
    <row r="23" spans="2:13" s="3" customFormat="1" ht="13.8" x14ac:dyDescent="0.3">
      <c r="B23" s="12"/>
      <c r="C23" s="13" t="s">
        <v>102</v>
      </c>
      <c r="D23" s="14" t="s">
        <v>58</v>
      </c>
      <c r="E23" s="12">
        <v>1</v>
      </c>
      <c r="F23" s="15">
        <v>4</v>
      </c>
      <c r="G23" s="17"/>
      <c r="H23" s="16">
        <f>G23*F23</f>
        <v>0</v>
      </c>
      <c r="I23" s="16"/>
      <c r="J23" s="16">
        <f t="shared" si="0"/>
        <v>0</v>
      </c>
      <c r="K23" s="16"/>
      <c r="L23" s="16"/>
      <c r="M23" s="16">
        <f>L23+J23+H23</f>
        <v>0</v>
      </c>
    </row>
    <row r="24" spans="2:13" s="3" customFormat="1" ht="13.8" x14ac:dyDescent="0.3">
      <c r="B24" s="12"/>
      <c r="C24" s="13" t="s">
        <v>103</v>
      </c>
      <c r="D24" s="14" t="s">
        <v>58</v>
      </c>
      <c r="E24" s="12">
        <v>1</v>
      </c>
      <c r="F24" s="15">
        <v>12</v>
      </c>
      <c r="G24" s="17"/>
      <c r="H24" s="16">
        <f>G24*F24</f>
        <v>0</v>
      </c>
      <c r="I24" s="16"/>
      <c r="J24" s="16">
        <f t="shared" si="0"/>
        <v>0</v>
      </c>
      <c r="K24" s="16"/>
      <c r="L24" s="16"/>
      <c r="M24" s="16">
        <f>L24+J24+H24</f>
        <v>0</v>
      </c>
    </row>
    <row r="25" spans="2:13" s="27" customFormat="1" x14ac:dyDescent="0.3">
      <c r="B25" s="5">
        <f>MAX($B$5:B21)+1</f>
        <v>9</v>
      </c>
      <c r="C25" s="23" t="s">
        <v>98</v>
      </c>
      <c r="D25" s="6" t="s">
        <v>27</v>
      </c>
      <c r="E25" s="6"/>
      <c r="F25" s="7">
        <v>4060</v>
      </c>
      <c r="G25" s="8"/>
      <c r="H25" s="9"/>
      <c r="I25" s="10"/>
      <c r="J25" s="9"/>
      <c r="K25" s="10"/>
      <c r="L25" s="9"/>
      <c r="M25" s="11"/>
    </row>
    <row r="26" spans="2:13" s="27" customFormat="1" ht="13.8" x14ac:dyDescent="0.3">
      <c r="B26" s="12"/>
      <c r="C26" s="13" t="s">
        <v>14</v>
      </c>
      <c r="D26" s="14" t="s">
        <v>19</v>
      </c>
      <c r="E26" s="12">
        <v>0.38300000000000001</v>
      </c>
      <c r="F26" s="15">
        <f>E26*F25</f>
        <v>1554.98</v>
      </c>
      <c r="G26" s="16"/>
      <c r="H26" s="16"/>
      <c r="I26" s="16"/>
      <c r="J26" s="16">
        <f>I26*F26</f>
        <v>0</v>
      </c>
      <c r="K26" s="16"/>
      <c r="L26" s="16"/>
      <c r="M26" s="16">
        <f>L26+J26+H26</f>
        <v>0</v>
      </c>
    </row>
    <row r="27" spans="2:13" s="27" customFormat="1" ht="13.8" x14ac:dyDescent="0.3">
      <c r="B27" s="12"/>
      <c r="C27" s="13" t="s">
        <v>16</v>
      </c>
      <c r="D27" s="14"/>
      <c r="E27" s="12"/>
      <c r="F27" s="15"/>
      <c r="G27" s="16"/>
      <c r="H27" s="16"/>
      <c r="I27" s="16"/>
      <c r="J27" s="16"/>
      <c r="K27" s="16"/>
      <c r="L27" s="16"/>
      <c r="M27" s="16">
        <f>L27+J27+H27</f>
        <v>0</v>
      </c>
    </row>
    <row r="28" spans="2:13" s="27" customFormat="1" ht="13.8" x14ac:dyDescent="0.3">
      <c r="B28" s="12"/>
      <c r="C28" s="13" t="s">
        <v>50</v>
      </c>
      <c r="D28" s="14" t="s">
        <v>13</v>
      </c>
      <c r="E28" s="12">
        <v>0.15</v>
      </c>
      <c r="F28" s="15">
        <f>E28*F25</f>
        <v>609</v>
      </c>
      <c r="G28" s="17"/>
      <c r="H28" s="16">
        <f>G28*F28</f>
        <v>0</v>
      </c>
      <c r="I28" s="16"/>
      <c r="J28" s="16"/>
      <c r="K28" s="16"/>
      <c r="L28" s="16"/>
      <c r="M28" s="16">
        <f>L28+J28+H28</f>
        <v>0</v>
      </c>
    </row>
    <row r="29" spans="2:13" s="27" customFormat="1" ht="13.8" x14ac:dyDescent="0.3">
      <c r="B29" s="12"/>
      <c r="C29" s="13" t="s">
        <v>51</v>
      </c>
      <c r="D29" s="14" t="s">
        <v>13</v>
      </c>
      <c r="E29" s="12">
        <v>0.1</v>
      </c>
      <c r="F29" s="15">
        <f>E29*F25</f>
        <v>406</v>
      </c>
      <c r="G29" s="16"/>
      <c r="H29" s="16">
        <f>G29*F29</f>
        <v>0</v>
      </c>
      <c r="I29" s="16"/>
      <c r="J29" s="16"/>
      <c r="K29" s="16"/>
      <c r="L29" s="16"/>
      <c r="M29" s="16">
        <f>L29+J29+H29</f>
        <v>0</v>
      </c>
    </row>
    <row r="30" spans="2:13" s="3" customFormat="1" x14ac:dyDescent="0.3">
      <c r="B30" s="5">
        <f>MAX($B$5:B29)+1</f>
        <v>10</v>
      </c>
      <c r="C30" s="23" t="s">
        <v>96</v>
      </c>
      <c r="D30" s="6" t="s">
        <v>58</v>
      </c>
      <c r="E30" s="6"/>
      <c r="F30" s="7">
        <f>F32</f>
        <v>14</v>
      </c>
      <c r="G30" s="8"/>
      <c r="H30" s="9"/>
      <c r="I30" s="10"/>
      <c r="J30" s="9"/>
      <c r="K30" s="10"/>
      <c r="L30" s="9"/>
      <c r="M30" s="11"/>
    </row>
    <row r="31" spans="2:13" s="3" customFormat="1" ht="13.8" x14ac:dyDescent="0.3">
      <c r="B31" s="12"/>
      <c r="C31" s="13" t="s">
        <v>14</v>
      </c>
      <c r="D31" s="14" t="s">
        <v>58</v>
      </c>
      <c r="E31" s="12">
        <v>1</v>
      </c>
      <c r="F31" s="15">
        <f>F30*E31</f>
        <v>14</v>
      </c>
      <c r="G31" s="16"/>
      <c r="H31" s="16"/>
      <c r="I31" s="16"/>
      <c r="J31" s="16">
        <f>I31*F31</f>
        <v>0</v>
      </c>
      <c r="K31" s="16"/>
      <c r="L31" s="16"/>
      <c r="M31" s="16">
        <f>L31+J31+H31</f>
        <v>0</v>
      </c>
    </row>
    <row r="32" spans="2:13" s="3" customFormat="1" x14ac:dyDescent="0.3">
      <c r="B32" s="5">
        <f>MAX($B$5:B31)+1</f>
        <v>11</v>
      </c>
      <c r="C32" s="23" t="s">
        <v>97</v>
      </c>
      <c r="D32" s="6" t="s">
        <v>58</v>
      </c>
      <c r="E32" s="6"/>
      <c r="F32" s="7">
        <f>F33</f>
        <v>14</v>
      </c>
      <c r="G32" s="8"/>
      <c r="H32" s="9"/>
      <c r="I32" s="10"/>
      <c r="J32" s="9"/>
      <c r="K32" s="10"/>
      <c r="L32" s="9"/>
      <c r="M32" s="11"/>
    </row>
    <row r="33" spans="1:13" s="3" customFormat="1" ht="13.8" x14ac:dyDescent="0.3">
      <c r="B33" s="12"/>
      <c r="C33" s="13" t="s">
        <v>196</v>
      </c>
      <c r="D33" s="14" t="s">
        <v>58</v>
      </c>
      <c r="E33" s="12">
        <v>1</v>
      </c>
      <c r="F33" s="15">
        <v>14</v>
      </c>
      <c r="G33" s="17"/>
      <c r="H33" s="16">
        <f>G33*F33</f>
        <v>0</v>
      </c>
      <c r="I33" s="16"/>
      <c r="J33" s="16">
        <f t="shared" ref="J33" si="1">I33*F33</f>
        <v>0</v>
      </c>
      <c r="K33" s="16"/>
      <c r="L33" s="16"/>
      <c r="M33" s="16">
        <f t="shared" ref="M33:M38" si="2">L33+J33+H33</f>
        <v>0</v>
      </c>
    </row>
    <row r="34" spans="1:13" s="27" customFormat="1" x14ac:dyDescent="0.3">
      <c r="B34" s="5">
        <f>MAX($B$5:B32)+1</f>
        <v>12</v>
      </c>
      <c r="C34" s="23" t="s">
        <v>66</v>
      </c>
      <c r="D34" s="6" t="s">
        <v>27</v>
      </c>
      <c r="E34" s="6"/>
      <c r="F34" s="7">
        <v>1978</v>
      </c>
      <c r="G34" s="8"/>
      <c r="H34" s="9"/>
      <c r="I34" s="10"/>
      <c r="J34" s="9"/>
      <c r="K34" s="10"/>
      <c r="L34" s="9"/>
      <c r="M34" s="11">
        <f t="shared" si="2"/>
        <v>0</v>
      </c>
    </row>
    <row r="35" spans="1:13" s="27" customFormat="1" ht="13.8" x14ac:dyDescent="0.3">
      <c r="B35" s="12"/>
      <c r="C35" s="13" t="s">
        <v>14</v>
      </c>
      <c r="D35" s="14" t="s">
        <v>27</v>
      </c>
      <c r="E35" s="12">
        <v>1</v>
      </c>
      <c r="F35" s="15">
        <f>E35*F34</f>
        <v>1978</v>
      </c>
      <c r="G35" s="17"/>
      <c r="H35" s="16">
        <f>G35*F35</f>
        <v>0</v>
      </c>
      <c r="I35" s="16"/>
      <c r="J35" s="16"/>
      <c r="K35" s="16"/>
      <c r="L35" s="16"/>
      <c r="M35" s="16">
        <f t="shared" si="2"/>
        <v>0</v>
      </c>
    </row>
    <row r="36" spans="1:13" s="27" customFormat="1" x14ac:dyDescent="0.3">
      <c r="B36" s="5">
        <f>MAX($B$5:B34)+1</f>
        <v>13</v>
      </c>
      <c r="C36" s="23" t="s">
        <v>204</v>
      </c>
      <c r="D36" s="6" t="s">
        <v>205</v>
      </c>
      <c r="E36" s="6"/>
      <c r="F36" s="7">
        <v>15</v>
      </c>
      <c r="G36" s="8"/>
      <c r="H36" s="9"/>
      <c r="I36" s="10"/>
      <c r="J36" s="9"/>
      <c r="K36" s="10"/>
      <c r="L36" s="9"/>
      <c r="M36" s="11">
        <f t="shared" si="2"/>
        <v>0</v>
      </c>
    </row>
    <row r="37" spans="1:13" s="27" customFormat="1" ht="13.8" x14ac:dyDescent="0.3">
      <c r="B37" s="12"/>
      <c r="C37" s="13" t="s">
        <v>15</v>
      </c>
      <c r="D37" s="14" t="s">
        <v>205</v>
      </c>
      <c r="E37" s="12">
        <v>1</v>
      </c>
      <c r="F37" s="15">
        <f>E37*F36</f>
        <v>15</v>
      </c>
      <c r="G37" s="16"/>
      <c r="H37" s="16"/>
      <c r="I37" s="16"/>
      <c r="J37" s="16"/>
      <c r="K37" s="16"/>
      <c r="L37" s="16">
        <f>K37*F37</f>
        <v>0</v>
      </c>
      <c r="M37" s="16">
        <f t="shared" si="2"/>
        <v>0</v>
      </c>
    </row>
    <row r="38" spans="1:13" s="27" customFormat="1" ht="13.8" x14ac:dyDescent="0.3">
      <c r="B38" s="12"/>
      <c r="C38" s="13" t="s">
        <v>246</v>
      </c>
      <c r="D38" s="14" t="s">
        <v>21</v>
      </c>
      <c r="E38" s="12">
        <v>1</v>
      </c>
      <c r="F38" s="15">
        <v>10</v>
      </c>
      <c r="G38" s="16"/>
      <c r="H38" s="16"/>
      <c r="I38" s="16"/>
      <c r="J38" s="16"/>
      <c r="K38" s="16"/>
      <c r="L38" s="16">
        <f>K38*F38</f>
        <v>0</v>
      </c>
      <c r="M38" s="16">
        <f t="shared" si="2"/>
        <v>0</v>
      </c>
    </row>
    <row r="39" spans="1:13" x14ac:dyDescent="0.3">
      <c r="B39" s="29"/>
      <c r="C39" s="30"/>
      <c r="D39" s="29"/>
      <c r="E39" s="31"/>
      <c r="F39" s="32"/>
      <c r="G39" s="31"/>
      <c r="H39" s="32"/>
      <c r="I39" s="31"/>
      <c r="J39" s="32"/>
      <c r="K39" s="31"/>
      <c r="L39" s="32"/>
      <c r="M39" s="32"/>
    </row>
    <row r="40" spans="1:13" x14ac:dyDescent="0.3">
      <c r="B40" s="33"/>
      <c r="C40" s="34" t="s">
        <v>10</v>
      </c>
      <c r="D40" s="33"/>
      <c r="E40" s="34"/>
      <c r="F40" s="33"/>
      <c r="G40" s="33"/>
      <c r="H40" s="35">
        <f>SUM(H5:H39)</f>
        <v>0</v>
      </c>
      <c r="I40" s="35"/>
      <c r="J40" s="35">
        <f>SUM(J5:J39)</f>
        <v>0</v>
      </c>
      <c r="K40" s="35"/>
      <c r="L40" s="35">
        <f>SUM(L5:L39)</f>
        <v>0</v>
      </c>
      <c r="M40" s="35">
        <f>SUM(M5:M39)</f>
        <v>0</v>
      </c>
    </row>
    <row r="41" spans="1:13" s="52" customFormat="1" x14ac:dyDescent="0.3">
      <c r="A41" s="26"/>
      <c r="B41" s="12"/>
      <c r="C41" s="12" t="s">
        <v>53</v>
      </c>
      <c r="D41" s="18"/>
      <c r="E41" s="12"/>
      <c r="F41" s="12"/>
      <c r="G41" s="12"/>
      <c r="H41" s="12"/>
      <c r="I41" s="12"/>
      <c r="J41" s="12"/>
      <c r="K41" s="12"/>
      <c r="L41" s="12"/>
      <c r="M41" s="21">
        <f>H40*D41</f>
        <v>0</v>
      </c>
    </row>
    <row r="42" spans="1:13" s="52" customFormat="1" x14ac:dyDescent="0.3">
      <c r="A42" s="26"/>
      <c r="B42" s="12"/>
      <c r="C42" s="19" t="s">
        <v>10</v>
      </c>
      <c r="D42" s="20"/>
      <c r="E42" s="19"/>
      <c r="F42" s="19"/>
      <c r="G42" s="19"/>
      <c r="H42" s="19"/>
      <c r="I42" s="19"/>
      <c r="J42" s="19"/>
      <c r="K42" s="19"/>
      <c r="L42" s="19"/>
      <c r="M42" s="22">
        <f>M41+M40</f>
        <v>0</v>
      </c>
    </row>
    <row r="43" spans="1:13" s="52" customFormat="1" x14ac:dyDescent="0.3">
      <c r="A43" s="26"/>
      <c r="B43" s="12"/>
      <c r="C43" s="12" t="s">
        <v>52</v>
      </c>
      <c r="D43" s="18"/>
      <c r="E43" s="12"/>
      <c r="F43" s="12"/>
      <c r="G43" s="12"/>
      <c r="H43" s="12"/>
      <c r="I43" s="12"/>
      <c r="J43" s="12"/>
      <c r="K43" s="12"/>
      <c r="L43" s="12"/>
      <c r="M43" s="21">
        <f>M42*D43</f>
        <v>0</v>
      </c>
    </row>
    <row r="44" spans="1:13" s="52" customFormat="1" x14ac:dyDescent="0.3">
      <c r="A44" s="26"/>
      <c r="B44" s="12"/>
      <c r="C44" s="19" t="s">
        <v>10</v>
      </c>
      <c r="D44" s="20"/>
      <c r="E44" s="19"/>
      <c r="F44" s="19"/>
      <c r="G44" s="19"/>
      <c r="H44" s="19"/>
      <c r="I44" s="19"/>
      <c r="J44" s="19"/>
      <c r="K44" s="19"/>
      <c r="L44" s="19"/>
      <c r="M44" s="22">
        <f>M42+M43</f>
        <v>0</v>
      </c>
    </row>
    <row r="45" spans="1:13" s="52" customFormat="1" x14ac:dyDescent="0.3">
      <c r="A45" s="26"/>
      <c r="B45" s="12"/>
      <c r="C45" s="12" t="s">
        <v>54</v>
      </c>
      <c r="D45" s="18"/>
      <c r="E45" s="12"/>
      <c r="F45" s="12"/>
      <c r="G45" s="12"/>
      <c r="H45" s="12"/>
      <c r="I45" s="12"/>
      <c r="J45" s="12"/>
      <c r="K45" s="12"/>
      <c r="L45" s="12"/>
      <c r="M45" s="21">
        <f>M44*D45</f>
        <v>0</v>
      </c>
    </row>
    <row r="46" spans="1:13" s="52" customFormat="1" x14ac:dyDescent="0.3">
      <c r="A46" s="26"/>
      <c r="B46" s="12"/>
      <c r="C46" s="19" t="s">
        <v>10</v>
      </c>
      <c r="D46" s="20"/>
      <c r="E46" s="19"/>
      <c r="F46" s="19"/>
      <c r="G46" s="19"/>
      <c r="H46" s="19"/>
      <c r="I46" s="19"/>
      <c r="J46" s="19"/>
      <c r="K46" s="19"/>
      <c r="L46" s="19"/>
      <c r="M46" s="22">
        <f>M44+M45</f>
        <v>0</v>
      </c>
    </row>
    <row r="47" spans="1:13" s="52" customFormat="1" x14ac:dyDescent="0.3">
      <c r="A47" s="26"/>
      <c r="B47" s="12"/>
      <c r="C47" s="12" t="s">
        <v>55</v>
      </c>
      <c r="D47" s="18">
        <v>0.18</v>
      </c>
      <c r="E47" s="12"/>
      <c r="F47" s="12"/>
      <c r="G47" s="12"/>
      <c r="H47" s="12"/>
      <c r="I47" s="12"/>
      <c r="J47" s="12"/>
      <c r="K47" s="12"/>
      <c r="L47" s="12"/>
      <c r="M47" s="21">
        <f>M46*D47</f>
        <v>0</v>
      </c>
    </row>
    <row r="48" spans="1:13" s="52" customFormat="1" x14ac:dyDescent="0.3">
      <c r="A48" s="26"/>
      <c r="B48" s="36"/>
      <c r="C48" s="37" t="s">
        <v>10</v>
      </c>
      <c r="D48" s="36"/>
      <c r="E48" s="37"/>
      <c r="F48" s="36"/>
      <c r="G48" s="36"/>
      <c r="H48" s="38"/>
      <c r="I48" s="39"/>
      <c r="J48" s="39"/>
      <c r="K48" s="39"/>
      <c r="L48" s="39"/>
      <c r="M48" s="40">
        <f>M47+M46</f>
        <v>0</v>
      </c>
    </row>
    <row r="50" spans="3:3" x14ac:dyDescent="0.3">
      <c r="C50" s="84"/>
    </row>
  </sheetData>
  <mergeCells count="9">
    <mergeCell ref="I2:J2"/>
    <mergeCell ref="K2:L2"/>
    <mergeCell ref="M2:M3"/>
    <mergeCell ref="B2:B3"/>
    <mergeCell ref="C2:C3"/>
    <mergeCell ref="D2:D3"/>
    <mergeCell ref="E2:E3"/>
    <mergeCell ref="F2:F3"/>
    <mergeCell ref="G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3FC27-BCD1-4DA9-BBA7-2CAE73D1A655}">
  <dimension ref="A2:P262"/>
  <sheetViews>
    <sheetView showGridLines="0" zoomScaleNormal="100" workbookViewId="0">
      <selection activeCell="C9" sqref="C9"/>
    </sheetView>
  </sheetViews>
  <sheetFormatPr defaultRowHeight="14.4" x14ac:dyDescent="0.3"/>
  <cols>
    <col min="1" max="1" width="3.6640625" style="26" customWidth="1"/>
    <col min="2" max="2" width="8.88671875" style="26"/>
    <col min="3" max="3" width="88.6640625" style="26" customWidth="1"/>
    <col min="4" max="6" width="8.88671875" style="26"/>
    <col min="7" max="7" width="11.109375" style="26" bestFit="1" customWidth="1"/>
    <col min="8" max="8" width="11" style="26" bestFit="1" customWidth="1"/>
    <col min="9" max="9" width="10.21875" style="26" bestFit="1" customWidth="1"/>
    <col min="10" max="11" width="10" style="26" bestFit="1" customWidth="1"/>
    <col min="12" max="12" width="11.44140625" style="26" bestFit="1" customWidth="1"/>
    <col min="13" max="13" width="16" style="26" bestFit="1" customWidth="1"/>
    <col min="14" max="16384" width="8.88671875" style="26"/>
  </cols>
  <sheetData>
    <row r="2" spans="2:16" s="1" customFormat="1" ht="43.2" x14ac:dyDescent="0.3">
      <c r="B2" s="107" t="s">
        <v>0</v>
      </c>
      <c r="C2" s="109" t="s">
        <v>1</v>
      </c>
      <c r="D2" s="109" t="s">
        <v>2</v>
      </c>
      <c r="E2" s="42" t="s">
        <v>4</v>
      </c>
      <c r="F2" s="41" t="s">
        <v>5</v>
      </c>
      <c r="G2" s="41"/>
      <c r="H2" s="41" t="s">
        <v>6</v>
      </c>
      <c r="I2" s="41"/>
      <c r="J2" s="41" t="s">
        <v>7</v>
      </c>
      <c r="K2" s="41"/>
      <c r="L2" s="105" t="s">
        <v>8</v>
      </c>
    </row>
    <row r="3" spans="2:16" s="1" customFormat="1" ht="28.8" x14ac:dyDescent="0.3">
      <c r="B3" s="108"/>
      <c r="C3" s="110"/>
      <c r="D3" s="110"/>
      <c r="E3" s="43"/>
      <c r="F3" s="2" t="s">
        <v>9</v>
      </c>
      <c r="G3" s="2" t="s">
        <v>10</v>
      </c>
      <c r="H3" s="2" t="s">
        <v>9</v>
      </c>
      <c r="I3" s="2" t="s">
        <v>10</v>
      </c>
      <c r="J3" s="2" t="s">
        <v>9</v>
      </c>
      <c r="K3" s="2" t="s">
        <v>10</v>
      </c>
      <c r="L3" s="106"/>
    </row>
    <row r="4" spans="2:16" s="3" customFormat="1" x14ac:dyDescent="0.3">
      <c r="B4" s="4">
        <v>1</v>
      </c>
      <c r="C4" s="4">
        <v>2</v>
      </c>
      <c r="D4" s="4">
        <v>3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4">
        <v>10</v>
      </c>
      <c r="K4" s="4">
        <v>11</v>
      </c>
      <c r="L4" s="4">
        <v>12</v>
      </c>
    </row>
    <row r="5" spans="2:16" s="3" customFormat="1" x14ac:dyDescent="0.3">
      <c r="B5" s="5"/>
      <c r="C5" s="23"/>
      <c r="D5" s="6"/>
      <c r="E5" s="7"/>
      <c r="F5" s="8"/>
      <c r="G5" s="9"/>
      <c r="H5" s="10"/>
      <c r="I5" s="9"/>
      <c r="J5" s="10"/>
      <c r="K5" s="9"/>
      <c r="L5" s="11"/>
    </row>
    <row r="6" spans="2:16" s="56" customFormat="1" x14ac:dyDescent="0.3">
      <c r="B6" s="5">
        <v>1</v>
      </c>
      <c r="C6" s="23" t="s">
        <v>105</v>
      </c>
      <c r="D6" s="6" t="s">
        <v>11</v>
      </c>
      <c r="E6" s="7">
        <f>1.47+1.47+0.66+2.16+0.51+1.26+2.35+2.52+4.4+3.04+2.44+6.24+6.09+3.17+2.84+3.34+2.79+5.1+5.82+4.25+5.04</f>
        <v>66.960000000000008</v>
      </c>
      <c r="F6" s="23"/>
      <c r="G6" s="23"/>
      <c r="H6" s="23"/>
      <c r="I6" s="23"/>
      <c r="J6" s="23"/>
      <c r="K6" s="23"/>
      <c r="L6" s="23"/>
      <c r="M6" s="55"/>
      <c r="N6" s="55"/>
      <c r="O6" s="55"/>
    </row>
    <row r="7" spans="2:16" s="56" customFormat="1" x14ac:dyDescent="0.3">
      <c r="B7" s="12"/>
      <c r="C7" s="13" t="s">
        <v>6</v>
      </c>
      <c r="D7" s="14" t="s">
        <v>11</v>
      </c>
      <c r="E7" s="15">
        <f>E6</f>
        <v>66.960000000000008</v>
      </c>
      <c r="F7" s="16"/>
      <c r="G7" s="16"/>
      <c r="H7" s="16"/>
      <c r="I7" s="16">
        <f>H7*E7</f>
        <v>0</v>
      </c>
      <c r="J7" s="16"/>
      <c r="K7" s="16"/>
      <c r="L7" s="16">
        <f>G7+I7+K7</f>
        <v>0</v>
      </c>
      <c r="M7" s="55"/>
      <c r="N7" s="55"/>
      <c r="O7" s="55"/>
    </row>
    <row r="8" spans="2:16" s="56" customFormat="1" x14ac:dyDescent="0.3">
      <c r="B8" s="12"/>
      <c r="C8" s="13" t="s">
        <v>106</v>
      </c>
      <c r="D8" s="14" t="s">
        <v>11</v>
      </c>
      <c r="E8" s="15">
        <f>E6</f>
        <v>66.960000000000008</v>
      </c>
      <c r="F8" s="16"/>
      <c r="G8" s="16"/>
      <c r="H8" s="16"/>
      <c r="I8" s="16"/>
      <c r="J8" s="16"/>
      <c r="K8" s="16">
        <f>E8*J8</f>
        <v>0</v>
      </c>
      <c r="L8" s="16">
        <f>G8+I8+K8</f>
        <v>0</v>
      </c>
      <c r="M8" s="55"/>
      <c r="N8" s="55"/>
      <c r="O8" s="55"/>
    </row>
    <row r="9" spans="2:16" s="56" customFormat="1" x14ac:dyDescent="0.3">
      <c r="B9" s="12"/>
      <c r="C9" s="13" t="s">
        <v>107</v>
      </c>
      <c r="D9" s="14" t="s">
        <v>11</v>
      </c>
      <c r="E9" s="15">
        <f>E6*1.15</f>
        <v>77.004000000000005</v>
      </c>
      <c r="F9" s="17"/>
      <c r="G9" s="16">
        <f>E9*F9</f>
        <v>0</v>
      </c>
      <c r="H9" s="16"/>
      <c r="I9" s="16"/>
      <c r="J9" s="16"/>
      <c r="K9" s="16"/>
      <c r="L9" s="16">
        <f>G9+I9+K9</f>
        <v>0</v>
      </c>
      <c r="M9" s="55"/>
      <c r="N9" s="55"/>
      <c r="O9" s="55"/>
    </row>
    <row r="10" spans="2:16" s="57" customFormat="1" x14ac:dyDescent="0.3">
      <c r="B10" s="5">
        <f>MAX($B$5:B9)+1</f>
        <v>2</v>
      </c>
      <c r="C10" s="23" t="s">
        <v>108</v>
      </c>
      <c r="D10" s="6" t="s">
        <v>11</v>
      </c>
      <c r="E10" s="7">
        <f>0.56+0.56+0.25+0.96+0.2+0.49+1.04+1.14+2.01+1.39+1.12+2.86+2.76+1.44+1.29+1.56+1.3+2.39+2.74+1.95+2.34</f>
        <v>30.349999999999994</v>
      </c>
      <c r="F10" s="23"/>
      <c r="G10" s="23"/>
      <c r="H10" s="23"/>
      <c r="I10" s="23"/>
      <c r="J10" s="23"/>
      <c r="K10" s="23"/>
      <c r="L10" s="23"/>
      <c r="M10" s="55"/>
      <c r="N10" s="55"/>
      <c r="O10" s="55"/>
      <c r="P10" s="56"/>
    </row>
    <row r="11" spans="2:16" s="57" customFormat="1" x14ac:dyDescent="0.3">
      <c r="B11" s="12"/>
      <c r="C11" s="13" t="s">
        <v>6</v>
      </c>
      <c r="D11" s="14" t="s">
        <v>11</v>
      </c>
      <c r="E11" s="15">
        <f>E10</f>
        <v>30.349999999999994</v>
      </c>
      <c r="F11" s="16"/>
      <c r="G11" s="16"/>
      <c r="H11" s="16"/>
      <c r="I11" s="16">
        <f>E11*H11</f>
        <v>0</v>
      </c>
      <c r="J11" s="16"/>
      <c r="K11" s="16"/>
      <c r="L11" s="16">
        <f>G11+I11+K11</f>
        <v>0</v>
      </c>
      <c r="M11" s="55"/>
      <c r="N11" s="55"/>
      <c r="O11" s="55"/>
      <c r="P11" s="56"/>
    </row>
    <row r="12" spans="2:16" s="57" customFormat="1" x14ac:dyDescent="0.3">
      <c r="B12" s="12"/>
      <c r="C12" s="13" t="s">
        <v>47</v>
      </c>
      <c r="D12" s="14" t="s">
        <v>11</v>
      </c>
      <c r="E12" s="15">
        <f>E10*1.02</f>
        <v>30.956999999999994</v>
      </c>
      <c r="F12" s="16"/>
      <c r="G12" s="16"/>
      <c r="H12" s="16"/>
      <c r="I12" s="16"/>
      <c r="J12" s="16"/>
      <c r="K12" s="16">
        <f>E12*J12</f>
        <v>0</v>
      </c>
      <c r="L12" s="16">
        <f>G12+I12+K12</f>
        <v>0</v>
      </c>
      <c r="M12" s="55"/>
      <c r="N12" s="55"/>
      <c r="O12" s="55"/>
      <c r="P12" s="56"/>
    </row>
    <row r="13" spans="2:16" s="57" customFormat="1" x14ac:dyDescent="0.3">
      <c r="B13" s="12"/>
      <c r="C13" s="13" t="s">
        <v>135</v>
      </c>
      <c r="D13" s="14" t="s">
        <v>11</v>
      </c>
      <c r="E13" s="15">
        <f>E10*1.02</f>
        <v>30.956999999999994</v>
      </c>
      <c r="F13" s="17"/>
      <c r="G13" s="16">
        <f>E13*F13</f>
        <v>0</v>
      </c>
      <c r="H13" s="16"/>
      <c r="I13" s="16"/>
      <c r="J13" s="16"/>
      <c r="K13" s="16"/>
      <c r="L13" s="16">
        <f>G13+I13+K13</f>
        <v>0</v>
      </c>
      <c r="M13" s="55"/>
      <c r="N13" s="55"/>
      <c r="O13" s="55"/>
      <c r="P13" s="56"/>
    </row>
    <row r="14" spans="2:16" s="56" customFormat="1" x14ac:dyDescent="0.3">
      <c r="B14" s="5">
        <f>MAX($B$5:B13)+1</f>
        <v>3</v>
      </c>
      <c r="C14" s="23" t="s">
        <v>109</v>
      </c>
      <c r="D14" s="6" t="s">
        <v>57</v>
      </c>
      <c r="E14" s="7">
        <f>E10/0.1</f>
        <v>303.49999999999994</v>
      </c>
      <c r="F14" s="23"/>
      <c r="G14" s="23"/>
      <c r="H14" s="23"/>
      <c r="I14" s="23"/>
      <c r="J14" s="23"/>
      <c r="K14" s="23"/>
      <c r="L14" s="23"/>
      <c r="M14" s="55"/>
      <c r="N14" s="55"/>
      <c r="O14" s="55"/>
    </row>
    <row r="15" spans="2:16" s="56" customFormat="1" x14ac:dyDescent="0.3">
      <c r="B15" s="12"/>
      <c r="C15" s="13" t="s">
        <v>6</v>
      </c>
      <c r="D15" s="14" t="s">
        <v>57</v>
      </c>
      <c r="E15" s="15">
        <f>E14</f>
        <v>303.49999999999994</v>
      </c>
      <c r="F15" s="16"/>
      <c r="G15" s="16"/>
      <c r="H15" s="16"/>
      <c r="I15" s="16">
        <f>E15*H15</f>
        <v>0</v>
      </c>
      <c r="J15" s="16"/>
      <c r="K15" s="16"/>
      <c r="L15" s="16">
        <f>G15+I15+K15</f>
        <v>0</v>
      </c>
      <c r="M15" s="55"/>
      <c r="N15" s="55"/>
      <c r="O15" s="55"/>
    </row>
    <row r="16" spans="2:16" s="56" customFormat="1" x14ac:dyDescent="0.3">
      <c r="B16" s="12"/>
      <c r="C16" s="13" t="s">
        <v>110</v>
      </c>
      <c r="D16" s="14" t="s">
        <v>48</v>
      </c>
      <c r="E16" s="15">
        <f>E14*0.8</f>
        <v>242.79999999999995</v>
      </c>
      <c r="F16" s="16"/>
      <c r="G16" s="16">
        <f>E16*F16</f>
        <v>0</v>
      </c>
      <c r="H16" s="16"/>
      <c r="I16" s="16"/>
      <c r="J16" s="16"/>
      <c r="K16" s="16"/>
      <c r="L16" s="16">
        <f>G16+I16+K16</f>
        <v>0</v>
      </c>
      <c r="M16" s="55"/>
      <c r="N16" s="55"/>
      <c r="O16" s="55"/>
    </row>
    <row r="17" spans="2:16" s="56" customFormat="1" x14ac:dyDescent="0.3">
      <c r="B17" s="12"/>
      <c r="C17" s="13" t="s">
        <v>111</v>
      </c>
      <c r="D17" s="14" t="s">
        <v>57</v>
      </c>
      <c r="E17" s="15">
        <f>E14*1.24</f>
        <v>376.33999999999992</v>
      </c>
      <c r="F17" s="16"/>
      <c r="G17" s="16">
        <f>E17*F17</f>
        <v>0</v>
      </c>
      <c r="H17" s="16"/>
      <c r="I17" s="16"/>
      <c r="J17" s="16"/>
      <c r="K17" s="16"/>
      <c r="L17" s="16">
        <f>G17+I17+K17</f>
        <v>0</v>
      </c>
      <c r="M17" s="55"/>
      <c r="N17" s="55"/>
      <c r="O17" s="55"/>
    </row>
    <row r="18" spans="2:16" s="56" customFormat="1" x14ac:dyDescent="0.3">
      <c r="B18" s="12"/>
      <c r="C18" s="13" t="s">
        <v>112</v>
      </c>
      <c r="D18" s="14" t="s">
        <v>48</v>
      </c>
      <c r="E18" s="15">
        <f>E14*0.15</f>
        <v>45.524999999999991</v>
      </c>
      <c r="F18" s="16"/>
      <c r="G18" s="16">
        <f>E18*F18</f>
        <v>0</v>
      </c>
      <c r="H18" s="16"/>
      <c r="I18" s="16"/>
      <c r="J18" s="16"/>
      <c r="K18" s="16"/>
      <c r="L18" s="16">
        <f>G18+I18+K18</f>
        <v>0</v>
      </c>
      <c r="M18" s="55"/>
      <c r="N18" s="55"/>
      <c r="O18" s="55"/>
    </row>
    <row r="19" spans="2:16" s="56" customFormat="1" x14ac:dyDescent="0.3">
      <c r="B19" s="5">
        <f>MAX($B$5:B18)+1</f>
        <v>4</v>
      </c>
      <c r="C19" s="23" t="s">
        <v>211</v>
      </c>
      <c r="D19" s="6" t="s">
        <v>11</v>
      </c>
      <c r="E19" s="86">
        <v>2.33</v>
      </c>
      <c r="F19" s="23"/>
      <c r="G19" s="23"/>
      <c r="H19" s="23"/>
      <c r="I19" s="23"/>
      <c r="J19" s="23"/>
      <c r="K19" s="23"/>
      <c r="L19" s="23"/>
      <c r="M19" s="58"/>
      <c r="N19" s="58"/>
      <c r="O19" s="58"/>
    </row>
    <row r="20" spans="2:16" s="56" customFormat="1" x14ac:dyDescent="0.3">
      <c r="B20" s="12"/>
      <c r="C20" s="13" t="s">
        <v>6</v>
      </c>
      <c r="D20" s="14" t="s">
        <v>11</v>
      </c>
      <c r="E20" s="15">
        <f>E19</f>
        <v>2.33</v>
      </c>
      <c r="F20" s="16"/>
      <c r="G20" s="16"/>
      <c r="H20" s="16"/>
      <c r="I20" s="16">
        <f>E20*H20</f>
        <v>0</v>
      </c>
      <c r="J20" s="16"/>
      <c r="K20" s="16"/>
      <c r="L20" s="16">
        <f>G20+I20+K20</f>
        <v>0</v>
      </c>
      <c r="M20" s="58"/>
      <c r="N20" s="58"/>
      <c r="O20" s="58"/>
    </row>
    <row r="21" spans="2:16" s="56" customFormat="1" x14ac:dyDescent="0.3">
      <c r="B21" s="12"/>
      <c r="C21" s="13" t="s">
        <v>47</v>
      </c>
      <c r="D21" s="14" t="s">
        <v>11</v>
      </c>
      <c r="E21" s="15">
        <f>E19*1.015</f>
        <v>2.3649499999999999</v>
      </c>
      <c r="F21" s="16"/>
      <c r="G21" s="16"/>
      <c r="H21" s="16"/>
      <c r="I21" s="16"/>
      <c r="J21" s="16"/>
      <c r="K21" s="16">
        <f>E21*J21</f>
        <v>0</v>
      </c>
      <c r="L21" s="16">
        <f t="shared" ref="L21:L26" si="0">G21+I21+K21</f>
        <v>0</v>
      </c>
      <c r="M21" s="58"/>
      <c r="N21" s="58"/>
      <c r="O21" s="58"/>
    </row>
    <row r="22" spans="2:16" s="57" customFormat="1" x14ac:dyDescent="0.3">
      <c r="B22" s="12"/>
      <c r="C22" s="13" t="s">
        <v>113</v>
      </c>
      <c r="D22" s="14" t="s">
        <v>33</v>
      </c>
      <c r="E22" s="15">
        <f>E19</f>
        <v>2.33</v>
      </c>
      <c r="F22" s="17"/>
      <c r="G22" s="16"/>
      <c r="H22" s="16"/>
      <c r="I22" s="16"/>
      <c r="J22" s="16"/>
      <c r="K22" s="16">
        <f>E22*J22</f>
        <v>0</v>
      </c>
      <c r="L22" s="16">
        <f t="shared" si="0"/>
        <v>0</v>
      </c>
      <c r="M22" s="58"/>
      <c r="N22" s="58"/>
      <c r="O22" s="58"/>
      <c r="P22" s="56"/>
    </row>
    <row r="23" spans="2:16" s="56" customFormat="1" x14ac:dyDescent="0.3">
      <c r="B23" s="12"/>
      <c r="C23" s="13" t="s">
        <v>136</v>
      </c>
      <c r="D23" s="14" t="s">
        <v>11</v>
      </c>
      <c r="E23" s="15">
        <f>E19*1.015</f>
        <v>2.3649499999999999</v>
      </c>
      <c r="F23" s="17"/>
      <c r="G23" s="16">
        <f t="shared" ref="G23:G27" si="1">E23*F23</f>
        <v>0</v>
      </c>
      <c r="H23" s="16"/>
      <c r="I23" s="16"/>
      <c r="J23" s="16"/>
      <c r="K23" s="16"/>
      <c r="L23" s="16">
        <f t="shared" si="0"/>
        <v>0</v>
      </c>
      <c r="M23" s="58"/>
      <c r="N23" s="58"/>
      <c r="O23" s="58"/>
    </row>
    <row r="24" spans="2:16" s="56" customFormat="1" x14ac:dyDescent="0.3">
      <c r="B24" s="12"/>
      <c r="C24" s="13" t="s">
        <v>114</v>
      </c>
      <c r="D24" s="14" t="s">
        <v>11</v>
      </c>
      <c r="E24" s="15">
        <f>E19</f>
        <v>2.33</v>
      </c>
      <c r="F24" s="17"/>
      <c r="G24" s="16">
        <f t="shared" si="1"/>
        <v>0</v>
      </c>
      <c r="H24" s="16"/>
      <c r="I24" s="16"/>
      <c r="J24" s="16"/>
      <c r="K24" s="16"/>
      <c r="L24" s="16">
        <f t="shared" si="0"/>
        <v>0</v>
      </c>
      <c r="M24" s="58"/>
      <c r="N24" s="58"/>
      <c r="O24" s="58"/>
    </row>
    <row r="25" spans="2:16" s="56" customFormat="1" x14ac:dyDescent="0.3">
      <c r="B25" s="12"/>
      <c r="C25" s="13" t="s">
        <v>115</v>
      </c>
      <c r="D25" s="14" t="s">
        <v>36</v>
      </c>
      <c r="E25" s="15">
        <f>SUM(E26:E26)</f>
        <v>0.113313</v>
      </c>
      <c r="F25" s="17"/>
      <c r="G25" s="16">
        <f t="shared" si="1"/>
        <v>0</v>
      </c>
      <c r="H25" s="16"/>
      <c r="I25" s="16"/>
      <c r="J25" s="16"/>
      <c r="K25" s="16"/>
      <c r="L25" s="16">
        <f t="shared" si="0"/>
        <v>0</v>
      </c>
      <c r="M25" s="58"/>
      <c r="N25" s="58"/>
      <c r="O25" s="58"/>
    </row>
    <row r="26" spans="2:16" s="57" customFormat="1" x14ac:dyDescent="0.3">
      <c r="B26" s="12"/>
      <c r="C26" s="13" t="s">
        <v>116</v>
      </c>
      <c r="D26" s="14" t="s">
        <v>36</v>
      </c>
      <c r="E26" s="15">
        <f>(42.7+56.9+6.3)/1000*1.07</f>
        <v>0.113313</v>
      </c>
      <c r="F26" s="17"/>
      <c r="G26" s="16">
        <f t="shared" si="1"/>
        <v>0</v>
      </c>
      <c r="H26" s="16"/>
      <c r="I26" s="16"/>
      <c r="J26" s="16"/>
      <c r="K26" s="16"/>
      <c r="L26" s="16">
        <f t="shared" si="0"/>
        <v>0</v>
      </c>
      <c r="M26" s="58"/>
      <c r="N26" s="58"/>
      <c r="O26" s="58"/>
      <c r="P26" s="56"/>
    </row>
    <row r="27" spans="2:16" s="56" customFormat="1" x14ac:dyDescent="0.3">
      <c r="B27" s="12"/>
      <c r="C27" s="13" t="s">
        <v>120</v>
      </c>
      <c r="D27" s="14" t="s">
        <v>33</v>
      </c>
      <c r="E27" s="15">
        <f>E19</f>
        <v>2.33</v>
      </c>
      <c r="F27" s="17"/>
      <c r="G27" s="16">
        <f t="shared" si="1"/>
        <v>0</v>
      </c>
      <c r="H27" s="16"/>
      <c r="I27" s="16"/>
      <c r="J27" s="16"/>
      <c r="K27" s="16"/>
      <c r="L27" s="16">
        <f t="shared" ref="L27" si="2">G27+I27+K27</f>
        <v>0</v>
      </c>
      <c r="M27" s="58"/>
      <c r="N27" s="58"/>
      <c r="O27" s="58"/>
    </row>
    <row r="28" spans="2:16" s="56" customFormat="1" x14ac:dyDescent="0.3">
      <c r="B28" s="5">
        <f>MAX($B$5:B27)+1</f>
        <v>5</v>
      </c>
      <c r="C28" s="23" t="s">
        <v>212</v>
      </c>
      <c r="D28" s="6" t="s">
        <v>11</v>
      </c>
      <c r="E28" s="86">
        <v>2.33</v>
      </c>
      <c r="F28" s="23"/>
      <c r="G28" s="23"/>
      <c r="H28" s="23"/>
      <c r="I28" s="23"/>
      <c r="J28" s="23"/>
      <c r="K28" s="23"/>
      <c r="L28" s="23"/>
      <c r="M28" s="58"/>
      <c r="N28" s="58"/>
      <c r="O28" s="58"/>
    </row>
    <row r="29" spans="2:16" s="56" customFormat="1" x14ac:dyDescent="0.3">
      <c r="B29" s="12"/>
      <c r="C29" s="13" t="s">
        <v>6</v>
      </c>
      <c r="D29" s="14" t="s">
        <v>11</v>
      </c>
      <c r="E29" s="15">
        <f>E28</f>
        <v>2.33</v>
      </c>
      <c r="F29" s="16"/>
      <c r="G29" s="16"/>
      <c r="H29" s="16"/>
      <c r="I29" s="16">
        <f>E29*H29</f>
        <v>0</v>
      </c>
      <c r="J29" s="16"/>
      <c r="K29" s="16"/>
      <c r="L29" s="16">
        <f>G29+I29+K29</f>
        <v>0</v>
      </c>
      <c r="M29" s="58"/>
      <c r="N29" s="58"/>
      <c r="O29" s="58"/>
    </row>
    <row r="30" spans="2:16" s="56" customFormat="1" x14ac:dyDescent="0.3">
      <c r="B30" s="12"/>
      <c r="C30" s="13" t="s">
        <v>47</v>
      </c>
      <c r="D30" s="14" t="s">
        <v>11</v>
      </c>
      <c r="E30" s="15">
        <f>E28*1.015</f>
        <v>2.3649499999999999</v>
      </c>
      <c r="F30" s="16"/>
      <c r="G30" s="16"/>
      <c r="H30" s="16"/>
      <c r="I30" s="16"/>
      <c r="J30" s="16"/>
      <c r="K30" s="16">
        <f>E30*J30</f>
        <v>0</v>
      </c>
      <c r="L30" s="16">
        <f t="shared" ref="L30:L35" si="3">G30+I30+K30</f>
        <v>0</v>
      </c>
      <c r="M30" s="58"/>
      <c r="N30" s="58"/>
      <c r="O30" s="58"/>
    </row>
    <row r="31" spans="2:16" s="57" customFormat="1" x14ac:dyDescent="0.3">
      <c r="B31" s="12"/>
      <c r="C31" s="13" t="s">
        <v>113</v>
      </c>
      <c r="D31" s="14" t="s">
        <v>33</v>
      </c>
      <c r="E31" s="15">
        <f>E28</f>
        <v>2.33</v>
      </c>
      <c r="F31" s="17"/>
      <c r="G31" s="16"/>
      <c r="H31" s="16"/>
      <c r="I31" s="16"/>
      <c r="J31" s="16"/>
      <c r="K31" s="16">
        <f>E31*J31</f>
        <v>0</v>
      </c>
      <c r="L31" s="16">
        <f t="shared" si="3"/>
        <v>0</v>
      </c>
      <c r="M31" s="58"/>
      <c r="N31" s="58"/>
      <c r="O31" s="58"/>
      <c r="P31" s="56"/>
    </row>
    <row r="32" spans="2:16" s="56" customFormat="1" x14ac:dyDescent="0.3">
      <c r="B32" s="12"/>
      <c r="C32" s="13" t="s">
        <v>136</v>
      </c>
      <c r="D32" s="14" t="s">
        <v>11</v>
      </c>
      <c r="E32" s="15">
        <f>E28*1.015</f>
        <v>2.3649499999999999</v>
      </c>
      <c r="F32" s="17"/>
      <c r="G32" s="16">
        <f t="shared" ref="G32:G36" si="4">E32*F32</f>
        <v>0</v>
      </c>
      <c r="H32" s="16"/>
      <c r="I32" s="16"/>
      <c r="J32" s="16"/>
      <c r="K32" s="16"/>
      <c r="L32" s="16">
        <f t="shared" si="3"/>
        <v>0</v>
      </c>
      <c r="M32" s="58"/>
      <c r="N32" s="58"/>
      <c r="O32" s="58"/>
    </row>
    <row r="33" spans="2:16" s="56" customFormat="1" x14ac:dyDescent="0.3">
      <c r="B33" s="12"/>
      <c r="C33" s="13" t="s">
        <v>114</v>
      </c>
      <c r="D33" s="14" t="s">
        <v>11</v>
      </c>
      <c r="E33" s="15">
        <f>E28</f>
        <v>2.33</v>
      </c>
      <c r="F33" s="17"/>
      <c r="G33" s="16">
        <f t="shared" si="4"/>
        <v>0</v>
      </c>
      <c r="H33" s="16"/>
      <c r="I33" s="16"/>
      <c r="J33" s="16"/>
      <c r="K33" s="16"/>
      <c r="L33" s="16">
        <f t="shared" si="3"/>
        <v>0</v>
      </c>
      <c r="M33" s="58"/>
      <c r="N33" s="58"/>
      <c r="O33" s="58"/>
    </row>
    <row r="34" spans="2:16" s="56" customFormat="1" x14ac:dyDescent="0.3">
      <c r="B34" s="12"/>
      <c r="C34" s="13" t="s">
        <v>115</v>
      </c>
      <c r="D34" s="14" t="s">
        <v>36</v>
      </c>
      <c r="E34" s="15">
        <f>SUM(E35:E35)</f>
        <v>0.113313</v>
      </c>
      <c r="F34" s="17"/>
      <c r="G34" s="16">
        <f t="shared" si="4"/>
        <v>0</v>
      </c>
      <c r="H34" s="16"/>
      <c r="I34" s="16"/>
      <c r="J34" s="16"/>
      <c r="K34" s="16"/>
      <c r="L34" s="16">
        <f t="shared" si="3"/>
        <v>0</v>
      </c>
      <c r="M34" s="58"/>
      <c r="N34" s="58"/>
      <c r="O34" s="58"/>
    </row>
    <row r="35" spans="2:16" s="57" customFormat="1" x14ac:dyDescent="0.3">
      <c r="B35" s="12"/>
      <c r="C35" s="13" t="s">
        <v>116</v>
      </c>
      <c r="D35" s="14" t="s">
        <v>36</v>
      </c>
      <c r="E35" s="15">
        <f>(42.7+56.9+6.3)/1000*1.07</f>
        <v>0.113313</v>
      </c>
      <c r="F35" s="17"/>
      <c r="G35" s="16">
        <f t="shared" si="4"/>
        <v>0</v>
      </c>
      <c r="H35" s="16"/>
      <c r="I35" s="16"/>
      <c r="J35" s="16"/>
      <c r="K35" s="16"/>
      <c r="L35" s="16">
        <f t="shared" si="3"/>
        <v>0</v>
      </c>
      <c r="M35" s="58"/>
      <c r="N35" s="58"/>
      <c r="O35" s="58"/>
      <c r="P35" s="56"/>
    </row>
    <row r="36" spans="2:16" s="56" customFormat="1" x14ac:dyDescent="0.3">
      <c r="B36" s="12"/>
      <c r="C36" s="13" t="s">
        <v>120</v>
      </c>
      <c r="D36" s="14" t="s">
        <v>33</v>
      </c>
      <c r="E36" s="15">
        <f>E28</f>
        <v>2.33</v>
      </c>
      <c r="F36" s="17"/>
      <c r="G36" s="16">
        <f t="shared" si="4"/>
        <v>0</v>
      </c>
      <c r="H36" s="16"/>
      <c r="I36" s="16"/>
      <c r="J36" s="16"/>
      <c r="K36" s="16"/>
      <c r="L36" s="16">
        <f t="shared" ref="L36" si="5">G36+I36+K36</f>
        <v>0</v>
      </c>
      <c r="M36" s="58"/>
      <c r="N36" s="58"/>
      <c r="O36" s="58"/>
    </row>
    <row r="37" spans="2:16" s="56" customFormat="1" x14ac:dyDescent="0.3">
      <c r="B37" s="5">
        <f>MAX($B$5:B36)+1</f>
        <v>6</v>
      </c>
      <c r="C37" s="23" t="s">
        <v>213</v>
      </c>
      <c r="D37" s="6" t="s">
        <v>11</v>
      </c>
      <c r="E37" s="86">
        <v>1.42</v>
      </c>
      <c r="F37" s="23"/>
      <c r="G37" s="23"/>
      <c r="H37" s="23"/>
      <c r="I37" s="23"/>
      <c r="J37" s="23"/>
      <c r="K37" s="23"/>
      <c r="L37" s="23"/>
      <c r="M37" s="58"/>
      <c r="N37" s="58"/>
      <c r="O37" s="58"/>
    </row>
    <row r="38" spans="2:16" s="56" customFormat="1" x14ac:dyDescent="0.3">
      <c r="B38" s="12"/>
      <c r="C38" s="13" t="s">
        <v>6</v>
      </c>
      <c r="D38" s="14" t="s">
        <v>11</v>
      </c>
      <c r="E38" s="15">
        <f>E37</f>
        <v>1.42</v>
      </c>
      <c r="F38" s="16"/>
      <c r="G38" s="16"/>
      <c r="H38" s="16"/>
      <c r="I38" s="16">
        <f>E38*H38</f>
        <v>0</v>
      </c>
      <c r="J38" s="16"/>
      <c r="K38" s="16"/>
      <c r="L38" s="16">
        <f>G38+I38+K38</f>
        <v>0</v>
      </c>
      <c r="M38" s="58"/>
      <c r="N38" s="58"/>
      <c r="O38" s="58"/>
    </row>
    <row r="39" spans="2:16" s="56" customFormat="1" x14ac:dyDescent="0.3">
      <c r="B39" s="12"/>
      <c r="C39" s="13" t="s">
        <v>47</v>
      </c>
      <c r="D39" s="14" t="s">
        <v>11</v>
      </c>
      <c r="E39" s="15">
        <f>E37*1.015</f>
        <v>1.4412999999999998</v>
      </c>
      <c r="F39" s="17"/>
      <c r="G39" s="16"/>
      <c r="H39" s="16"/>
      <c r="I39" s="16"/>
      <c r="J39" s="16"/>
      <c r="K39" s="16">
        <f>E39*J39</f>
        <v>0</v>
      </c>
      <c r="L39" s="16">
        <f t="shared" ref="L39:L45" si="6">G39+I39+K39</f>
        <v>0</v>
      </c>
      <c r="M39" s="58"/>
      <c r="N39" s="58"/>
      <c r="O39" s="58"/>
    </row>
    <row r="40" spans="2:16" s="57" customFormat="1" x14ac:dyDescent="0.3">
      <c r="B40" s="12"/>
      <c r="C40" s="13" t="s">
        <v>113</v>
      </c>
      <c r="D40" s="14" t="s">
        <v>33</v>
      </c>
      <c r="E40" s="15">
        <f>E37</f>
        <v>1.42</v>
      </c>
      <c r="F40" s="17"/>
      <c r="G40" s="16"/>
      <c r="H40" s="16"/>
      <c r="I40" s="16"/>
      <c r="J40" s="16"/>
      <c r="K40" s="16">
        <f>E40*J40</f>
        <v>0</v>
      </c>
      <c r="L40" s="16">
        <f t="shared" si="6"/>
        <v>0</v>
      </c>
      <c r="M40" s="58"/>
      <c r="N40" s="58"/>
      <c r="O40" s="58"/>
      <c r="P40" s="56"/>
    </row>
    <row r="41" spans="2:16" s="56" customFormat="1" x14ac:dyDescent="0.3">
      <c r="B41" s="12"/>
      <c r="C41" s="13" t="s">
        <v>136</v>
      </c>
      <c r="D41" s="14" t="s">
        <v>11</v>
      </c>
      <c r="E41" s="15">
        <f>E37*1.015</f>
        <v>1.4412999999999998</v>
      </c>
      <c r="F41" s="17"/>
      <c r="G41" s="16">
        <f t="shared" ref="G41:G46" si="7">E41*F41</f>
        <v>0</v>
      </c>
      <c r="H41" s="16"/>
      <c r="I41" s="16"/>
      <c r="J41" s="16"/>
      <c r="K41" s="16"/>
      <c r="L41" s="16">
        <f t="shared" si="6"/>
        <v>0</v>
      </c>
      <c r="M41" s="58"/>
      <c r="N41" s="58"/>
      <c r="O41" s="58"/>
    </row>
    <row r="42" spans="2:16" s="56" customFormat="1" x14ac:dyDescent="0.3">
      <c r="B42" s="12"/>
      <c r="C42" s="13" t="s">
        <v>114</v>
      </c>
      <c r="D42" s="14" t="s">
        <v>11</v>
      </c>
      <c r="E42" s="15">
        <f>E37</f>
        <v>1.42</v>
      </c>
      <c r="F42" s="17"/>
      <c r="G42" s="16">
        <f t="shared" si="7"/>
        <v>0</v>
      </c>
      <c r="H42" s="16"/>
      <c r="I42" s="16"/>
      <c r="J42" s="16"/>
      <c r="K42" s="16"/>
      <c r="L42" s="16">
        <f t="shared" si="6"/>
        <v>0</v>
      </c>
      <c r="M42" s="58"/>
      <c r="N42" s="58"/>
      <c r="O42" s="58"/>
    </row>
    <row r="43" spans="2:16" s="56" customFormat="1" x14ac:dyDescent="0.3">
      <c r="B43" s="12"/>
      <c r="C43" s="13" t="s">
        <v>115</v>
      </c>
      <c r="D43" s="14" t="s">
        <v>36</v>
      </c>
      <c r="E43" s="15">
        <f>SUM(E44:E45)</f>
        <v>8.3031999999999995E-2</v>
      </c>
      <c r="F43" s="17"/>
      <c r="G43" s="16">
        <f t="shared" si="7"/>
        <v>0</v>
      </c>
      <c r="H43" s="16"/>
      <c r="I43" s="16"/>
      <c r="J43" s="16"/>
      <c r="K43" s="16"/>
      <c r="L43" s="16">
        <f t="shared" si="6"/>
        <v>0</v>
      </c>
      <c r="M43" s="58"/>
      <c r="N43" s="58"/>
      <c r="O43" s="58"/>
    </row>
    <row r="44" spans="2:16" s="57" customFormat="1" x14ac:dyDescent="0.3">
      <c r="B44" s="12"/>
      <c r="C44" s="13" t="s">
        <v>116</v>
      </c>
      <c r="D44" s="14" t="s">
        <v>36</v>
      </c>
      <c r="E44" s="15">
        <f>(28.4+2.7)/1000*1.07</f>
        <v>3.3277000000000001E-2</v>
      </c>
      <c r="F44" s="17"/>
      <c r="G44" s="16">
        <f t="shared" si="7"/>
        <v>0</v>
      </c>
      <c r="H44" s="16"/>
      <c r="I44" s="16"/>
      <c r="J44" s="16"/>
      <c r="K44" s="16"/>
      <c r="L44" s="16">
        <f t="shared" si="6"/>
        <v>0</v>
      </c>
      <c r="M44" s="58"/>
      <c r="N44" s="58"/>
      <c r="O44" s="58"/>
      <c r="P44" s="56"/>
    </row>
    <row r="45" spans="2:16" s="56" customFormat="1" x14ac:dyDescent="0.3">
      <c r="B45" s="12"/>
      <c r="C45" s="13" t="s">
        <v>117</v>
      </c>
      <c r="D45" s="14" t="s">
        <v>36</v>
      </c>
      <c r="E45" s="15">
        <f>46.5/1000*1.07</f>
        <v>4.9755000000000001E-2</v>
      </c>
      <c r="F45" s="17"/>
      <c r="G45" s="16">
        <f t="shared" si="7"/>
        <v>0</v>
      </c>
      <c r="H45" s="16"/>
      <c r="I45" s="16"/>
      <c r="J45" s="16"/>
      <c r="K45" s="16"/>
      <c r="L45" s="16">
        <f t="shared" si="6"/>
        <v>0</v>
      </c>
      <c r="M45" s="58"/>
      <c r="N45" s="58"/>
      <c r="O45" s="58"/>
    </row>
    <row r="46" spans="2:16" s="56" customFormat="1" x14ac:dyDescent="0.3">
      <c r="B46" s="12"/>
      <c r="C46" s="13" t="s">
        <v>120</v>
      </c>
      <c r="D46" s="14" t="s">
        <v>33</v>
      </c>
      <c r="E46" s="15">
        <f>E37</f>
        <v>1.42</v>
      </c>
      <c r="F46" s="17"/>
      <c r="G46" s="16">
        <f t="shared" si="7"/>
        <v>0</v>
      </c>
      <c r="H46" s="16"/>
      <c r="I46" s="16"/>
      <c r="J46" s="16"/>
      <c r="K46" s="16"/>
      <c r="L46" s="16">
        <f t="shared" ref="L46" si="8">G46+I46+K46</f>
        <v>0</v>
      </c>
      <c r="M46" s="58"/>
      <c r="N46" s="58"/>
      <c r="O46" s="58"/>
    </row>
    <row r="47" spans="2:16" s="56" customFormat="1" x14ac:dyDescent="0.3">
      <c r="B47" s="5">
        <f>MAX($B$5:B46)+1</f>
        <v>7</v>
      </c>
      <c r="C47" s="23" t="s">
        <v>214</v>
      </c>
      <c r="D47" s="6" t="s">
        <v>11</v>
      </c>
      <c r="E47" s="86">
        <v>4.6900000000000004</v>
      </c>
      <c r="F47" s="23"/>
      <c r="G47" s="23"/>
      <c r="H47" s="23"/>
      <c r="I47" s="23"/>
      <c r="J47" s="23"/>
      <c r="K47" s="23"/>
      <c r="L47" s="23"/>
      <c r="M47" s="58"/>
      <c r="N47" s="58"/>
      <c r="O47" s="58"/>
    </row>
    <row r="48" spans="2:16" s="56" customFormat="1" x14ac:dyDescent="0.3">
      <c r="B48" s="12"/>
      <c r="C48" s="13" t="s">
        <v>6</v>
      </c>
      <c r="D48" s="14" t="s">
        <v>11</v>
      </c>
      <c r="E48" s="15">
        <f>E47</f>
        <v>4.6900000000000004</v>
      </c>
      <c r="F48" s="16"/>
      <c r="G48" s="16"/>
      <c r="H48" s="16"/>
      <c r="I48" s="16">
        <f>E48*H48</f>
        <v>0</v>
      </c>
      <c r="J48" s="16"/>
      <c r="K48" s="16"/>
      <c r="L48" s="16">
        <f>G48+I48+K48</f>
        <v>0</v>
      </c>
      <c r="M48" s="58"/>
      <c r="N48" s="58"/>
      <c r="O48" s="58"/>
    </row>
    <row r="49" spans="2:16" s="56" customFormat="1" x14ac:dyDescent="0.3">
      <c r="B49" s="12"/>
      <c r="C49" s="13" t="s">
        <v>47</v>
      </c>
      <c r="D49" s="14" t="s">
        <v>11</v>
      </c>
      <c r="E49" s="15">
        <f>E47*1.015</f>
        <v>4.7603499999999999</v>
      </c>
      <c r="F49" s="16"/>
      <c r="G49" s="16"/>
      <c r="H49" s="16"/>
      <c r="I49" s="16"/>
      <c r="J49" s="16"/>
      <c r="K49" s="16">
        <f>E49*J49</f>
        <v>0</v>
      </c>
      <c r="L49" s="16">
        <f t="shared" ref="L49:L56" si="9">G49+I49+K49</f>
        <v>0</v>
      </c>
      <c r="M49" s="58"/>
      <c r="N49" s="58"/>
      <c r="O49" s="58"/>
    </row>
    <row r="50" spans="2:16" s="57" customFormat="1" x14ac:dyDescent="0.3">
      <c r="B50" s="12"/>
      <c r="C50" s="13" t="s">
        <v>113</v>
      </c>
      <c r="D50" s="14" t="s">
        <v>33</v>
      </c>
      <c r="E50" s="15">
        <f>E47</f>
        <v>4.6900000000000004</v>
      </c>
      <c r="F50" s="17"/>
      <c r="G50" s="16"/>
      <c r="H50" s="16"/>
      <c r="I50" s="16"/>
      <c r="J50" s="16"/>
      <c r="K50" s="16">
        <f>E50*J50</f>
        <v>0</v>
      </c>
      <c r="L50" s="16">
        <f t="shared" si="9"/>
        <v>0</v>
      </c>
      <c r="M50" s="58"/>
      <c r="N50" s="58"/>
      <c r="O50" s="58"/>
      <c r="P50" s="56"/>
    </row>
    <row r="51" spans="2:16" s="56" customFormat="1" x14ac:dyDescent="0.3">
      <c r="B51" s="12"/>
      <c r="C51" s="13" t="s">
        <v>136</v>
      </c>
      <c r="D51" s="14" t="s">
        <v>11</v>
      </c>
      <c r="E51" s="15">
        <f>E47*1.015</f>
        <v>4.7603499999999999</v>
      </c>
      <c r="F51" s="17"/>
      <c r="G51" s="16">
        <f t="shared" ref="G51:G57" si="10">E51*F51</f>
        <v>0</v>
      </c>
      <c r="H51" s="16"/>
      <c r="I51" s="16"/>
      <c r="J51" s="16"/>
      <c r="K51" s="16"/>
      <c r="L51" s="16">
        <f t="shared" si="9"/>
        <v>0</v>
      </c>
      <c r="M51" s="58"/>
      <c r="N51" s="58"/>
      <c r="O51" s="58"/>
    </row>
    <row r="52" spans="2:16" s="56" customFormat="1" x14ac:dyDescent="0.3">
      <c r="B52" s="12"/>
      <c r="C52" s="13" t="s">
        <v>114</v>
      </c>
      <c r="D52" s="14" t="s">
        <v>11</v>
      </c>
      <c r="E52" s="15">
        <f>E47</f>
        <v>4.6900000000000004</v>
      </c>
      <c r="F52" s="17"/>
      <c r="G52" s="16">
        <f t="shared" si="10"/>
        <v>0</v>
      </c>
      <c r="H52" s="16"/>
      <c r="I52" s="16"/>
      <c r="J52" s="16"/>
      <c r="K52" s="16"/>
      <c r="L52" s="16">
        <f t="shared" si="9"/>
        <v>0</v>
      </c>
      <c r="M52" s="58"/>
      <c r="N52" s="58"/>
      <c r="O52" s="58"/>
    </row>
    <row r="53" spans="2:16" s="56" customFormat="1" x14ac:dyDescent="0.3">
      <c r="B53" s="12"/>
      <c r="C53" s="13" t="s">
        <v>115</v>
      </c>
      <c r="D53" s="14" t="s">
        <v>36</v>
      </c>
      <c r="E53" s="15">
        <f>SUM(E54:E56)</f>
        <v>0.33491000000000004</v>
      </c>
      <c r="F53" s="17"/>
      <c r="G53" s="16">
        <f t="shared" si="10"/>
        <v>0</v>
      </c>
      <c r="H53" s="16"/>
      <c r="I53" s="16"/>
      <c r="J53" s="16"/>
      <c r="K53" s="16"/>
      <c r="L53" s="16">
        <f t="shared" si="9"/>
        <v>0</v>
      </c>
      <c r="M53" s="58"/>
      <c r="N53" s="58"/>
      <c r="O53" s="58"/>
    </row>
    <row r="54" spans="2:16" s="57" customFormat="1" x14ac:dyDescent="0.3">
      <c r="B54" s="12"/>
      <c r="C54" s="13" t="s">
        <v>116</v>
      </c>
      <c r="D54" s="14" t="s">
        <v>36</v>
      </c>
      <c r="E54" s="15">
        <f>110.9/1000*1.07</f>
        <v>0.11866300000000002</v>
      </c>
      <c r="F54" s="17"/>
      <c r="G54" s="16">
        <f t="shared" si="10"/>
        <v>0</v>
      </c>
      <c r="H54" s="16"/>
      <c r="I54" s="16"/>
      <c r="J54" s="16"/>
      <c r="K54" s="16"/>
      <c r="L54" s="16">
        <f t="shared" si="9"/>
        <v>0</v>
      </c>
      <c r="M54" s="58"/>
      <c r="N54" s="58"/>
      <c r="O54" s="58"/>
      <c r="P54" s="56"/>
    </row>
    <row r="55" spans="2:16" s="56" customFormat="1" x14ac:dyDescent="0.3">
      <c r="B55" s="12"/>
      <c r="C55" s="13" t="s">
        <v>117</v>
      </c>
      <c r="D55" s="14" t="s">
        <v>36</v>
      </c>
      <c r="E55" s="15">
        <f>61/1000*1.07</f>
        <v>6.5270000000000009E-2</v>
      </c>
      <c r="F55" s="17"/>
      <c r="G55" s="16">
        <f t="shared" si="10"/>
        <v>0</v>
      </c>
      <c r="H55" s="16"/>
      <c r="I55" s="16"/>
      <c r="J55" s="16"/>
      <c r="K55" s="16"/>
      <c r="L55" s="16">
        <f t="shared" si="9"/>
        <v>0</v>
      </c>
      <c r="M55" s="58"/>
      <c r="N55" s="58"/>
      <c r="O55" s="58"/>
    </row>
    <row r="56" spans="2:16" s="57" customFormat="1" x14ac:dyDescent="0.3">
      <c r="B56" s="12"/>
      <c r="C56" s="13" t="s">
        <v>118</v>
      </c>
      <c r="D56" s="14" t="s">
        <v>36</v>
      </c>
      <c r="E56" s="15">
        <f>141.1/1000*1.07</f>
        <v>0.150977</v>
      </c>
      <c r="F56" s="17"/>
      <c r="G56" s="16">
        <f t="shared" si="10"/>
        <v>0</v>
      </c>
      <c r="H56" s="16"/>
      <c r="I56" s="16"/>
      <c r="J56" s="16"/>
      <c r="K56" s="16"/>
      <c r="L56" s="16">
        <f t="shared" si="9"/>
        <v>0</v>
      </c>
      <c r="M56" s="58"/>
      <c r="N56" s="58"/>
      <c r="O56" s="58"/>
      <c r="P56" s="56"/>
    </row>
    <row r="57" spans="2:16" s="56" customFormat="1" x14ac:dyDescent="0.3">
      <c r="B57" s="12"/>
      <c r="C57" s="13" t="s">
        <v>120</v>
      </c>
      <c r="D57" s="14" t="s">
        <v>33</v>
      </c>
      <c r="E57" s="15">
        <f>E47</f>
        <v>4.6900000000000004</v>
      </c>
      <c r="F57" s="16"/>
      <c r="G57" s="16">
        <f t="shared" si="10"/>
        <v>0</v>
      </c>
      <c r="H57" s="16"/>
      <c r="I57" s="16"/>
      <c r="J57" s="16"/>
      <c r="K57" s="16"/>
      <c r="L57" s="16">
        <f t="shared" ref="L57" si="11">G57+I57+K57</f>
        <v>0</v>
      </c>
      <c r="M57" s="58"/>
      <c r="N57" s="58"/>
      <c r="O57" s="58"/>
    </row>
    <row r="58" spans="2:16" s="56" customFormat="1" x14ac:dyDescent="0.3">
      <c r="B58" s="5">
        <f>MAX($B$5:B57)+1</f>
        <v>8</v>
      </c>
      <c r="C58" s="23" t="s">
        <v>215</v>
      </c>
      <c r="D58" s="6" t="s">
        <v>11</v>
      </c>
      <c r="E58" s="86">
        <v>0.8</v>
      </c>
      <c r="F58" s="23"/>
      <c r="G58" s="23"/>
      <c r="H58" s="23"/>
      <c r="I58" s="23"/>
      <c r="J58" s="23"/>
      <c r="K58" s="23"/>
      <c r="L58" s="23"/>
      <c r="M58" s="58"/>
      <c r="N58" s="58"/>
      <c r="O58" s="58"/>
    </row>
    <row r="59" spans="2:16" s="56" customFormat="1" x14ac:dyDescent="0.3">
      <c r="B59" s="12"/>
      <c r="C59" s="13" t="s">
        <v>6</v>
      </c>
      <c r="D59" s="14" t="s">
        <v>11</v>
      </c>
      <c r="E59" s="15">
        <f>E58</f>
        <v>0.8</v>
      </c>
      <c r="F59" s="16"/>
      <c r="G59" s="16"/>
      <c r="H59" s="16"/>
      <c r="I59" s="16">
        <f>E59*H59</f>
        <v>0</v>
      </c>
      <c r="J59" s="16"/>
      <c r="K59" s="16"/>
      <c r="L59" s="16">
        <f>G59+I59+K59</f>
        <v>0</v>
      </c>
      <c r="M59" s="58"/>
      <c r="N59" s="58"/>
      <c r="O59" s="58"/>
    </row>
    <row r="60" spans="2:16" s="56" customFormat="1" x14ac:dyDescent="0.3">
      <c r="B60" s="12"/>
      <c r="C60" s="13" t="s">
        <v>47</v>
      </c>
      <c r="D60" s="14" t="s">
        <v>11</v>
      </c>
      <c r="E60" s="15">
        <f>E58*1.015</f>
        <v>0.81199999999999994</v>
      </c>
      <c r="F60" s="16"/>
      <c r="G60" s="16"/>
      <c r="H60" s="16"/>
      <c r="I60" s="16"/>
      <c r="J60" s="16"/>
      <c r="K60" s="16">
        <f>E60*J60</f>
        <v>0</v>
      </c>
      <c r="L60" s="16">
        <f t="shared" ref="L60:L65" si="12">G60+I60+K60</f>
        <v>0</v>
      </c>
      <c r="M60" s="58"/>
      <c r="N60" s="58"/>
      <c r="O60" s="58"/>
    </row>
    <row r="61" spans="2:16" s="57" customFormat="1" x14ac:dyDescent="0.3">
      <c r="B61" s="12"/>
      <c r="C61" s="13" t="s">
        <v>113</v>
      </c>
      <c r="D61" s="14" t="s">
        <v>33</v>
      </c>
      <c r="E61" s="15">
        <f>E58</f>
        <v>0.8</v>
      </c>
      <c r="F61" s="17"/>
      <c r="G61" s="16"/>
      <c r="H61" s="16"/>
      <c r="I61" s="16"/>
      <c r="J61" s="16"/>
      <c r="K61" s="16">
        <f>E61*J61</f>
        <v>0</v>
      </c>
      <c r="L61" s="16">
        <f t="shared" si="12"/>
        <v>0</v>
      </c>
      <c r="M61" s="58"/>
      <c r="N61" s="58"/>
      <c r="O61" s="58"/>
      <c r="P61" s="56"/>
    </row>
    <row r="62" spans="2:16" s="56" customFormat="1" x14ac:dyDescent="0.3">
      <c r="B62" s="12"/>
      <c r="C62" s="13" t="s">
        <v>136</v>
      </c>
      <c r="D62" s="14" t="s">
        <v>11</v>
      </c>
      <c r="E62" s="15">
        <f>E58*1.015</f>
        <v>0.81199999999999994</v>
      </c>
      <c r="F62" s="17"/>
      <c r="G62" s="16">
        <f t="shared" ref="G62:G66" si="13">E62*F62</f>
        <v>0</v>
      </c>
      <c r="H62" s="16"/>
      <c r="I62" s="16"/>
      <c r="J62" s="16"/>
      <c r="K62" s="16"/>
      <c r="L62" s="16">
        <f t="shared" si="12"/>
        <v>0</v>
      </c>
      <c r="M62" s="58"/>
      <c r="N62" s="58"/>
      <c r="O62" s="58"/>
    </row>
    <row r="63" spans="2:16" s="56" customFormat="1" x14ac:dyDescent="0.3">
      <c r="B63" s="12"/>
      <c r="C63" s="13" t="s">
        <v>114</v>
      </c>
      <c r="D63" s="14" t="s">
        <v>11</v>
      </c>
      <c r="E63" s="15">
        <f>E58</f>
        <v>0.8</v>
      </c>
      <c r="F63" s="17"/>
      <c r="G63" s="16">
        <f t="shared" si="13"/>
        <v>0</v>
      </c>
      <c r="H63" s="16"/>
      <c r="I63" s="16"/>
      <c r="J63" s="16"/>
      <c r="K63" s="16"/>
      <c r="L63" s="16">
        <f t="shared" si="12"/>
        <v>0</v>
      </c>
      <c r="M63" s="58"/>
      <c r="N63" s="58"/>
      <c r="O63" s="58"/>
    </row>
    <row r="64" spans="2:16" s="56" customFormat="1" x14ac:dyDescent="0.3">
      <c r="B64" s="12"/>
      <c r="C64" s="13" t="s">
        <v>115</v>
      </c>
      <c r="D64" s="14" t="s">
        <v>36</v>
      </c>
      <c r="E64" s="15">
        <f>SUM(E65:E65)</f>
        <v>2.8462000000000005E-2</v>
      </c>
      <c r="F64" s="17"/>
      <c r="G64" s="16">
        <f t="shared" si="13"/>
        <v>0</v>
      </c>
      <c r="H64" s="16"/>
      <c r="I64" s="16"/>
      <c r="J64" s="16"/>
      <c r="K64" s="16"/>
      <c r="L64" s="16">
        <f t="shared" si="12"/>
        <v>0</v>
      </c>
      <c r="M64" s="58"/>
      <c r="N64" s="58"/>
      <c r="O64" s="58"/>
    </row>
    <row r="65" spans="2:16" s="57" customFormat="1" x14ac:dyDescent="0.3">
      <c r="B65" s="12"/>
      <c r="C65" s="13" t="s">
        <v>116</v>
      </c>
      <c r="D65" s="14" t="s">
        <v>36</v>
      </c>
      <c r="E65" s="15">
        <f>26.6/1000*1.07</f>
        <v>2.8462000000000005E-2</v>
      </c>
      <c r="F65" s="17"/>
      <c r="G65" s="16">
        <f t="shared" si="13"/>
        <v>0</v>
      </c>
      <c r="H65" s="16"/>
      <c r="I65" s="16"/>
      <c r="J65" s="16"/>
      <c r="K65" s="16"/>
      <c r="L65" s="16">
        <f t="shared" si="12"/>
        <v>0</v>
      </c>
      <c r="M65" s="58"/>
      <c r="N65" s="58"/>
      <c r="O65" s="58"/>
      <c r="P65" s="56"/>
    </row>
    <row r="66" spans="2:16" s="56" customFormat="1" x14ac:dyDescent="0.3">
      <c r="B66" s="12"/>
      <c r="C66" s="13" t="s">
        <v>120</v>
      </c>
      <c r="D66" s="14" t="s">
        <v>33</v>
      </c>
      <c r="E66" s="15">
        <f>E58</f>
        <v>0.8</v>
      </c>
      <c r="F66" s="16"/>
      <c r="G66" s="16">
        <f t="shared" si="13"/>
        <v>0</v>
      </c>
      <c r="H66" s="16"/>
      <c r="I66" s="16"/>
      <c r="J66" s="16"/>
      <c r="K66" s="16"/>
      <c r="L66" s="16">
        <f t="shared" ref="L66" si="14">G66+I66+K66</f>
        <v>0</v>
      </c>
      <c r="M66" s="58"/>
      <c r="N66" s="58"/>
      <c r="O66" s="58"/>
    </row>
    <row r="67" spans="2:16" s="56" customFormat="1" x14ac:dyDescent="0.3">
      <c r="B67" s="5">
        <f>MAX($B$5:B66)+1</f>
        <v>9</v>
      </c>
      <c r="C67" s="23" t="s">
        <v>216</v>
      </c>
      <c r="D67" s="6" t="s">
        <v>11</v>
      </c>
      <c r="E67" s="86">
        <v>2.2400000000000002</v>
      </c>
      <c r="F67" s="23"/>
      <c r="G67" s="23"/>
      <c r="H67" s="23"/>
      <c r="I67" s="23"/>
      <c r="J67" s="23"/>
      <c r="K67" s="23"/>
      <c r="L67" s="23"/>
      <c r="M67" s="58"/>
      <c r="N67" s="58"/>
      <c r="O67" s="58"/>
    </row>
    <row r="68" spans="2:16" s="56" customFormat="1" x14ac:dyDescent="0.3">
      <c r="B68" s="12"/>
      <c r="C68" s="13" t="s">
        <v>6</v>
      </c>
      <c r="D68" s="14" t="s">
        <v>11</v>
      </c>
      <c r="E68" s="15">
        <f>E67</f>
        <v>2.2400000000000002</v>
      </c>
      <c r="F68" s="16"/>
      <c r="G68" s="16"/>
      <c r="H68" s="16"/>
      <c r="I68" s="16">
        <f>E68*H68</f>
        <v>0</v>
      </c>
      <c r="J68" s="16"/>
      <c r="K68" s="16"/>
      <c r="L68" s="16">
        <f>G68+I68+K68</f>
        <v>0</v>
      </c>
      <c r="M68" s="58"/>
      <c r="N68" s="58"/>
      <c r="O68" s="58"/>
    </row>
    <row r="69" spans="2:16" s="56" customFormat="1" x14ac:dyDescent="0.3">
      <c r="B69" s="12"/>
      <c r="C69" s="13" t="s">
        <v>47</v>
      </c>
      <c r="D69" s="14" t="s">
        <v>11</v>
      </c>
      <c r="E69" s="15">
        <f>E67*1.015</f>
        <v>2.2736000000000001</v>
      </c>
      <c r="F69" s="16"/>
      <c r="G69" s="16"/>
      <c r="H69" s="16"/>
      <c r="I69" s="16"/>
      <c r="J69" s="16"/>
      <c r="K69" s="16">
        <f>E69*J69</f>
        <v>0</v>
      </c>
      <c r="L69" s="16">
        <f t="shared" ref="L69:L75" si="15">G69+I69+K69</f>
        <v>0</v>
      </c>
      <c r="M69" s="58"/>
      <c r="N69" s="58"/>
      <c r="O69" s="58"/>
    </row>
    <row r="70" spans="2:16" s="57" customFormat="1" x14ac:dyDescent="0.3">
      <c r="B70" s="12"/>
      <c r="C70" s="13" t="s">
        <v>113</v>
      </c>
      <c r="D70" s="14" t="s">
        <v>33</v>
      </c>
      <c r="E70" s="15">
        <f>E67</f>
        <v>2.2400000000000002</v>
      </c>
      <c r="F70" s="17"/>
      <c r="G70" s="16"/>
      <c r="H70" s="16"/>
      <c r="I70" s="16"/>
      <c r="J70" s="16"/>
      <c r="K70" s="16">
        <f>E70*J70</f>
        <v>0</v>
      </c>
      <c r="L70" s="16">
        <f t="shared" si="15"/>
        <v>0</v>
      </c>
      <c r="M70" s="58"/>
      <c r="N70" s="58"/>
      <c r="O70" s="58"/>
      <c r="P70" s="56"/>
    </row>
    <row r="71" spans="2:16" s="56" customFormat="1" x14ac:dyDescent="0.3">
      <c r="B71" s="12"/>
      <c r="C71" s="13" t="s">
        <v>136</v>
      </c>
      <c r="D71" s="14" t="s">
        <v>11</v>
      </c>
      <c r="E71" s="15">
        <f>E67*1.015</f>
        <v>2.2736000000000001</v>
      </c>
      <c r="F71" s="17"/>
      <c r="G71" s="16">
        <f t="shared" ref="G71:G76" si="16">E71*F71</f>
        <v>0</v>
      </c>
      <c r="H71" s="16"/>
      <c r="I71" s="16"/>
      <c r="J71" s="16"/>
      <c r="K71" s="16"/>
      <c r="L71" s="16">
        <f t="shared" si="15"/>
        <v>0</v>
      </c>
      <c r="M71" s="58"/>
      <c r="N71" s="58"/>
      <c r="O71" s="58"/>
    </row>
    <row r="72" spans="2:16" s="56" customFormat="1" x14ac:dyDescent="0.3">
      <c r="B72" s="12"/>
      <c r="C72" s="13" t="s">
        <v>114</v>
      </c>
      <c r="D72" s="14" t="s">
        <v>11</v>
      </c>
      <c r="E72" s="15">
        <f>E67</f>
        <v>2.2400000000000002</v>
      </c>
      <c r="F72" s="17"/>
      <c r="G72" s="16">
        <f t="shared" si="16"/>
        <v>0</v>
      </c>
      <c r="H72" s="16"/>
      <c r="I72" s="16"/>
      <c r="J72" s="16"/>
      <c r="K72" s="16"/>
      <c r="L72" s="16">
        <f t="shared" si="15"/>
        <v>0</v>
      </c>
      <c r="M72" s="58"/>
      <c r="N72" s="58"/>
      <c r="O72" s="58"/>
    </row>
    <row r="73" spans="2:16" s="56" customFormat="1" x14ac:dyDescent="0.3">
      <c r="B73" s="12"/>
      <c r="C73" s="13" t="s">
        <v>115</v>
      </c>
      <c r="D73" s="14" t="s">
        <v>36</v>
      </c>
      <c r="E73" s="15">
        <f>SUM(E74:E75)</f>
        <v>0.143487</v>
      </c>
      <c r="F73" s="17"/>
      <c r="G73" s="16">
        <f t="shared" si="16"/>
        <v>0</v>
      </c>
      <c r="H73" s="16"/>
      <c r="I73" s="16"/>
      <c r="J73" s="16"/>
      <c r="K73" s="16"/>
      <c r="L73" s="16">
        <f t="shared" si="15"/>
        <v>0</v>
      </c>
      <c r="M73" s="58"/>
      <c r="N73" s="58"/>
      <c r="O73" s="58"/>
    </row>
    <row r="74" spans="2:16" s="57" customFormat="1" x14ac:dyDescent="0.3">
      <c r="B74" s="12"/>
      <c r="C74" s="13" t="s">
        <v>116</v>
      </c>
      <c r="D74" s="14" t="s">
        <v>36</v>
      </c>
      <c r="E74" s="15">
        <f>52.8/1000*1.07</f>
        <v>5.6496000000000005E-2</v>
      </c>
      <c r="F74" s="17"/>
      <c r="G74" s="16">
        <f t="shared" si="16"/>
        <v>0</v>
      </c>
      <c r="H74" s="16"/>
      <c r="I74" s="16"/>
      <c r="J74" s="16"/>
      <c r="K74" s="16"/>
      <c r="L74" s="16">
        <f t="shared" si="15"/>
        <v>0</v>
      </c>
      <c r="M74" s="58"/>
      <c r="N74" s="58"/>
      <c r="O74" s="58"/>
      <c r="P74" s="56"/>
    </row>
    <row r="75" spans="2:16" s="56" customFormat="1" x14ac:dyDescent="0.3">
      <c r="B75" s="12"/>
      <c r="C75" s="13" t="s">
        <v>117</v>
      </c>
      <c r="D75" s="14" t="s">
        <v>36</v>
      </c>
      <c r="E75" s="15">
        <f>81.3/1000*1.07</f>
        <v>8.6990999999999999E-2</v>
      </c>
      <c r="F75" s="17"/>
      <c r="G75" s="16">
        <f t="shared" si="16"/>
        <v>0</v>
      </c>
      <c r="H75" s="16"/>
      <c r="I75" s="16"/>
      <c r="J75" s="16"/>
      <c r="K75" s="16"/>
      <c r="L75" s="16">
        <f t="shared" si="15"/>
        <v>0</v>
      </c>
      <c r="M75" s="58"/>
      <c r="N75" s="58"/>
      <c r="O75" s="58"/>
    </row>
    <row r="76" spans="2:16" s="56" customFormat="1" x14ac:dyDescent="0.3">
      <c r="B76" s="12"/>
      <c r="C76" s="13" t="s">
        <v>120</v>
      </c>
      <c r="D76" s="14" t="s">
        <v>33</v>
      </c>
      <c r="E76" s="15">
        <f>E67</f>
        <v>2.2400000000000002</v>
      </c>
      <c r="F76" s="16"/>
      <c r="G76" s="16">
        <f t="shared" si="16"/>
        <v>0</v>
      </c>
      <c r="H76" s="16"/>
      <c r="I76" s="16"/>
      <c r="J76" s="16"/>
      <c r="K76" s="16"/>
      <c r="L76" s="16">
        <f t="shared" ref="L76" si="17">G76+I76+K76</f>
        <v>0</v>
      </c>
      <c r="M76" s="58"/>
      <c r="N76" s="58"/>
      <c r="O76" s="58"/>
    </row>
    <row r="77" spans="2:16" s="56" customFormat="1" x14ac:dyDescent="0.3">
      <c r="B77" s="5">
        <f>MAX($B$5:B76)+1</f>
        <v>10</v>
      </c>
      <c r="C77" s="23" t="s">
        <v>217</v>
      </c>
      <c r="D77" s="6" t="s">
        <v>11</v>
      </c>
      <c r="E77" s="86">
        <v>4.79</v>
      </c>
      <c r="F77" s="23"/>
      <c r="G77" s="23"/>
      <c r="H77" s="23"/>
      <c r="I77" s="23"/>
      <c r="J77" s="23"/>
      <c r="K77" s="23"/>
      <c r="L77" s="23"/>
      <c r="M77" s="58"/>
      <c r="N77" s="58"/>
      <c r="O77" s="58"/>
    </row>
    <row r="78" spans="2:16" s="56" customFormat="1" x14ac:dyDescent="0.3">
      <c r="B78" s="12"/>
      <c r="C78" s="13" t="s">
        <v>6</v>
      </c>
      <c r="D78" s="14" t="s">
        <v>11</v>
      </c>
      <c r="E78" s="15">
        <f>E77</f>
        <v>4.79</v>
      </c>
      <c r="F78" s="16"/>
      <c r="G78" s="16"/>
      <c r="H78" s="16"/>
      <c r="I78" s="16">
        <f>E78*H78</f>
        <v>0</v>
      </c>
      <c r="J78" s="16"/>
      <c r="K78" s="16"/>
      <c r="L78" s="16">
        <f>G78+I78+K78</f>
        <v>0</v>
      </c>
      <c r="M78" s="58"/>
      <c r="N78" s="58"/>
      <c r="O78" s="58"/>
    </row>
    <row r="79" spans="2:16" s="56" customFormat="1" x14ac:dyDescent="0.3">
      <c r="B79" s="12"/>
      <c r="C79" s="13" t="s">
        <v>47</v>
      </c>
      <c r="D79" s="14" t="s">
        <v>11</v>
      </c>
      <c r="E79" s="15">
        <f>E77*1.015</f>
        <v>4.8618499999999996</v>
      </c>
      <c r="F79" s="16"/>
      <c r="G79" s="16"/>
      <c r="H79" s="16"/>
      <c r="I79" s="16"/>
      <c r="J79" s="16"/>
      <c r="K79" s="16">
        <f>E79*J79</f>
        <v>0</v>
      </c>
      <c r="L79" s="16">
        <f t="shared" ref="L79:L86" si="18">G79+I79+K79</f>
        <v>0</v>
      </c>
      <c r="M79" s="58"/>
      <c r="N79" s="58"/>
      <c r="O79" s="58"/>
    </row>
    <row r="80" spans="2:16" s="57" customFormat="1" x14ac:dyDescent="0.3">
      <c r="B80" s="12"/>
      <c r="C80" s="13" t="s">
        <v>113</v>
      </c>
      <c r="D80" s="14" t="s">
        <v>33</v>
      </c>
      <c r="E80" s="15">
        <f>E77</f>
        <v>4.79</v>
      </c>
      <c r="F80" s="17"/>
      <c r="G80" s="16"/>
      <c r="H80" s="16"/>
      <c r="I80" s="16"/>
      <c r="J80" s="16"/>
      <c r="K80" s="16">
        <f>E80*J80</f>
        <v>0</v>
      </c>
      <c r="L80" s="16">
        <f t="shared" si="18"/>
        <v>0</v>
      </c>
      <c r="M80" s="58"/>
      <c r="N80" s="58"/>
      <c r="O80" s="58"/>
      <c r="P80" s="56"/>
    </row>
    <row r="81" spans="2:16" s="56" customFormat="1" x14ac:dyDescent="0.3">
      <c r="B81" s="12"/>
      <c r="C81" s="13" t="s">
        <v>136</v>
      </c>
      <c r="D81" s="14" t="s">
        <v>11</v>
      </c>
      <c r="E81" s="15">
        <f>E77*1.015</f>
        <v>4.8618499999999996</v>
      </c>
      <c r="F81" s="17"/>
      <c r="G81" s="16">
        <f t="shared" ref="G81:G87" si="19">E81*F81</f>
        <v>0</v>
      </c>
      <c r="H81" s="16"/>
      <c r="I81" s="16"/>
      <c r="J81" s="16"/>
      <c r="K81" s="16"/>
      <c r="L81" s="16">
        <f t="shared" si="18"/>
        <v>0</v>
      </c>
      <c r="M81" s="58"/>
      <c r="N81" s="58"/>
      <c r="O81" s="58"/>
    </row>
    <row r="82" spans="2:16" s="56" customFormat="1" x14ac:dyDescent="0.3">
      <c r="B82" s="12"/>
      <c r="C82" s="13" t="s">
        <v>114</v>
      </c>
      <c r="D82" s="14" t="s">
        <v>11</v>
      </c>
      <c r="E82" s="15">
        <f>E77</f>
        <v>4.79</v>
      </c>
      <c r="F82" s="17"/>
      <c r="G82" s="16">
        <f t="shared" si="19"/>
        <v>0</v>
      </c>
      <c r="H82" s="16"/>
      <c r="I82" s="16"/>
      <c r="J82" s="16"/>
      <c r="K82" s="16"/>
      <c r="L82" s="16">
        <f t="shared" si="18"/>
        <v>0</v>
      </c>
      <c r="M82" s="58"/>
      <c r="N82" s="58"/>
      <c r="O82" s="58"/>
    </row>
    <row r="83" spans="2:16" s="56" customFormat="1" x14ac:dyDescent="0.3">
      <c r="B83" s="12"/>
      <c r="C83" s="13" t="s">
        <v>115</v>
      </c>
      <c r="D83" s="14" t="s">
        <v>36</v>
      </c>
      <c r="E83" s="15">
        <f>SUM(E84:E86)</f>
        <v>1.2880660000000002</v>
      </c>
      <c r="F83" s="17"/>
      <c r="G83" s="16">
        <f t="shared" si="19"/>
        <v>0</v>
      </c>
      <c r="H83" s="16"/>
      <c r="I83" s="16"/>
      <c r="J83" s="16"/>
      <c r="K83" s="16"/>
      <c r="L83" s="16">
        <f t="shared" si="18"/>
        <v>0</v>
      </c>
      <c r="M83" s="58"/>
      <c r="N83" s="58"/>
      <c r="O83" s="58"/>
    </row>
    <row r="84" spans="2:16" s="57" customFormat="1" x14ac:dyDescent="0.3">
      <c r="B84" s="12"/>
      <c r="C84" s="13" t="s">
        <v>116</v>
      </c>
      <c r="D84" s="14" t="s">
        <v>36</v>
      </c>
      <c r="E84" s="15">
        <f>106.8/1000*1.07</f>
        <v>0.114276</v>
      </c>
      <c r="F84" s="17"/>
      <c r="G84" s="16">
        <f t="shared" si="19"/>
        <v>0</v>
      </c>
      <c r="H84" s="16"/>
      <c r="I84" s="16"/>
      <c r="J84" s="16"/>
      <c r="K84" s="16"/>
      <c r="L84" s="16">
        <f t="shared" si="18"/>
        <v>0</v>
      </c>
      <c r="M84" s="58"/>
      <c r="N84" s="58"/>
      <c r="O84" s="58"/>
      <c r="P84" s="56"/>
    </row>
    <row r="85" spans="2:16" s="56" customFormat="1" x14ac:dyDescent="0.3">
      <c r="B85" s="12"/>
      <c r="C85" s="13" t="s">
        <v>117</v>
      </c>
      <c r="D85" s="14" t="s">
        <v>36</v>
      </c>
      <c r="E85" s="15">
        <f>63/1000*1.07</f>
        <v>6.7409999999999998E-2</v>
      </c>
      <c r="F85" s="17"/>
      <c r="G85" s="16">
        <f t="shared" si="19"/>
        <v>0</v>
      </c>
      <c r="H85" s="16"/>
      <c r="I85" s="16"/>
      <c r="J85" s="16"/>
      <c r="K85" s="16"/>
      <c r="L85" s="16">
        <f t="shared" si="18"/>
        <v>0</v>
      </c>
      <c r="M85" s="58"/>
      <c r="N85" s="58"/>
      <c r="O85" s="58"/>
    </row>
    <row r="86" spans="2:16" s="57" customFormat="1" x14ac:dyDescent="0.3">
      <c r="B86" s="12"/>
      <c r="C86" s="13" t="s">
        <v>118</v>
      </c>
      <c r="D86" s="14" t="s">
        <v>36</v>
      </c>
      <c r="E86" s="15">
        <f>1034/1000*1.07</f>
        <v>1.1063800000000001</v>
      </c>
      <c r="F86" s="17"/>
      <c r="G86" s="16">
        <f t="shared" si="19"/>
        <v>0</v>
      </c>
      <c r="H86" s="16"/>
      <c r="I86" s="16"/>
      <c r="J86" s="16"/>
      <c r="K86" s="16"/>
      <c r="L86" s="16">
        <f t="shared" si="18"/>
        <v>0</v>
      </c>
      <c r="M86" s="58"/>
      <c r="N86" s="58"/>
      <c r="O86" s="58"/>
      <c r="P86" s="56"/>
    </row>
    <row r="87" spans="2:16" s="56" customFormat="1" x14ac:dyDescent="0.3">
      <c r="B87" s="12"/>
      <c r="C87" s="13" t="s">
        <v>120</v>
      </c>
      <c r="D87" s="14" t="s">
        <v>33</v>
      </c>
      <c r="E87" s="15">
        <f>E77</f>
        <v>4.79</v>
      </c>
      <c r="F87" s="16"/>
      <c r="G87" s="16">
        <f t="shared" si="19"/>
        <v>0</v>
      </c>
      <c r="H87" s="16"/>
      <c r="I87" s="16"/>
      <c r="J87" s="16"/>
      <c r="K87" s="16"/>
      <c r="L87" s="16">
        <f t="shared" ref="L87" si="20">G87+I87+K87</f>
        <v>0</v>
      </c>
      <c r="M87" s="58"/>
      <c r="N87" s="58"/>
      <c r="O87" s="58"/>
    </row>
    <row r="88" spans="2:16" s="56" customFormat="1" x14ac:dyDescent="0.3">
      <c r="B88" s="5">
        <f>MAX($B$5:B87)+1</f>
        <v>11</v>
      </c>
      <c r="C88" s="23" t="s">
        <v>218</v>
      </c>
      <c r="D88" s="6" t="s">
        <v>11</v>
      </c>
      <c r="E88" s="86">
        <v>5.43</v>
      </c>
      <c r="F88" s="23"/>
      <c r="G88" s="23"/>
      <c r="H88" s="23"/>
      <c r="I88" s="23"/>
      <c r="J88" s="23"/>
      <c r="K88" s="23"/>
      <c r="L88" s="23"/>
      <c r="M88" s="58"/>
      <c r="N88" s="58"/>
      <c r="O88" s="58"/>
    </row>
    <row r="89" spans="2:16" s="56" customFormat="1" x14ac:dyDescent="0.3">
      <c r="B89" s="12"/>
      <c r="C89" s="13" t="s">
        <v>6</v>
      </c>
      <c r="D89" s="14" t="s">
        <v>11</v>
      </c>
      <c r="E89" s="15">
        <f>E88</f>
        <v>5.43</v>
      </c>
      <c r="F89" s="16"/>
      <c r="G89" s="16"/>
      <c r="H89" s="16"/>
      <c r="I89" s="16">
        <f>E89*H89</f>
        <v>0</v>
      </c>
      <c r="J89" s="16"/>
      <c r="K89" s="16"/>
      <c r="L89" s="16">
        <f>G89+I89+K89</f>
        <v>0</v>
      </c>
      <c r="M89" s="58"/>
      <c r="N89" s="58"/>
      <c r="O89" s="58"/>
    </row>
    <row r="90" spans="2:16" s="56" customFormat="1" x14ac:dyDescent="0.3">
      <c r="B90" s="12"/>
      <c r="C90" s="13" t="s">
        <v>47</v>
      </c>
      <c r="D90" s="14" t="s">
        <v>11</v>
      </c>
      <c r="E90" s="15">
        <f>E88*1.015</f>
        <v>5.5114499999999991</v>
      </c>
      <c r="F90" s="16"/>
      <c r="G90" s="16"/>
      <c r="H90" s="16"/>
      <c r="I90" s="16"/>
      <c r="J90" s="16"/>
      <c r="K90" s="16">
        <f>E90*J90</f>
        <v>0</v>
      </c>
      <c r="L90" s="16">
        <f t="shared" ref="L90:L98" si="21">G90+I90+K90</f>
        <v>0</v>
      </c>
      <c r="M90" s="58"/>
      <c r="N90" s="58"/>
      <c r="O90" s="58"/>
    </row>
    <row r="91" spans="2:16" s="57" customFormat="1" x14ac:dyDescent="0.3">
      <c r="B91" s="12"/>
      <c r="C91" s="13" t="s">
        <v>113</v>
      </c>
      <c r="D91" s="14" t="s">
        <v>33</v>
      </c>
      <c r="E91" s="15">
        <f>E88</f>
        <v>5.43</v>
      </c>
      <c r="F91" s="17"/>
      <c r="G91" s="16"/>
      <c r="H91" s="16"/>
      <c r="I91" s="16"/>
      <c r="J91" s="16"/>
      <c r="K91" s="16">
        <f>E91*J91</f>
        <v>0</v>
      </c>
      <c r="L91" s="16">
        <f t="shared" si="21"/>
        <v>0</v>
      </c>
      <c r="M91" s="58"/>
      <c r="N91" s="58"/>
      <c r="O91" s="58"/>
      <c r="P91" s="56"/>
    </row>
    <row r="92" spans="2:16" s="56" customFormat="1" x14ac:dyDescent="0.3">
      <c r="B92" s="12"/>
      <c r="C92" s="13" t="s">
        <v>136</v>
      </c>
      <c r="D92" s="14" t="s">
        <v>11</v>
      </c>
      <c r="E92" s="15">
        <f>E88*1.015</f>
        <v>5.5114499999999991</v>
      </c>
      <c r="F92" s="17"/>
      <c r="G92" s="16">
        <f t="shared" ref="G92:G98" si="22">E92*F92</f>
        <v>0</v>
      </c>
      <c r="H92" s="16"/>
      <c r="I92" s="16"/>
      <c r="J92" s="16"/>
      <c r="K92" s="16"/>
      <c r="L92" s="16">
        <f t="shared" si="21"/>
        <v>0</v>
      </c>
      <c r="M92" s="58"/>
      <c r="N92" s="58"/>
      <c r="O92" s="58"/>
    </row>
    <row r="93" spans="2:16" s="56" customFormat="1" x14ac:dyDescent="0.3">
      <c r="B93" s="12"/>
      <c r="C93" s="13" t="s">
        <v>114</v>
      </c>
      <c r="D93" s="14" t="s">
        <v>11</v>
      </c>
      <c r="E93" s="15">
        <f>E88</f>
        <v>5.43</v>
      </c>
      <c r="F93" s="17"/>
      <c r="G93" s="16">
        <f t="shared" si="22"/>
        <v>0</v>
      </c>
      <c r="H93" s="16"/>
      <c r="I93" s="16"/>
      <c r="J93" s="16"/>
      <c r="K93" s="16"/>
      <c r="L93" s="16">
        <f t="shared" si="21"/>
        <v>0</v>
      </c>
      <c r="M93" s="58"/>
      <c r="N93" s="58"/>
      <c r="O93" s="58"/>
    </row>
    <row r="94" spans="2:16" s="56" customFormat="1" x14ac:dyDescent="0.3">
      <c r="B94" s="12"/>
      <c r="C94" s="13" t="s">
        <v>115</v>
      </c>
      <c r="D94" s="14" t="s">
        <v>36</v>
      </c>
      <c r="E94" s="15">
        <f>SUM(E95:E97)</f>
        <v>0.44758100000000001</v>
      </c>
      <c r="F94" s="17"/>
      <c r="G94" s="16">
        <f t="shared" si="22"/>
        <v>0</v>
      </c>
      <c r="H94" s="16"/>
      <c r="I94" s="16"/>
      <c r="J94" s="16"/>
      <c r="K94" s="16"/>
      <c r="L94" s="16">
        <f t="shared" si="21"/>
        <v>0</v>
      </c>
      <c r="M94" s="58"/>
      <c r="N94" s="58"/>
      <c r="O94" s="58"/>
    </row>
    <row r="95" spans="2:16" s="57" customFormat="1" x14ac:dyDescent="0.3">
      <c r="B95" s="12"/>
      <c r="C95" s="13" t="s">
        <v>116</v>
      </c>
      <c r="D95" s="14" t="s">
        <v>36</v>
      </c>
      <c r="E95" s="15">
        <f>17.1/1000*1.07</f>
        <v>1.8297000000000001E-2</v>
      </c>
      <c r="F95" s="17"/>
      <c r="G95" s="16">
        <f t="shared" si="22"/>
        <v>0</v>
      </c>
      <c r="H95" s="16"/>
      <c r="I95" s="16"/>
      <c r="J95" s="16"/>
      <c r="K95" s="16"/>
      <c r="L95" s="16">
        <f t="shared" si="21"/>
        <v>0</v>
      </c>
      <c r="M95" s="58"/>
      <c r="N95" s="58"/>
      <c r="O95" s="58"/>
      <c r="P95" s="56"/>
    </row>
    <row r="96" spans="2:16" s="56" customFormat="1" x14ac:dyDescent="0.3">
      <c r="B96" s="12"/>
      <c r="C96" s="13" t="s">
        <v>117</v>
      </c>
      <c r="D96" s="14" t="s">
        <v>36</v>
      </c>
      <c r="E96" s="15">
        <f>264.8/1000*1.07</f>
        <v>0.28333600000000003</v>
      </c>
      <c r="F96" s="17"/>
      <c r="G96" s="16">
        <f t="shared" si="22"/>
        <v>0</v>
      </c>
      <c r="H96" s="16"/>
      <c r="I96" s="16"/>
      <c r="J96" s="16"/>
      <c r="K96" s="16"/>
      <c r="L96" s="16">
        <f t="shared" si="21"/>
        <v>0</v>
      </c>
      <c r="M96" s="58"/>
      <c r="N96" s="58"/>
      <c r="O96" s="58"/>
    </row>
    <row r="97" spans="2:16" s="57" customFormat="1" x14ac:dyDescent="0.3">
      <c r="B97" s="12"/>
      <c r="C97" s="13" t="s">
        <v>118</v>
      </c>
      <c r="D97" s="14" t="s">
        <v>36</v>
      </c>
      <c r="E97" s="15">
        <f>136.4/1000*1.07</f>
        <v>0.14594799999999999</v>
      </c>
      <c r="F97" s="17"/>
      <c r="G97" s="16">
        <f t="shared" si="22"/>
        <v>0</v>
      </c>
      <c r="H97" s="16"/>
      <c r="I97" s="16"/>
      <c r="J97" s="16"/>
      <c r="K97" s="16"/>
      <c r="L97" s="16">
        <f t="shared" si="21"/>
        <v>0</v>
      </c>
      <c r="M97" s="58"/>
      <c r="N97" s="58"/>
      <c r="O97" s="58"/>
      <c r="P97" s="56"/>
    </row>
    <row r="98" spans="2:16" s="56" customFormat="1" x14ac:dyDescent="0.3">
      <c r="B98" s="12"/>
      <c r="C98" s="13" t="s">
        <v>120</v>
      </c>
      <c r="D98" s="14" t="s">
        <v>33</v>
      </c>
      <c r="E98" s="15">
        <f>E88</f>
        <v>5.43</v>
      </c>
      <c r="F98" s="16"/>
      <c r="G98" s="16">
        <f t="shared" si="22"/>
        <v>0</v>
      </c>
      <c r="H98" s="16"/>
      <c r="I98" s="16"/>
      <c r="J98" s="16"/>
      <c r="K98" s="16"/>
      <c r="L98" s="16">
        <f t="shared" si="21"/>
        <v>0</v>
      </c>
      <c r="M98" s="58"/>
      <c r="N98" s="58"/>
      <c r="O98" s="58"/>
    </row>
    <row r="99" spans="2:16" s="56" customFormat="1" x14ac:dyDescent="0.3">
      <c r="B99" s="5">
        <f>MAX($B$5:B98)+1</f>
        <v>12</v>
      </c>
      <c r="C99" s="23" t="s">
        <v>219</v>
      </c>
      <c r="D99" s="6" t="s">
        <v>11</v>
      </c>
      <c r="E99" s="86">
        <v>10.199999999999999</v>
      </c>
      <c r="F99" s="23"/>
      <c r="G99" s="23"/>
      <c r="H99" s="23"/>
      <c r="I99" s="23"/>
      <c r="J99" s="23"/>
      <c r="K99" s="23"/>
      <c r="L99" s="23"/>
      <c r="M99" s="58"/>
      <c r="N99" s="58"/>
      <c r="O99" s="58"/>
    </row>
    <row r="100" spans="2:16" s="56" customFormat="1" x14ac:dyDescent="0.3">
      <c r="B100" s="12"/>
      <c r="C100" s="13" t="s">
        <v>6</v>
      </c>
      <c r="D100" s="14" t="s">
        <v>11</v>
      </c>
      <c r="E100" s="15">
        <f>E99</f>
        <v>10.199999999999999</v>
      </c>
      <c r="F100" s="16"/>
      <c r="G100" s="16"/>
      <c r="H100" s="16"/>
      <c r="I100" s="16">
        <f>E100*H100</f>
        <v>0</v>
      </c>
      <c r="J100" s="16"/>
      <c r="K100" s="16"/>
      <c r="L100" s="16">
        <f>G100+I100+K100</f>
        <v>0</v>
      </c>
      <c r="M100" s="58"/>
      <c r="N100" s="58"/>
      <c r="O100" s="58"/>
    </row>
    <row r="101" spans="2:16" s="56" customFormat="1" x14ac:dyDescent="0.3">
      <c r="B101" s="12"/>
      <c r="C101" s="13" t="s">
        <v>47</v>
      </c>
      <c r="D101" s="14" t="s">
        <v>11</v>
      </c>
      <c r="E101" s="15">
        <f>E99*1.015</f>
        <v>10.352999999999998</v>
      </c>
      <c r="F101" s="16"/>
      <c r="G101" s="16"/>
      <c r="H101" s="16"/>
      <c r="I101" s="16"/>
      <c r="J101" s="16"/>
      <c r="K101" s="16">
        <f>E101*J101</f>
        <v>0</v>
      </c>
      <c r="L101" s="16">
        <f t="shared" ref="L101:L109" si="23">G101+I101+K101</f>
        <v>0</v>
      </c>
      <c r="M101" s="58"/>
      <c r="N101" s="58"/>
      <c r="O101" s="58"/>
    </row>
    <row r="102" spans="2:16" s="57" customFormat="1" x14ac:dyDescent="0.3">
      <c r="B102" s="12"/>
      <c r="C102" s="13" t="s">
        <v>113</v>
      </c>
      <c r="D102" s="14" t="s">
        <v>33</v>
      </c>
      <c r="E102" s="15">
        <f>E99</f>
        <v>10.199999999999999</v>
      </c>
      <c r="F102" s="17"/>
      <c r="G102" s="16"/>
      <c r="H102" s="16"/>
      <c r="I102" s="16"/>
      <c r="J102" s="16"/>
      <c r="K102" s="16">
        <f>E102*J102</f>
        <v>0</v>
      </c>
      <c r="L102" s="16">
        <f t="shared" si="23"/>
        <v>0</v>
      </c>
      <c r="M102" s="58"/>
      <c r="N102" s="58"/>
      <c r="O102" s="58"/>
      <c r="P102" s="56"/>
    </row>
    <row r="103" spans="2:16" s="56" customFormat="1" x14ac:dyDescent="0.3">
      <c r="B103" s="12"/>
      <c r="C103" s="13" t="s">
        <v>136</v>
      </c>
      <c r="D103" s="14" t="s">
        <v>11</v>
      </c>
      <c r="E103" s="15">
        <f>E99*1.015</f>
        <v>10.352999999999998</v>
      </c>
      <c r="F103" s="17"/>
      <c r="G103" s="16">
        <f t="shared" ref="G103:G109" si="24">E103*F103</f>
        <v>0</v>
      </c>
      <c r="H103" s="16"/>
      <c r="I103" s="16"/>
      <c r="J103" s="16"/>
      <c r="K103" s="16"/>
      <c r="L103" s="16">
        <f t="shared" si="23"/>
        <v>0</v>
      </c>
      <c r="M103" s="58"/>
      <c r="N103" s="58"/>
      <c r="O103" s="58"/>
    </row>
    <row r="104" spans="2:16" s="56" customFormat="1" x14ac:dyDescent="0.3">
      <c r="B104" s="12"/>
      <c r="C104" s="13" t="s">
        <v>114</v>
      </c>
      <c r="D104" s="14" t="s">
        <v>11</v>
      </c>
      <c r="E104" s="15">
        <f>E99</f>
        <v>10.199999999999999</v>
      </c>
      <c r="F104" s="17"/>
      <c r="G104" s="16">
        <f t="shared" si="24"/>
        <v>0</v>
      </c>
      <c r="H104" s="16"/>
      <c r="I104" s="16"/>
      <c r="J104" s="16"/>
      <c r="K104" s="16"/>
      <c r="L104" s="16">
        <f t="shared" si="23"/>
        <v>0</v>
      </c>
      <c r="M104" s="58"/>
      <c r="N104" s="58"/>
      <c r="O104" s="58"/>
    </row>
    <row r="105" spans="2:16" s="56" customFormat="1" x14ac:dyDescent="0.3">
      <c r="B105" s="12"/>
      <c r="C105" s="13" t="s">
        <v>115</v>
      </c>
      <c r="D105" s="14" t="s">
        <v>36</v>
      </c>
      <c r="E105" s="15">
        <f>SUM(E106:E108)</f>
        <v>0.80859900000000007</v>
      </c>
      <c r="F105" s="17"/>
      <c r="G105" s="16">
        <f t="shared" si="24"/>
        <v>0</v>
      </c>
      <c r="H105" s="16"/>
      <c r="I105" s="16"/>
      <c r="J105" s="16"/>
      <c r="K105" s="16"/>
      <c r="L105" s="16">
        <f t="shared" si="23"/>
        <v>0</v>
      </c>
      <c r="M105" s="58"/>
      <c r="N105" s="58"/>
      <c r="O105" s="58"/>
    </row>
    <row r="106" spans="2:16" s="57" customFormat="1" x14ac:dyDescent="0.3">
      <c r="B106" s="12"/>
      <c r="C106" s="13" t="s">
        <v>116</v>
      </c>
      <c r="D106" s="14" t="s">
        <v>36</v>
      </c>
      <c r="E106" s="15">
        <f>28.5/1000*1.07</f>
        <v>3.0495000000000001E-2</v>
      </c>
      <c r="F106" s="17"/>
      <c r="G106" s="16">
        <f t="shared" si="24"/>
        <v>0</v>
      </c>
      <c r="H106" s="16"/>
      <c r="I106" s="16"/>
      <c r="J106" s="16"/>
      <c r="K106" s="16"/>
      <c r="L106" s="16">
        <f t="shared" si="23"/>
        <v>0</v>
      </c>
      <c r="M106" s="58"/>
      <c r="N106" s="58"/>
      <c r="O106" s="58"/>
      <c r="P106" s="56"/>
    </row>
    <row r="107" spans="2:16" s="56" customFormat="1" x14ac:dyDescent="0.3">
      <c r="B107" s="12"/>
      <c r="C107" s="13" t="s">
        <v>117</v>
      </c>
      <c r="D107" s="14" t="s">
        <v>36</v>
      </c>
      <c r="E107" s="15">
        <f>485.6/1000*1.07</f>
        <v>0.51959200000000005</v>
      </c>
      <c r="F107" s="17"/>
      <c r="G107" s="16">
        <f t="shared" si="24"/>
        <v>0</v>
      </c>
      <c r="H107" s="16"/>
      <c r="I107" s="16"/>
      <c r="J107" s="16"/>
      <c r="K107" s="16"/>
      <c r="L107" s="16">
        <f t="shared" si="23"/>
        <v>0</v>
      </c>
      <c r="M107" s="58"/>
      <c r="N107" s="58"/>
      <c r="O107" s="58"/>
    </row>
    <row r="108" spans="2:16" s="57" customFormat="1" x14ac:dyDescent="0.3">
      <c r="B108" s="12"/>
      <c r="C108" s="13" t="s">
        <v>118</v>
      </c>
      <c r="D108" s="14" t="s">
        <v>36</v>
      </c>
      <c r="E108" s="15">
        <f>241.6/1000*1.07</f>
        <v>0.25851200000000002</v>
      </c>
      <c r="F108" s="17"/>
      <c r="G108" s="16">
        <f t="shared" si="24"/>
        <v>0</v>
      </c>
      <c r="H108" s="16"/>
      <c r="I108" s="16"/>
      <c r="J108" s="16"/>
      <c r="K108" s="16"/>
      <c r="L108" s="16">
        <f t="shared" si="23"/>
        <v>0</v>
      </c>
      <c r="M108" s="58"/>
      <c r="N108" s="58"/>
      <c r="O108" s="58"/>
      <c r="P108" s="56"/>
    </row>
    <row r="109" spans="2:16" s="56" customFormat="1" x14ac:dyDescent="0.3">
      <c r="B109" s="12"/>
      <c r="C109" s="13" t="s">
        <v>120</v>
      </c>
      <c r="D109" s="14" t="s">
        <v>33</v>
      </c>
      <c r="E109" s="15">
        <f>E99</f>
        <v>10.199999999999999</v>
      </c>
      <c r="F109" s="16"/>
      <c r="G109" s="16">
        <f t="shared" si="24"/>
        <v>0</v>
      </c>
      <c r="H109" s="16"/>
      <c r="I109" s="16"/>
      <c r="J109" s="16"/>
      <c r="K109" s="16"/>
      <c r="L109" s="16">
        <f t="shared" si="23"/>
        <v>0</v>
      </c>
      <c r="M109" s="58"/>
      <c r="N109" s="58"/>
      <c r="O109" s="58"/>
    </row>
    <row r="110" spans="2:16" s="56" customFormat="1" x14ac:dyDescent="0.3">
      <c r="B110" s="5">
        <f>MAX($B$5:B109)+1</f>
        <v>13</v>
      </c>
      <c r="C110" s="23" t="s">
        <v>220</v>
      </c>
      <c r="D110" s="6" t="s">
        <v>11</v>
      </c>
      <c r="E110" s="86">
        <v>7.46</v>
      </c>
      <c r="F110" s="23"/>
      <c r="G110" s="23"/>
      <c r="H110" s="23"/>
      <c r="I110" s="23"/>
      <c r="J110" s="23"/>
      <c r="K110" s="23"/>
      <c r="L110" s="23"/>
      <c r="M110" s="58"/>
      <c r="N110" s="58"/>
      <c r="O110" s="58"/>
    </row>
    <row r="111" spans="2:16" s="56" customFormat="1" x14ac:dyDescent="0.3">
      <c r="B111" s="12"/>
      <c r="C111" s="13" t="s">
        <v>6</v>
      </c>
      <c r="D111" s="14" t="s">
        <v>11</v>
      </c>
      <c r="E111" s="15">
        <f>E110</f>
        <v>7.46</v>
      </c>
      <c r="F111" s="16"/>
      <c r="G111" s="16"/>
      <c r="H111" s="16"/>
      <c r="I111" s="16">
        <f>E111*H111</f>
        <v>0</v>
      </c>
      <c r="J111" s="16"/>
      <c r="K111" s="16"/>
      <c r="L111" s="16">
        <f>G111+I111+K111</f>
        <v>0</v>
      </c>
      <c r="M111" s="58"/>
      <c r="N111" s="58"/>
      <c r="O111" s="58"/>
    </row>
    <row r="112" spans="2:16" s="56" customFormat="1" x14ac:dyDescent="0.3">
      <c r="B112" s="12"/>
      <c r="C112" s="13" t="s">
        <v>47</v>
      </c>
      <c r="D112" s="14" t="s">
        <v>11</v>
      </c>
      <c r="E112" s="15">
        <f>E110*1.015</f>
        <v>7.5718999999999994</v>
      </c>
      <c r="F112" s="16"/>
      <c r="G112" s="16"/>
      <c r="H112" s="16"/>
      <c r="I112" s="16"/>
      <c r="J112" s="16"/>
      <c r="K112" s="16">
        <f>E112*J112</f>
        <v>0</v>
      </c>
      <c r="L112" s="16">
        <f t="shared" ref="L112:L120" si="25">G112+I112+K112</f>
        <v>0</v>
      </c>
      <c r="M112" s="58"/>
      <c r="N112" s="58"/>
      <c r="O112" s="58"/>
    </row>
    <row r="113" spans="2:16" s="57" customFormat="1" x14ac:dyDescent="0.3">
      <c r="B113" s="12"/>
      <c r="C113" s="13" t="s">
        <v>113</v>
      </c>
      <c r="D113" s="14" t="s">
        <v>33</v>
      </c>
      <c r="E113" s="15">
        <f>E110</f>
        <v>7.46</v>
      </c>
      <c r="F113" s="17"/>
      <c r="G113" s="16"/>
      <c r="H113" s="16"/>
      <c r="I113" s="16"/>
      <c r="J113" s="16"/>
      <c r="K113" s="16">
        <f>E113*J113</f>
        <v>0</v>
      </c>
      <c r="L113" s="16">
        <f t="shared" si="25"/>
        <v>0</v>
      </c>
      <c r="M113" s="58"/>
      <c r="N113" s="58"/>
      <c r="O113" s="58"/>
      <c r="P113" s="56"/>
    </row>
    <row r="114" spans="2:16" s="56" customFormat="1" x14ac:dyDescent="0.3">
      <c r="B114" s="12"/>
      <c r="C114" s="13" t="s">
        <v>136</v>
      </c>
      <c r="D114" s="14" t="s">
        <v>11</v>
      </c>
      <c r="E114" s="15">
        <f>E110*1.015</f>
        <v>7.5718999999999994</v>
      </c>
      <c r="F114" s="17"/>
      <c r="G114" s="16">
        <f t="shared" ref="G114:G120" si="26">E114*F114</f>
        <v>0</v>
      </c>
      <c r="H114" s="16"/>
      <c r="I114" s="16"/>
      <c r="J114" s="16"/>
      <c r="K114" s="16"/>
      <c r="L114" s="16">
        <f t="shared" si="25"/>
        <v>0</v>
      </c>
      <c r="M114" s="58"/>
      <c r="N114" s="58"/>
      <c r="O114" s="58"/>
    </row>
    <row r="115" spans="2:16" s="56" customFormat="1" x14ac:dyDescent="0.3">
      <c r="B115" s="12"/>
      <c r="C115" s="13" t="s">
        <v>114</v>
      </c>
      <c r="D115" s="14" t="s">
        <v>11</v>
      </c>
      <c r="E115" s="15">
        <f>E110</f>
        <v>7.46</v>
      </c>
      <c r="F115" s="17"/>
      <c r="G115" s="16">
        <f t="shared" si="26"/>
        <v>0</v>
      </c>
      <c r="H115" s="16"/>
      <c r="I115" s="16"/>
      <c r="J115" s="16"/>
      <c r="K115" s="16"/>
      <c r="L115" s="16">
        <f t="shared" si="25"/>
        <v>0</v>
      </c>
      <c r="M115" s="58"/>
      <c r="N115" s="58"/>
      <c r="O115" s="58"/>
    </row>
    <row r="116" spans="2:16" s="56" customFormat="1" x14ac:dyDescent="0.3">
      <c r="B116" s="12"/>
      <c r="C116" s="13" t="s">
        <v>115</v>
      </c>
      <c r="D116" s="14" t="s">
        <v>36</v>
      </c>
      <c r="E116" s="15">
        <f>SUM(E117:E119)</f>
        <v>0.56570900000000002</v>
      </c>
      <c r="F116" s="17"/>
      <c r="G116" s="16">
        <f t="shared" si="26"/>
        <v>0</v>
      </c>
      <c r="H116" s="16"/>
      <c r="I116" s="16"/>
      <c r="J116" s="16"/>
      <c r="K116" s="16"/>
      <c r="L116" s="16">
        <f t="shared" si="25"/>
        <v>0</v>
      </c>
      <c r="M116" s="58"/>
      <c r="N116" s="58"/>
      <c r="O116" s="58"/>
    </row>
    <row r="117" spans="2:16" s="57" customFormat="1" x14ac:dyDescent="0.3">
      <c r="B117" s="12"/>
      <c r="C117" s="13" t="s">
        <v>116</v>
      </c>
      <c r="D117" s="14" t="s">
        <v>36</v>
      </c>
      <c r="E117" s="15">
        <f>21.4/1000*1.07</f>
        <v>2.2898000000000002E-2</v>
      </c>
      <c r="F117" s="17"/>
      <c r="G117" s="16">
        <f t="shared" si="26"/>
        <v>0</v>
      </c>
      <c r="H117" s="16"/>
      <c r="I117" s="16"/>
      <c r="J117" s="16"/>
      <c r="K117" s="16"/>
      <c r="L117" s="16">
        <f t="shared" si="25"/>
        <v>0</v>
      </c>
      <c r="M117" s="58"/>
      <c r="N117" s="58"/>
      <c r="O117" s="58"/>
      <c r="P117" s="56"/>
    </row>
    <row r="118" spans="2:16" s="56" customFormat="1" x14ac:dyDescent="0.3">
      <c r="B118" s="12"/>
      <c r="C118" s="13" t="s">
        <v>117</v>
      </c>
      <c r="D118" s="14" t="s">
        <v>36</v>
      </c>
      <c r="E118" s="15">
        <f>337.9/1000*1.07</f>
        <v>0.36155300000000001</v>
      </c>
      <c r="F118" s="17"/>
      <c r="G118" s="16">
        <f t="shared" si="26"/>
        <v>0</v>
      </c>
      <c r="H118" s="16"/>
      <c r="I118" s="16"/>
      <c r="J118" s="16"/>
      <c r="K118" s="16"/>
      <c r="L118" s="16">
        <f t="shared" si="25"/>
        <v>0</v>
      </c>
      <c r="M118" s="58"/>
      <c r="N118" s="58"/>
      <c r="O118" s="58"/>
    </row>
    <row r="119" spans="2:16" s="57" customFormat="1" x14ac:dyDescent="0.3">
      <c r="B119" s="12"/>
      <c r="C119" s="13" t="s">
        <v>118</v>
      </c>
      <c r="D119" s="14" t="s">
        <v>36</v>
      </c>
      <c r="E119" s="15">
        <f>169.4/1000*1.07</f>
        <v>0.181258</v>
      </c>
      <c r="F119" s="17"/>
      <c r="G119" s="16">
        <f t="shared" si="26"/>
        <v>0</v>
      </c>
      <c r="H119" s="16"/>
      <c r="I119" s="16"/>
      <c r="J119" s="16"/>
      <c r="K119" s="16"/>
      <c r="L119" s="16">
        <f t="shared" si="25"/>
        <v>0</v>
      </c>
      <c r="M119" s="58"/>
      <c r="N119" s="58"/>
      <c r="O119" s="58"/>
      <c r="P119" s="56"/>
    </row>
    <row r="120" spans="2:16" s="56" customFormat="1" x14ac:dyDescent="0.3">
      <c r="B120" s="12"/>
      <c r="C120" s="13" t="s">
        <v>120</v>
      </c>
      <c r="D120" s="14" t="s">
        <v>33</v>
      </c>
      <c r="E120" s="15">
        <f>E110</f>
        <v>7.46</v>
      </c>
      <c r="F120" s="16"/>
      <c r="G120" s="16">
        <f t="shared" si="26"/>
        <v>0</v>
      </c>
      <c r="H120" s="16"/>
      <c r="I120" s="16"/>
      <c r="J120" s="16"/>
      <c r="K120" s="16"/>
      <c r="L120" s="16">
        <f t="shared" si="25"/>
        <v>0</v>
      </c>
      <c r="M120" s="58"/>
      <c r="N120" s="58"/>
      <c r="O120" s="58"/>
    </row>
    <row r="121" spans="2:16" s="56" customFormat="1" x14ac:dyDescent="0.3">
      <c r="B121" s="5">
        <f>MAX($B$5:B120)+1</f>
        <v>14</v>
      </c>
      <c r="C121" s="23" t="s">
        <v>221</v>
      </c>
      <c r="D121" s="6" t="s">
        <v>11</v>
      </c>
      <c r="E121" s="86">
        <v>5.7</v>
      </c>
      <c r="F121" s="23"/>
      <c r="G121" s="23"/>
      <c r="H121" s="23"/>
      <c r="I121" s="23"/>
      <c r="J121" s="23"/>
      <c r="K121" s="23"/>
      <c r="L121" s="23"/>
      <c r="M121" s="58"/>
      <c r="N121" s="58"/>
      <c r="O121" s="58"/>
    </row>
    <row r="122" spans="2:16" s="56" customFormat="1" x14ac:dyDescent="0.3">
      <c r="B122" s="12"/>
      <c r="C122" s="13" t="s">
        <v>6</v>
      </c>
      <c r="D122" s="14" t="s">
        <v>11</v>
      </c>
      <c r="E122" s="15">
        <f>E121</f>
        <v>5.7</v>
      </c>
      <c r="F122" s="16"/>
      <c r="G122" s="16"/>
      <c r="H122" s="16"/>
      <c r="I122" s="16">
        <f>E122*H122</f>
        <v>0</v>
      </c>
      <c r="J122" s="16"/>
      <c r="K122" s="16"/>
      <c r="L122" s="16">
        <f>G122+I122+K122</f>
        <v>0</v>
      </c>
      <c r="M122" s="58"/>
      <c r="N122" s="58"/>
      <c r="O122" s="58"/>
    </row>
    <row r="123" spans="2:16" s="56" customFormat="1" x14ac:dyDescent="0.3">
      <c r="B123" s="12"/>
      <c r="C123" s="13" t="s">
        <v>47</v>
      </c>
      <c r="D123" s="14" t="s">
        <v>11</v>
      </c>
      <c r="E123" s="15">
        <f>E121*1.015</f>
        <v>5.7854999999999999</v>
      </c>
      <c r="F123" s="16"/>
      <c r="G123" s="16"/>
      <c r="H123" s="16"/>
      <c r="I123" s="16"/>
      <c r="J123" s="16"/>
      <c r="K123" s="16">
        <f>E123*J123</f>
        <v>0</v>
      </c>
      <c r="L123" s="16">
        <f t="shared" ref="L123:L131" si="27">G123+I123+K123</f>
        <v>0</v>
      </c>
      <c r="M123" s="58"/>
      <c r="N123" s="58"/>
      <c r="O123" s="58"/>
    </row>
    <row r="124" spans="2:16" s="57" customFormat="1" x14ac:dyDescent="0.3">
      <c r="B124" s="12"/>
      <c r="C124" s="13" t="s">
        <v>113</v>
      </c>
      <c r="D124" s="14" t="s">
        <v>33</v>
      </c>
      <c r="E124" s="15">
        <f>E121</f>
        <v>5.7</v>
      </c>
      <c r="F124" s="17"/>
      <c r="G124" s="16"/>
      <c r="H124" s="16"/>
      <c r="I124" s="16"/>
      <c r="J124" s="16"/>
      <c r="K124" s="16">
        <f>E124*J124</f>
        <v>0</v>
      </c>
      <c r="L124" s="16">
        <f t="shared" si="27"/>
        <v>0</v>
      </c>
      <c r="M124" s="58"/>
      <c r="N124" s="58"/>
      <c r="O124" s="58"/>
      <c r="P124" s="56"/>
    </row>
    <row r="125" spans="2:16" s="56" customFormat="1" x14ac:dyDescent="0.3">
      <c r="B125" s="12"/>
      <c r="C125" s="13" t="s">
        <v>136</v>
      </c>
      <c r="D125" s="14" t="s">
        <v>11</v>
      </c>
      <c r="E125" s="15">
        <f>E121*1.015</f>
        <v>5.7854999999999999</v>
      </c>
      <c r="F125" s="17"/>
      <c r="G125" s="16">
        <f t="shared" ref="G125:G131" si="28">E125*F125</f>
        <v>0</v>
      </c>
      <c r="H125" s="16"/>
      <c r="I125" s="16"/>
      <c r="J125" s="16"/>
      <c r="K125" s="16"/>
      <c r="L125" s="16">
        <f t="shared" si="27"/>
        <v>0</v>
      </c>
      <c r="M125" s="58"/>
      <c r="N125" s="58"/>
      <c r="O125" s="58"/>
    </row>
    <row r="126" spans="2:16" s="56" customFormat="1" x14ac:dyDescent="0.3">
      <c r="B126" s="12"/>
      <c r="C126" s="13" t="s">
        <v>114</v>
      </c>
      <c r="D126" s="14" t="s">
        <v>11</v>
      </c>
      <c r="E126" s="15">
        <f>E121</f>
        <v>5.7</v>
      </c>
      <c r="F126" s="17"/>
      <c r="G126" s="16">
        <f t="shared" si="28"/>
        <v>0</v>
      </c>
      <c r="H126" s="16"/>
      <c r="I126" s="16"/>
      <c r="J126" s="16"/>
      <c r="K126" s="16"/>
      <c r="L126" s="16">
        <f t="shared" si="27"/>
        <v>0</v>
      </c>
      <c r="M126" s="58"/>
      <c r="N126" s="58"/>
      <c r="O126" s="58"/>
    </row>
    <row r="127" spans="2:16" s="56" customFormat="1" x14ac:dyDescent="0.3">
      <c r="B127" s="12"/>
      <c r="C127" s="13" t="s">
        <v>115</v>
      </c>
      <c r="D127" s="14" t="s">
        <v>36</v>
      </c>
      <c r="E127" s="15">
        <f>SUM(E128:E130)</f>
        <v>0.44629700000000005</v>
      </c>
      <c r="F127" s="17"/>
      <c r="G127" s="16">
        <f t="shared" si="28"/>
        <v>0</v>
      </c>
      <c r="H127" s="16"/>
      <c r="I127" s="16"/>
      <c r="J127" s="16"/>
      <c r="K127" s="16"/>
      <c r="L127" s="16">
        <f t="shared" si="27"/>
        <v>0</v>
      </c>
      <c r="M127" s="58"/>
      <c r="N127" s="58"/>
      <c r="O127" s="58"/>
    </row>
    <row r="128" spans="2:16" s="57" customFormat="1" x14ac:dyDescent="0.3">
      <c r="B128" s="12"/>
      <c r="C128" s="13" t="s">
        <v>116</v>
      </c>
      <c r="D128" s="14" t="s">
        <v>36</v>
      </c>
      <c r="E128" s="15">
        <f>15.3/1000*1.07</f>
        <v>1.6371000000000004E-2</v>
      </c>
      <c r="F128" s="17"/>
      <c r="G128" s="16">
        <f t="shared" si="28"/>
        <v>0</v>
      </c>
      <c r="H128" s="16"/>
      <c r="I128" s="16"/>
      <c r="J128" s="16"/>
      <c r="K128" s="16"/>
      <c r="L128" s="16">
        <f t="shared" si="27"/>
        <v>0</v>
      </c>
      <c r="M128" s="58"/>
      <c r="N128" s="58"/>
      <c r="O128" s="58"/>
      <c r="P128" s="56"/>
    </row>
    <row r="129" spans="2:16" s="56" customFormat="1" x14ac:dyDescent="0.3">
      <c r="B129" s="12"/>
      <c r="C129" s="13" t="s">
        <v>117</v>
      </c>
      <c r="D129" s="14" t="s">
        <v>36</v>
      </c>
      <c r="E129" s="15">
        <f>265/1000*1.07</f>
        <v>0.28355000000000002</v>
      </c>
      <c r="F129" s="17"/>
      <c r="G129" s="16">
        <f t="shared" si="28"/>
        <v>0</v>
      </c>
      <c r="H129" s="16"/>
      <c r="I129" s="16"/>
      <c r="J129" s="16"/>
      <c r="K129" s="16"/>
      <c r="L129" s="16">
        <f t="shared" si="27"/>
        <v>0</v>
      </c>
      <c r="M129" s="58"/>
      <c r="N129" s="58"/>
      <c r="O129" s="58"/>
    </row>
    <row r="130" spans="2:16" s="57" customFormat="1" x14ac:dyDescent="0.3">
      <c r="B130" s="12"/>
      <c r="C130" s="13" t="s">
        <v>118</v>
      </c>
      <c r="D130" s="14" t="s">
        <v>36</v>
      </c>
      <c r="E130" s="15">
        <f>136.8/1000*1.07</f>
        <v>0.14637600000000001</v>
      </c>
      <c r="F130" s="17"/>
      <c r="G130" s="16">
        <f t="shared" si="28"/>
        <v>0</v>
      </c>
      <c r="H130" s="16"/>
      <c r="I130" s="16"/>
      <c r="J130" s="16"/>
      <c r="K130" s="16"/>
      <c r="L130" s="16">
        <f t="shared" si="27"/>
        <v>0</v>
      </c>
      <c r="M130" s="58"/>
      <c r="N130" s="58"/>
      <c r="O130" s="58"/>
      <c r="P130" s="56"/>
    </row>
    <row r="131" spans="2:16" s="56" customFormat="1" x14ac:dyDescent="0.3">
      <c r="B131" s="12"/>
      <c r="C131" s="13" t="s">
        <v>120</v>
      </c>
      <c r="D131" s="14" t="s">
        <v>33</v>
      </c>
      <c r="E131" s="15">
        <f>E121</f>
        <v>5.7</v>
      </c>
      <c r="F131" s="16"/>
      <c r="G131" s="16">
        <f t="shared" si="28"/>
        <v>0</v>
      </c>
      <c r="H131" s="16"/>
      <c r="I131" s="16"/>
      <c r="J131" s="16"/>
      <c r="K131" s="16"/>
      <c r="L131" s="16">
        <f t="shared" si="27"/>
        <v>0</v>
      </c>
      <c r="M131" s="58"/>
      <c r="N131" s="58"/>
      <c r="O131" s="58"/>
    </row>
    <row r="132" spans="2:16" s="56" customFormat="1" x14ac:dyDescent="0.3">
      <c r="B132" s="5">
        <f>MAX($B$5:B131)+1</f>
        <v>15</v>
      </c>
      <c r="C132" s="23" t="s">
        <v>222</v>
      </c>
      <c r="D132" s="6" t="s">
        <v>11</v>
      </c>
      <c r="E132" s="86">
        <v>14.68</v>
      </c>
      <c r="F132" s="23"/>
      <c r="G132" s="23"/>
      <c r="H132" s="23"/>
      <c r="I132" s="23"/>
      <c r="J132" s="23"/>
      <c r="K132" s="23"/>
      <c r="L132" s="23"/>
      <c r="M132" s="58"/>
      <c r="N132" s="58"/>
      <c r="O132" s="58"/>
    </row>
    <row r="133" spans="2:16" s="56" customFormat="1" x14ac:dyDescent="0.3">
      <c r="B133" s="12"/>
      <c r="C133" s="13" t="s">
        <v>6</v>
      </c>
      <c r="D133" s="14" t="s">
        <v>11</v>
      </c>
      <c r="E133" s="15">
        <f>E132</f>
        <v>14.68</v>
      </c>
      <c r="F133" s="16"/>
      <c r="G133" s="16"/>
      <c r="H133" s="16"/>
      <c r="I133" s="16">
        <f>E133*H133</f>
        <v>0</v>
      </c>
      <c r="J133" s="16"/>
      <c r="K133" s="16"/>
      <c r="L133" s="16">
        <f>G133+I133+K133</f>
        <v>0</v>
      </c>
      <c r="M133" s="58"/>
      <c r="N133" s="58"/>
      <c r="O133" s="58"/>
    </row>
    <row r="134" spans="2:16" s="56" customFormat="1" x14ac:dyDescent="0.3">
      <c r="B134" s="12"/>
      <c r="C134" s="13" t="s">
        <v>47</v>
      </c>
      <c r="D134" s="14" t="s">
        <v>11</v>
      </c>
      <c r="E134" s="15">
        <f>E132*1.015</f>
        <v>14.900199999999998</v>
      </c>
      <c r="F134" s="17"/>
      <c r="G134" s="16"/>
      <c r="H134" s="16"/>
      <c r="I134" s="16"/>
      <c r="J134" s="16"/>
      <c r="K134" s="16">
        <f>E134*J134</f>
        <v>0</v>
      </c>
      <c r="L134" s="16">
        <f t="shared" ref="L134:L142" si="29">G134+I134+K134</f>
        <v>0</v>
      </c>
      <c r="M134" s="58"/>
      <c r="N134" s="58"/>
      <c r="O134" s="58"/>
    </row>
    <row r="135" spans="2:16" s="57" customFormat="1" x14ac:dyDescent="0.3">
      <c r="B135" s="12"/>
      <c r="C135" s="13" t="s">
        <v>113</v>
      </c>
      <c r="D135" s="14" t="s">
        <v>33</v>
      </c>
      <c r="E135" s="15">
        <f>E132</f>
        <v>14.68</v>
      </c>
      <c r="F135" s="17"/>
      <c r="G135" s="16"/>
      <c r="H135" s="16"/>
      <c r="I135" s="16"/>
      <c r="J135" s="16"/>
      <c r="K135" s="16">
        <f>E135*J135</f>
        <v>0</v>
      </c>
      <c r="L135" s="16">
        <f t="shared" si="29"/>
        <v>0</v>
      </c>
      <c r="M135" s="58"/>
      <c r="N135" s="58"/>
      <c r="O135" s="58"/>
      <c r="P135" s="56"/>
    </row>
    <row r="136" spans="2:16" s="56" customFormat="1" x14ac:dyDescent="0.3">
      <c r="B136" s="12"/>
      <c r="C136" s="13" t="s">
        <v>136</v>
      </c>
      <c r="D136" s="14" t="s">
        <v>11</v>
      </c>
      <c r="E136" s="15">
        <f>E132*1.015</f>
        <v>14.900199999999998</v>
      </c>
      <c r="F136" s="17"/>
      <c r="G136" s="16">
        <f t="shared" ref="G136:G142" si="30">E136*F136</f>
        <v>0</v>
      </c>
      <c r="H136" s="16"/>
      <c r="I136" s="16"/>
      <c r="J136" s="16"/>
      <c r="K136" s="16"/>
      <c r="L136" s="16">
        <f t="shared" si="29"/>
        <v>0</v>
      </c>
      <c r="M136" s="58"/>
      <c r="N136" s="58"/>
      <c r="O136" s="58"/>
    </row>
    <row r="137" spans="2:16" s="56" customFormat="1" x14ac:dyDescent="0.3">
      <c r="B137" s="12"/>
      <c r="C137" s="13" t="s">
        <v>114</v>
      </c>
      <c r="D137" s="14" t="s">
        <v>11</v>
      </c>
      <c r="E137" s="15">
        <f>E132</f>
        <v>14.68</v>
      </c>
      <c r="F137" s="17"/>
      <c r="G137" s="16">
        <f t="shared" si="30"/>
        <v>0</v>
      </c>
      <c r="H137" s="16"/>
      <c r="I137" s="16"/>
      <c r="J137" s="16"/>
      <c r="K137" s="16"/>
      <c r="L137" s="16">
        <f t="shared" si="29"/>
        <v>0</v>
      </c>
      <c r="M137" s="58"/>
      <c r="N137" s="58"/>
      <c r="O137" s="58"/>
    </row>
    <row r="138" spans="2:16" s="56" customFormat="1" x14ac:dyDescent="0.3">
      <c r="B138" s="12"/>
      <c r="C138" s="13" t="s">
        <v>115</v>
      </c>
      <c r="D138" s="14" t="s">
        <v>36</v>
      </c>
      <c r="E138" s="15">
        <f>SUM(E139:E141)</f>
        <v>1.11494</v>
      </c>
      <c r="F138" s="17"/>
      <c r="G138" s="16">
        <f t="shared" si="30"/>
        <v>0</v>
      </c>
      <c r="H138" s="16"/>
      <c r="I138" s="16"/>
      <c r="J138" s="16"/>
      <c r="K138" s="16"/>
      <c r="L138" s="16">
        <f t="shared" si="29"/>
        <v>0</v>
      </c>
      <c r="M138" s="58"/>
      <c r="N138" s="58"/>
      <c r="O138" s="58"/>
    </row>
    <row r="139" spans="2:16" s="57" customFormat="1" x14ac:dyDescent="0.3">
      <c r="B139" s="12"/>
      <c r="C139" s="13" t="s">
        <v>116</v>
      </c>
      <c r="D139" s="14" t="s">
        <v>36</v>
      </c>
      <c r="E139" s="15">
        <f>43.1/1000*1.07</f>
        <v>4.6117000000000005E-2</v>
      </c>
      <c r="F139" s="17"/>
      <c r="G139" s="16">
        <f t="shared" si="30"/>
        <v>0</v>
      </c>
      <c r="H139" s="16"/>
      <c r="I139" s="16"/>
      <c r="J139" s="16"/>
      <c r="K139" s="16"/>
      <c r="L139" s="16">
        <f t="shared" si="29"/>
        <v>0</v>
      </c>
      <c r="M139" s="58"/>
      <c r="N139" s="58"/>
      <c r="O139" s="58"/>
      <c r="P139" s="56"/>
    </row>
    <row r="140" spans="2:16" s="56" customFormat="1" x14ac:dyDescent="0.3">
      <c r="B140" s="12"/>
      <c r="C140" s="13" t="s">
        <v>117</v>
      </c>
      <c r="D140" s="14" t="s">
        <v>36</v>
      </c>
      <c r="E140" s="15">
        <f>660.3/1000*1.07</f>
        <v>0.70652100000000007</v>
      </c>
      <c r="F140" s="17"/>
      <c r="G140" s="16">
        <f t="shared" si="30"/>
        <v>0</v>
      </c>
      <c r="H140" s="16"/>
      <c r="I140" s="16"/>
      <c r="J140" s="16"/>
      <c r="K140" s="16"/>
      <c r="L140" s="16">
        <f t="shared" si="29"/>
        <v>0</v>
      </c>
      <c r="M140" s="58"/>
      <c r="N140" s="58"/>
      <c r="O140" s="58"/>
    </row>
    <row r="141" spans="2:16" s="57" customFormat="1" x14ac:dyDescent="0.3">
      <c r="B141" s="12"/>
      <c r="C141" s="13" t="s">
        <v>118</v>
      </c>
      <c r="D141" s="14" t="s">
        <v>36</v>
      </c>
      <c r="E141" s="15">
        <f>338.6/1000*1.07</f>
        <v>0.36230200000000001</v>
      </c>
      <c r="F141" s="17"/>
      <c r="G141" s="16">
        <f t="shared" si="30"/>
        <v>0</v>
      </c>
      <c r="H141" s="16"/>
      <c r="I141" s="16"/>
      <c r="J141" s="16"/>
      <c r="K141" s="16"/>
      <c r="L141" s="16">
        <f t="shared" si="29"/>
        <v>0</v>
      </c>
      <c r="M141" s="58"/>
      <c r="N141" s="58"/>
      <c r="O141" s="58"/>
      <c r="P141" s="56"/>
    </row>
    <row r="142" spans="2:16" s="56" customFormat="1" x14ac:dyDescent="0.3">
      <c r="B142" s="12"/>
      <c r="C142" s="13" t="s">
        <v>120</v>
      </c>
      <c r="D142" s="14" t="s">
        <v>33</v>
      </c>
      <c r="E142" s="15">
        <f>E132</f>
        <v>14.68</v>
      </c>
      <c r="F142" s="16"/>
      <c r="G142" s="16">
        <f t="shared" si="30"/>
        <v>0</v>
      </c>
      <c r="H142" s="16"/>
      <c r="I142" s="16"/>
      <c r="J142" s="16"/>
      <c r="K142" s="16"/>
      <c r="L142" s="16">
        <f t="shared" si="29"/>
        <v>0</v>
      </c>
      <c r="M142" s="58"/>
      <c r="N142" s="58"/>
      <c r="O142" s="58"/>
    </row>
    <row r="143" spans="2:16" s="56" customFormat="1" x14ac:dyDescent="0.3">
      <c r="B143" s="5">
        <f>MAX($B$5:B142)+1</f>
        <v>16</v>
      </c>
      <c r="C143" s="23" t="s">
        <v>223</v>
      </c>
      <c r="D143" s="6" t="s">
        <v>11</v>
      </c>
      <c r="E143" s="86">
        <v>13.87</v>
      </c>
      <c r="F143" s="23"/>
      <c r="G143" s="23"/>
      <c r="H143" s="23"/>
      <c r="I143" s="23"/>
      <c r="J143" s="23"/>
      <c r="K143" s="23"/>
      <c r="L143" s="23"/>
      <c r="M143" s="58"/>
      <c r="N143" s="58"/>
      <c r="O143" s="58"/>
    </row>
    <row r="144" spans="2:16" s="56" customFormat="1" x14ac:dyDescent="0.3">
      <c r="B144" s="12"/>
      <c r="C144" s="13" t="s">
        <v>6</v>
      </c>
      <c r="D144" s="14" t="s">
        <v>11</v>
      </c>
      <c r="E144" s="15">
        <f>E143</f>
        <v>13.87</v>
      </c>
      <c r="F144" s="16"/>
      <c r="G144" s="16"/>
      <c r="H144" s="16"/>
      <c r="I144" s="16">
        <f>E144*H144</f>
        <v>0</v>
      </c>
      <c r="J144" s="16"/>
      <c r="K144" s="16"/>
      <c r="L144" s="16">
        <f>G144+I144+K144</f>
        <v>0</v>
      </c>
      <c r="M144" s="58"/>
      <c r="N144" s="58"/>
      <c r="O144" s="58"/>
    </row>
    <row r="145" spans="2:16" s="56" customFormat="1" x14ac:dyDescent="0.3">
      <c r="B145" s="12"/>
      <c r="C145" s="13" t="s">
        <v>47</v>
      </c>
      <c r="D145" s="14" t="s">
        <v>11</v>
      </c>
      <c r="E145" s="15">
        <f>E143*1.015</f>
        <v>14.078049999999998</v>
      </c>
      <c r="F145" s="16"/>
      <c r="G145" s="16"/>
      <c r="H145" s="16"/>
      <c r="I145" s="16"/>
      <c r="J145" s="16"/>
      <c r="K145" s="16">
        <f>E145*J145</f>
        <v>0</v>
      </c>
      <c r="L145" s="16">
        <f t="shared" ref="L145:L153" si="31">G145+I145+K145</f>
        <v>0</v>
      </c>
      <c r="M145" s="58"/>
      <c r="N145" s="58"/>
      <c r="O145" s="58"/>
    </row>
    <row r="146" spans="2:16" s="57" customFormat="1" x14ac:dyDescent="0.3">
      <c r="B146" s="12"/>
      <c r="C146" s="13" t="s">
        <v>113</v>
      </c>
      <c r="D146" s="14" t="s">
        <v>33</v>
      </c>
      <c r="E146" s="15">
        <f>E143</f>
        <v>13.87</v>
      </c>
      <c r="F146" s="17"/>
      <c r="G146" s="16"/>
      <c r="H146" s="16"/>
      <c r="I146" s="16"/>
      <c r="J146" s="16"/>
      <c r="K146" s="16">
        <f>E146*J146</f>
        <v>0</v>
      </c>
      <c r="L146" s="16">
        <f t="shared" si="31"/>
        <v>0</v>
      </c>
      <c r="M146" s="58"/>
      <c r="N146" s="58"/>
      <c r="O146" s="58"/>
      <c r="P146" s="56"/>
    </row>
    <row r="147" spans="2:16" s="56" customFormat="1" x14ac:dyDescent="0.3">
      <c r="B147" s="12"/>
      <c r="C147" s="13" t="s">
        <v>136</v>
      </c>
      <c r="D147" s="14" t="s">
        <v>11</v>
      </c>
      <c r="E147" s="15">
        <f>E143*1.015</f>
        <v>14.078049999999998</v>
      </c>
      <c r="F147" s="17"/>
      <c r="G147" s="16">
        <f t="shared" ref="G147:G153" si="32">E147*F147</f>
        <v>0</v>
      </c>
      <c r="H147" s="16"/>
      <c r="I147" s="16"/>
      <c r="J147" s="16"/>
      <c r="K147" s="16"/>
      <c r="L147" s="16">
        <f t="shared" si="31"/>
        <v>0</v>
      </c>
      <c r="M147" s="58"/>
      <c r="N147" s="58"/>
      <c r="O147" s="58"/>
    </row>
    <row r="148" spans="2:16" s="56" customFormat="1" x14ac:dyDescent="0.3">
      <c r="B148" s="12"/>
      <c r="C148" s="13" t="s">
        <v>114</v>
      </c>
      <c r="D148" s="14" t="s">
        <v>11</v>
      </c>
      <c r="E148" s="15">
        <f>E143</f>
        <v>13.87</v>
      </c>
      <c r="F148" s="17"/>
      <c r="G148" s="16">
        <f t="shared" si="32"/>
        <v>0</v>
      </c>
      <c r="H148" s="16"/>
      <c r="I148" s="16"/>
      <c r="J148" s="16"/>
      <c r="K148" s="16"/>
      <c r="L148" s="16">
        <f t="shared" si="31"/>
        <v>0</v>
      </c>
      <c r="M148" s="58"/>
      <c r="N148" s="58"/>
      <c r="O148" s="58"/>
    </row>
    <row r="149" spans="2:16" s="56" customFormat="1" x14ac:dyDescent="0.3">
      <c r="B149" s="12"/>
      <c r="C149" s="13" t="s">
        <v>115</v>
      </c>
      <c r="D149" s="14" t="s">
        <v>36</v>
      </c>
      <c r="E149" s="15">
        <f>SUM(E150:E152)</f>
        <v>1.0874410000000001</v>
      </c>
      <c r="F149" s="17"/>
      <c r="G149" s="16">
        <f t="shared" si="32"/>
        <v>0</v>
      </c>
      <c r="H149" s="16"/>
      <c r="I149" s="16"/>
      <c r="J149" s="16"/>
      <c r="K149" s="16"/>
      <c r="L149" s="16">
        <f t="shared" si="31"/>
        <v>0</v>
      </c>
      <c r="M149" s="58"/>
      <c r="N149" s="58"/>
      <c r="O149" s="58"/>
    </row>
    <row r="150" spans="2:16" s="57" customFormat="1" x14ac:dyDescent="0.3">
      <c r="B150" s="12"/>
      <c r="C150" s="13" t="s">
        <v>116</v>
      </c>
      <c r="D150" s="14" t="s">
        <v>36</v>
      </c>
      <c r="E150" s="15">
        <f>42.8/1000*1.07</f>
        <v>4.5796000000000003E-2</v>
      </c>
      <c r="F150" s="17"/>
      <c r="G150" s="16">
        <f t="shared" si="32"/>
        <v>0</v>
      </c>
      <c r="H150" s="16"/>
      <c r="I150" s="16"/>
      <c r="J150" s="16"/>
      <c r="K150" s="16"/>
      <c r="L150" s="16">
        <f t="shared" si="31"/>
        <v>0</v>
      </c>
      <c r="M150" s="58"/>
      <c r="N150" s="58"/>
      <c r="O150" s="58"/>
      <c r="P150" s="56"/>
    </row>
    <row r="151" spans="2:16" s="56" customFormat="1" x14ac:dyDescent="0.3">
      <c r="B151" s="12"/>
      <c r="C151" s="13" t="s">
        <v>117</v>
      </c>
      <c r="D151" s="14" t="s">
        <v>36</v>
      </c>
      <c r="E151" s="15">
        <f>641.7/1000*1.07</f>
        <v>0.68661900000000009</v>
      </c>
      <c r="F151" s="17"/>
      <c r="G151" s="16">
        <f t="shared" si="32"/>
        <v>0</v>
      </c>
      <c r="H151" s="16"/>
      <c r="I151" s="16"/>
      <c r="J151" s="16"/>
      <c r="K151" s="16"/>
      <c r="L151" s="16">
        <f t="shared" si="31"/>
        <v>0</v>
      </c>
      <c r="M151" s="58"/>
      <c r="N151" s="58"/>
      <c r="O151" s="58"/>
    </row>
    <row r="152" spans="2:16" s="57" customFormat="1" x14ac:dyDescent="0.3">
      <c r="B152" s="12"/>
      <c r="C152" s="13" t="s">
        <v>118</v>
      </c>
      <c r="D152" s="14" t="s">
        <v>36</v>
      </c>
      <c r="E152" s="15">
        <f>331.8/1000*1.07</f>
        <v>0.35502600000000001</v>
      </c>
      <c r="F152" s="17"/>
      <c r="G152" s="16">
        <f t="shared" si="32"/>
        <v>0</v>
      </c>
      <c r="H152" s="16"/>
      <c r="I152" s="16"/>
      <c r="J152" s="16"/>
      <c r="K152" s="16"/>
      <c r="L152" s="16">
        <f t="shared" si="31"/>
        <v>0</v>
      </c>
      <c r="M152" s="58"/>
      <c r="N152" s="58"/>
      <c r="O152" s="58"/>
      <c r="P152" s="56"/>
    </row>
    <row r="153" spans="2:16" s="56" customFormat="1" x14ac:dyDescent="0.3">
      <c r="B153" s="12"/>
      <c r="C153" s="13" t="s">
        <v>120</v>
      </c>
      <c r="D153" s="14" t="s">
        <v>33</v>
      </c>
      <c r="E153" s="15">
        <f>E143</f>
        <v>13.87</v>
      </c>
      <c r="F153" s="16"/>
      <c r="G153" s="16">
        <f t="shared" si="32"/>
        <v>0</v>
      </c>
      <c r="H153" s="16"/>
      <c r="I153" s="16"/>
      <c r="J153" s="16"/>
      <c r="K153" s="16"/>
      <c r="L153" s="16">
        <f t="shared" si="31"/>
        <v>0</v>
      </c>
      <c r="M153" s="58"/>
      <c r="N153" s="58"/>
      <c r="O153" s="58"/>
    </row>
    <row r="154" spans="2:16" s="56" customFormat="1" x14ac:dyDescent="0.3">
      <c r="B154" s="5">
        <f>MAX($B$5:B153)+1</f>
        <v>17</v>
      </c>
      <c r="C154" s="23" t="s">
        <v>224</v>
      </c>
      <c r="D154" s="6" t="s">
        <v>11</v>
      </c>
      <c r="E154" s="86">
        <v>6.18</v>
      </c>
      <c r="F154" s="23"/>
      <c r="G154" s="23"/>
      <c r="H154" s="23"/>
      <c r="I154" s="23"/>
      <c r="J154" s="23"/>
      <c r="K154" s="23"/>
      <c r="L154" s="23"/>
      <c r="M154" s="58"/>
      <c r="N154" s="58"/>
      <c r="O154" s="58"/>
    </row>
    <row r="155" spans="2:16" s="56" customFormat="1" x14ac:dyDescent="0.3">
      <c r="B155" s="12"/>
      <c r="C155" s="13" t="s">
        <v>6</v>
      </c>
      <c r="D155" s="14" t="s">
        <v>11</v>
      </c>
      <c r="E155" s="15">
        <f>E154</f>
        <v>6.18</v>
      </c>
      <c r="F155" s="16"/>
      <c r="G155" s="16"/>
      <c r="H155" s="16"/>
      <c r="I155" s="16">
        <f>E155*H155</f>
        <v>0</v>
      </c>
      <c r="J155" s="16"/>
      <c r="K155" s="16"/>
      <c r="L155" s="16">
        <f>G155+I155+K155</f>
        <v>0</v>
      </c>
      <c r="M155" s="58"/>
      <c r="N155" s="58"/>
      <c r="O155" s="58"/>
    </row>
    <row r="156" spans="2:16" s="56" customFormat="1" x14ac:dyDescent="0.3">
      <c r="B156" s="12"/>
      <c r="C156" s="13" t="s">
        <v>47</v>
      </c>
      <c r="D156" s="14" t="s">
        <v>11</v>
      </c>
      <c r="E156" s="15">
        <f>E154*1.015</f>
        <v>6.2726999999999995</v>
      </c>
      <c r="F156" s="16"/>
      <c r="G156" s="16"/>
      <c r="H156" s="16"/>
      <c r="I156" s="16"/>
      <c r="J156" s="16"/>
      <c r="K156" s="16">
        <f>E156*J156</f>
        <v>0</v>
      </c>
      <c r="L156" s="16">
        <f t="shared" ref="L156:L164" si="33">G156+I156+K156</f>
        <v>0</v>
      </c>
      <c r="M156" s="58"/>
      <c r="N156" s="58"/>
      <c r="O156" s="58"/>
    </row>
    <row r="157" spans="2:16" s="57" customFormat="1" x14ac:dyDescent="0.3">
      <c r="B157" s="12"/>
      <c r="C157" s="13" t="s">
        <v>113</v>
      </c>
      <c r="D157" s="14" t="s">
        <v>33</v>
      </c>
      <c r="E157" s="15">
        <f>E154</f>
        <v>6.18</v>
      </c>
      <c r="F157" s="17"/>
      <c r="G157" s="16"/>
      <c r="H157" s="16"/>
      <c r="I157" s="16"/>
      <c r="J157" s="16"/>
      <c r="K157" s="16">
        <f>E157*J157</f>
        <v>0</v>
      </c>
      <c r="L157" s="16">
        <f t="shared" si="33"/>
        <v>0</v>
      </c>
      <c r="M157" s="58"/>
      <c r="N157" s="58"/>
      <c r="O157" s="58"/>
      <c r="P157" s="56"/>
    </row>
    <row r="158" spans="2:16" s="56" customFormat="1" x14ac:dyDescent="0.3">
      <c r="B158" s="12"/>
      <c r="C158" s="13" t="s">
        <v>136</v>
      </c>
      <c r="D158" s="14" t="s">
        <v>11</v>
      </c>
      <c r="E158" s="15">
        <f>E154*1.015</f>
        <v>6.2726999999999995</v>
      </c>
      <c r="F158" s="17"/>
      <c r="G158" s="16">
        <f t="shared" ref="G158:G164" si="34">E158*F158</f>
        <v>0</v>
      </c>
      <c r="H158" s="16"/>
      <c r="I158" s="16"/>
      <c r="J158" s="16"/>
      <c r="K158" s="16"/>
      <c r="L158" s="16">
        <f t="shared" si="33"/>
        <v>0</v>
      </c>
      <c r="M158" s="58"/>
      <c r="N158" s="58"/>
      <c r="O158" s="58"/>
    </row>
    <row r="159" spans="2:16" s="56" customFormat="1" x14ac:dyDescent="0.3">
      <c r="B159" s="12"/>
      <c r="C159" s="13" t="s">
        <v>114</v>
      </c>
      <c r="D159" s="14" t="s">
        <v>11</v>
      </c>
      <c r="E159" s="15">
        <f>E154</f>
        <v>6.18</v>
      </c>
      <c r="F159" s="17"/>
      <c r="G159" s="16">
        <f t="shared" si="34"/>
        <v>0</v>
      </c>
      <c r="H159" s="16"/>
      <c r="I159" s="16"/>
      <c r="J159" s="16"/>
      <c r="K159" s="16"/>
      <c r="L159" s="16">
        <f t="shared" si="33"/>
        <v>0</v>
      </c>
      <c r="M159" s="58"/>
      <c r="N159" s="58"/>
      <c r="O159" s="58"/>
    </row>
    <row r="160" spans="2:16" s="56" customFormat="1" x14ac:dyDescent="0.3">
      <c r="B160" s="12"/>
      <c r="C160" s="13" t="s">
        <v>115</v>
      </c>
      <c r="D160" s="14" t="s">
        <v>36</v>
      </c>
      <c r="E160" s="15">
        <f>SUM(E161:E163)</f>
        <v>0.50204400000000005</v>
      </c>
      <c r="F160" s="17"/>
      <c r="G160" s="16">
        <f t="shared" si="34"/>
        <v>0</v>
      </c>
      <c r="H160" s="16"/>
      <c r="I160" s="16"/>
      <c r="J160" s="16"/>
      <c r="K160" s="16"/>
      <c r="L160" s="16">
        <f t="shared" si="33"/>
        <v>0</v>
      </c>
      <c r="M160" s="58"/>
      <c r="N160" s="58"/>
      <c r="O160" s="58"/>
    </row>
    <row r="161" spans="2:16" s="57" customFormat="1" x14ac:dyDescent="0.3">
      <c r="B161" s="12"/>
      <c r="C161" s="13" t="s">
        <v>116</v>
      </c>
      <c r="D161" s="14" t="s">
        <v>36</v>
      </c>
      <c r="E161" s="15">
        <f>21.6/1000*1.07</f>
        <v>2.3112000000000004E-2</v>
      </c>
      <c r="F161" s="17"/>
      <c r="G161" s="16">
        <f t="shared" si="34"/>
        <v>0</v>
      </c>
      <c r="H161" s="16"/>
      <c r="I161" s="16"/>
      <c r="J161" s="16"/>
      <c r="K161" s="16"/>
      <c r="L161" s="16">
        <f t="shared" si="33"/>
        <v>0</v>
      </c>
      <c r="M161" s="58"/>
      <c r="N161" s="58"/>
      <c r="O161" s="58"/>
      <c r="P161" s="56"/>
    </row>
    <row r="162" spans="2:16" s="56" customFormat="1" x14ac:dyDescent="0.3">
      <c r="B162" s="12"/>
      <c r="C162" s="13" t="s">
        <v>117</v>
      </c>
      <c r="D162" s="14" t="s">
        <v>36</v>
      </c>
      <c r="E162" s="15">
        <f>287.9/1000*1.07</f>
        <v>0.30805300000000002</v>
      </c>
      <c r="F162" s="17"/>
      <c r="G162" s="16">
        <f t="shared" si="34"/>
        <v>0</v>
      </c>
      <c r="H162" s="16"/>
      <c r="I162" s="16"/>
      <c r="J162" s="16"/>
      <c r="K162" s="16"/>
      <c r="L162" s="16">
        <f t="shared" si="33"/>
        <v>0</v>
      </c>
      <c r="M162" s="58"/>
      <c r="N162" s="58"/>
      <c r="O162" s="58"/>
    </row>
    <row r="163" spans="2:16" s="57" customFormat="1" x14ac:dyDescent="0.3">
      <c r="B163" s="12"/>
      <c r="C163" s="13" t="s">
        <v>118</v>
      </c>
      <c r="D163" s="14" t="s">
        <v>36</v>
      </c>
      <c r="E163" s="15">
        <f>159.7/1000*1.07</f>
        <v>0.170879</v>
      </c>
      <c r="F163" s="17"/>
      <c r="G163" s="16">
        <f t="shared" si="34"/>
        <v>0</v>
      </c>
      <c r="H163" s="16"/>
      <c r="I163" s="16"/>
      <c r="J163" s="16"/>
      <c r="K163" s="16"/>
      <c r="L163" s="16">
        <f t="shared" si="33"/>
        <v>0</v>
      </c>
      <c r="M163" s="58"/>
      <c r="N163" s="58"/>
      <c r="O163" s="58"/>
      <c r="P163" s="56"/>
    </row>
    <row r="164" spans="2:16" s="56" customFormat="1" x14ac:dyDescent="0.3">
      <c r="B164" s="12"/>
      <c r="C164" s="13" t="s">
        <v>120</v>
      </c>
      <c r="D164" s="14" t="s">
        <v>33</v>
      </c>
      <c r="E164" s="15">
        <f>E154</f>
        <v>6.18</v>
      </c>
      <c r="F164" s="16"/>
      <c r="G164" s="16">
        <f t="shared" si="34"/>
        <v>0</v>
      </c>
      <c r="H164" s="16"/>
      <c r="I164" s="16"/>
      <c r="J164" s="16"/>
      <c r="K164" s="16"/>
      <c r="L164" s="16">
        <f t="shared" si="33"/>
        <v>0</v>
      </c>
      <c r="M164" s="58"/>
      <c r="N164" s="58"/>
      <c r="O164" s="58"/>
    </row>
    <row r="165" spans="2:16" s="56" customFormat="1" x14ac:dyDescent="0.3">
      <c r="B165" s="5">
        <f>MAX($B$5:B164)+1</f>
        <v>18</v>
      </c>
      <c r="C165" s="23" t="s">
        <v>225</v>
      </c>
      <c r="D165" s="6" t="s">
        <v>11</v>
      </c>
      <c r="E165" s="86">
        <v>6.01</v>
      </c>
      <c r="F165" s="23"/>
      <c r="G165" s="23"/>
      <c r="H165" s="23"/>
      <c r="I165" s="23"/>
      <c r="J165" s="23"/>
      <c r="K165" s="23"/>
      <c r="L165" s="23"/>
      <c r="M165" s="58"/>
      <c r="N165" s="58"/>
      <c r="O165" s="58"/>
    </row>
    <row r="166" spans="2:16" s="56" customFormat="1" x14ac:dyDescent="0.3">
      <c r="B166" s="12"/>
      <c r="C166" s="13" t="s">
        <v>6</v>
      </c>
      <c r="D166" s="14" t="s">
        <v>11</v>
      </c>
      <c r="E166" s="15">
        <f>E165</f>
        <v>6.01</v>
      </c>
      <c r="F166" s="16"/>
      <c r="G166" s="16"/>
      <c r="H166" s="16"/>
      <c r="I166" s="16">
        <f>E166*H166</f>
        <v>0</v>
      </c>
      <c r="J166" s="16"/>
      <c r="K166" s="16"/>
      <c r="L166" s="16">
        <f>G166+I166+K166</f>
        <v>0</v>
      </c>
      <c r="M166" s="58"/>
      <c r="N166" s="58"/>
      <c r="O166" s="58"/>
    </row>
    <row r="167" spans="2:16" s="56" customFormat="1" x14ac:dyDescent="0.3">
      <c r="B167" s="12"/>
      <c r="C167" s="13" t="s">
        <v>47</v>
      </c>
      <c r="D167" s="14" t="s">
        <v>11</v>
      </c>
      <c r="E167" s="15">
        <f>E165*1.015</f>
        <v>6.1001499999999993</v>
      </c>
      <c r="F167" s="17"/>
      <c r="G167" s="16"/>
      <c r="H167" s="16"/>
      <c r="I167" s="16"/>
      <c r="J167" s="16"/>
      <c r="K167" s="16">
        <f>E167*J167</f>
        <v>0</v>
      </c>
      <c r="L167" s="16">
        <f t="shared" ref="L167:L175" si="35">G167+I167+K167</f>
        <v>0</v>
      </c>
      <c r="M167" s="58"/>
      <c r="N167" s="58"/>
      <c r="O167" s="58"/>
    </row>
    <row r="168" spans="2:16" s="57" customFormat="1" x14ac:dyDescent="0.3">
      <c r="B168" s="12"/>
      <c r="C168" s="13" t="s">
        <v>113</v>
      </c>
      <c r="D168" s="14" t="s">
        <v>33</v>
      </c>
      <c r="E168" s="15">
        <f>E165</f>
        <v>6.01</v>
      </c>
      <c r="F168" s="17"/>
      <c r="G168" s="16"/>
      <c r="H168" s="16"/>
      <c r="I168" s="16"/>
      <c r="J168" s="16"/>
      <c r="K168" s="16">
        <f>E168*J168</f>
        <v>0</v>
      </c>
      <c r="L168" s="16">
        <f t="shared" si="35"/>
        <v>0</v>
      </c>
      <c r="M168" s="58"/>
      <c r="N168" s="58"/>
      <c r="O168" s="58"/>
      <c r="P168" s="56"/>
    </row>
    <row r="169" spans="2:16" s="56" customFormat="1" x14ac:dyDescent="0.3">
      <c r="B169" s="12"/>
      <c r="C169" s="13" t="s">
        <v>136</v>
      </c>
      <c r="D169" s="14" t="s">
        <v>11</v>
      </c>
      <c r="E169" s="15">
        <f>E165*1.015</f>
        <v>6.1001499999999993</v>
      </c>
      <c r="F169" s="17"/>
      <c r="G169" s="16">
        <f t="shared" ref="G169:G175" si="36">E169*F169</f>
        <v>0</v>
      </c>
      <c r="H169" s="16"/>
      <c r="I169" s="16"/>
      <c r="J169" s="16"/>
      <c r="K169" s="16"/>
      <c r="L169" s="16">
        <f t="shared" si="35"/>
        <v>0</v>
      </c>
      <c r="M169" s="58"/>
      <c r="N169" s="58"/>
      <c r="O169" s="58"/>
    </row>
    <row r="170" spans="2:16" s="56" customFormat="1" x14ac:dyDescent="0.3">
      <c r="B170" s="12"/>
      <c r="C170" s="13" t="s">
        <v>114</v>
      </c>
      <c r="D170" s="14" t="s">
        <v>11</v>
      </c>
      <c r="E170" s="15">
        <f>E165</f>
        <v>6.01</v>
      </c>
      <c r="F170" s="17"/>
      <c r="G170" s="16">
        <f t="shared" si="36"/>
        <v>0</v>
      </c>
      <c r="H170" s="16"/>
      <c r="I170" s="16"/>
      <c r="J170" s="16"/>
      <c r="K170" s="16"/>
      <c r="L170" s="16">
        <f t="shared" si="35"/>
        <v>0</v>
      </c>
      <c r="M170" s="58"/>
      <c r="N170" s="58"/>
      <c r="O170" s="58"/>
    </row>
    <row r="171" spans="2:16" s="56" customFormat="1" x14ac:dyDescent="0.3">
      <c r="B171" s="12"/>
      <c r="C171" s="13" t="s">
        <v>115</v>
      </c>
      <c r="D171" s="14" t="s">
        <v>36</v>
      </c>
      <c r="E171" s="15">
        <f>SUM(E172:E174)</f>
        <v>0.49626600000000004</v>
      </c>
      <c r="F171" s="17"/>
      <c r="G171" s="16">
        <f t="shared" si="36"/>
        <v>0</v>
      </c>
      <c r="H171" s="16"/>
      <c r="I171" s="16"/>
      <c r="J171" s="16"/>
      <c r="K171" s="16"/>
      <c r="L171" s="16">
        <f t="shared" si="35"/>
        <v>0</v>
      </c>
      <c r="M171" s="58"/>
      <c r="N171" s="58"/>
      <c r="O171" s="58"/>
    </row>
    <row r="172" spans="2:16" s="57" customFormat="1" x14ac:dyDescent="0.3">
      <c r="B172" s="12"/>
      <c r="C172" s="13" t="s">
        <v>116</v>
      </c>
      <c r="D172" s="14" t="s">
        <v>36</v>
      </c>
      <c r="E172" s="15">
        <f>19.6/1000*1.07</f>
        <v>2.0972000000000005E-2</v>
      </c>
      <c r="F172" s="17"/>
      <c r="G172" s="16">
        <f t="shared" si="36"/>
        <v>0</v>
      </c>
      <c r="H172" s="16"/>
      <c r="I172" s="16"/>
      <c r="J172" s="16"/>
      <c r="K172" s="16"/>
      <c r="L172" s="16">
        <f t="shared" si="35"/>
        <v>0</v>
      </c>
      <c r="M172" s="58"/>
      <c r="N172" s="58"/>
      <c r="O172" s="58"/>
      <c r="P172" s="56"/>
    </row>
    <row r="173" spans="2:16" s="56" customFormat="1" x14ac:dyDescent="0.3">
      <c r="B173" s="12"/>
      <c r="C173" s="13" t="s">
        <v>117</v>
      </c>
      <c r="D173" s="14" t="s">
        <v>36</v>
      </c>
      <c r="E173" s="15">
        <f>291.1/1000*1.07</f>
        <v>0.31147700000000006</v>
      </c>
      <c r="F173" s="17"/>
      <c r="G173" s="16">
        <f t="shared" si="36"/>
        <v>0</v>
      </c>
      <c r="H173" s="16"/>
      <c r="I173" s="16"/>
      <c r="J173" s="16"/>
      <c r="K173" s="16"/>
      <c r="L173" s="16">
        <f t="shared" si="35"/>
        <v>0</v>
      </c>
      <c r="M173" s="58"/>
      <c r="N173" s="58"/>
      <c r="O173" s="58"/>
    </row>
    <row r="174" spans="2:16" s="57" customFormat="1" x14ac:dyDescent="0.3">
      <c r="B174" s="12"/>
      <c r="C174" s="13" t="s">
        <v>118</v>
      </c>
      <c r="D174" s="14" t="s">
        <v>36</v>
      </c>
      <c r="E174" s="15">
        <f>153.1/1000*1.07</f>
        <v>0.16381699999999999</v>
      </c>
      <c r="F174" s="17"/>
      <c r="G174" s="16">
        <f t="shared" si="36"/>
        <v>0</v>
      </c>
      <c r="H174" s="16"/>
      <c r="I174" s="16"/>
      <c r="J174" s="16"/>
      <c r="K174" s="16"/>
      <c r="L174" s="16">
        <f t="shared" si="35"/>
        <v>0</v>
      </c>
      <c r="M174" s="58"/>
      <c r="N174" s="58"/>
      <c r="O174" s="58"/>
      <c r="P174" s="56"/>
    </row>
    <row r="175" spans="2:16" s="56" customFormat="1" x14ac:dyDescent="0.3">
      <c r="B175" s="12"/>
      <c r="C175" s="13" t="s">
        <v>120</v>
      </c>
      <c r="D175" s="14" t="s">
        <v>33</v>
      </c>
      <c r="E175" s="15">
        <f>E165</f>
        <v>6.01</v>
      </c>
      <c r="F175" s="16"/>
      <c r="G175" s="16">
        <f t="shared" si="36"/>
        <v>0</v>
      </c>
      <c r="H175" s="16"/>
      <c r="I175" s="16"/>
      <c r="J175" s="16"/>
      <c r="K175" s="16"/>
      <c r="L175" s="16">
        <f t="shared" si="35"/>
        <v>0</v>
      </c>
      <c r="M175" s="58"/>
      <c r="N175" s="58"/>
      <c r="O175" s="58"/>
    </row>
    <row r="176" spans="2:16" s="56" customFormat="1" x14ac:dyDescent="0.3">
      <c r="B176" s="5">
        <f>MAX($B$5:B175)+1</f>
        <v>19</v>
      </c>
      <c r="C176" s="23" t="s">
        <v>226</v>
      </c>
      <c r="D176" s="6" t="s">
        <v>11</v>
      </c>
      <c r="E176" s="86">
        <v>9.4499999999999993</v>
      </c>
      <c r="F176" s="23"/>
      <c r="G176" s="23"/>
      <c r="H176" s="23"/>
      <c r="I176" s="23"/>
      <c r="J176" s="23"/>
      <c r="K176" s="23"/>
      <c r="L176" s="23"/>
      <c r="M176" s="58"/>
      <c r="N176" s="58"/>
      <c r="O176" s="58"/>
    </row>
    <row r="177" spans="2:16" s="56" customFormat="1" x14ac:dyDescent="0.3">
      <c r="B177" s="12"/>
      <c r="C177" s="13" t="s">
        <v>6</v>
      </c>
      <c r="D177" s="14" t="s">
        <v>11</v>
      </c>
      <c r="E177" s="15">
        <f>E176</f>
        <v>9.4499999999999993</v>
      </c>
      <c r="F177" s="16"/>
      <c r="G177" s="16"/>
      <c r="H177" s="16"/>
      <c r="I177" s="16">
        <f>E177*H177</f>
        <v>0</v>
      </c>
      <c r="J177" s="16"/>
      <c r="K177" s="16"/>
      <c r="L177" s="16">
        <f>G177+I177+K177</f>
        <v>0</v>
      </c>
      <c r="M177" s="58"/>
      <c r="N177" s="58"/>
      <c r="O177" s="58"/>
    </row>
    <row r="178" spans="2:16" s="56" customFormat="1" x14ac:dyDescent="0.3">
      <c r="B178" s="12"/>
      <c r="C178" s="13" t="s">
        <v>47</v>
      </c>
      <c r="D178" s="14" t="s">
        <v>11</v>
      </c>
      <c r="E178" s="15">
        <f>E176*1.015</f>
        <v>9.5917499999999976</v>
      </c>
      <c r="F178" s="16"/>
      <c r="G178" s="16"/>
      <c r="H178" s="16"/>
      <c r="I178" s="16"/>
      <c r="J178" s="16"/>
      <c r="K178" s="16">
        <f>E178*J178</f>
        <v>0</v>
      </c>
      <c r="L178" s="16">
        <f t="shared" ref="L178:L185" si="37">G178+I178+K178</f>
        <v>0</v>
      </c>
      <c r="M178" s="58"/>
      <c r="N178" s="58"/>
      <c r="O178" s="58"/>
    </row>
    <row r="179" spans="2:16" s="57" customFormat="1" x14ac:dyDescent="0.3">
      <c r="B179" s="12"/>
      <c r="C179" s="13" t="s">
        <v>113</v>
      </c>
      <c r="D179" s="14" t="s">
        <v>33</v>
      </c>
      <c r="E179" s="15">
        <f>E176</f>
        <v>9.4499999999999993</v>
      </c>
      <c r="F179" s="17"/>
      <c r="G179" s="16"/>
      <c r="H179" s="16"/>
      <c r="I179" s="16"/>
      <c r="J179" s="16"/>
      <c r="K179" s="16">
        <f>E179*J179</f>
        <v>0</v>
      </c>
      <c r="L179" s="16">
        <f t="shared" si="37"/>
        <v>0</v>
      </c>
      <c r="M179" s="58"/>
      <c r="N179" s="58"/>
      <c r="O179" s="58"/>
      <c r="P179" s="56"/>
    </row>
    <row r="180" spans="2:16" s="56" customFormat="1" x14ac:dyDescent="0.3">
      <c r="B180" s="12"/>
      <c r="C180" s="13" t="s">
        <v>136</v>
      </c>
      <c r="D180" s="14" t="s">
        <v>11</v>
      </c>
      <c r="E180" s="15">
        <f>E176*1.015</f>
        <v>9.5917499999999976</v>
      </c>
      <c r="F180" s="17"/>
      <c r="G180" s="16">
        <f t="shared" ref="G180:G186" si="38">E180*F180</f>
        <v>0</v>
      </c>
      <c r="H180" s="16"/>
      <c r="I180" s="16"/>
      <c r="J180" s="16"/>
      <c r="K180" s="16"/>
      <c r="L180" s="16">
        <f t="shared" si="37"/>
        <v>0</v>
      </c>
      <c r="M180" s="58"/>
      <c r="N180" s="58"/>
      <c r="O180" s="58"/>
    </row>
    <row r="181" spans="2:16" s="56" customFormat="1" x14ac:dyDescent="0.3">
      <c r="B181" s="12"/>
      <c r="C181" s="13" t="s">
        <v>114</v>
      </c>
      <c r="D181" s="14" t="s">
        <v>11</v>
      </c>
      <c r="E181" s="15">
        <f>E176</f>
        <v>9.4499999999999993</v>
      </c>
      <c r="F181" s="17"/>
      <c r="G181" s="16">
        <f t="shared" si="38"/>
        <v>0</v>
      </c>
      <c r="H181" s="16"/>
      <c r="I181" s="16"/>
      <c r="J181" s="16"/>
      <c r="K181" s="16"/>
      <c r="L181" s="16">
        <f t="shared" si="37"/>
        <v>0</v>
      </c>
      <c r="M181" s="58"/>
      <c r="N181" s="58"/>
      <c r="O181" s="58"/>
    </row>
    <row r="182" spans="2:16" s="56" customFormat="1" x14ac:dyDescent="0.3">
      <c r="B182" s="12"/>
      <c r="C182" s="13" t="s">
        <v>115</v>
      </c>
      <c r="D182" s="14" t="s">
        <v>36</v>
      </c>
      <c r="E182" s="15">
        <f>SUM(E183:E185)</f>
        <v>0.88820699999999997</v>
      </c>
      <c r="F182" s="17"/>
      <c r="G182" s="16">
        <f t="shared" si="38"/>
        <v>0</v>
      </c>
      <c r="H182" s="16"/>
      <c r="I182" s="16"/>
      <c r="J182" s="16"/>
      <c r="K182" s="16"/>
      <c r="L182" s="16">
        <f t="shared" si="37"/>
        <v>0</v>
      </c>
      <c r="M182" s="58"/>
      <c r="N182" s="58"/>
      <c r="O182" s="58"/>
    </row>
    <row r="183" spans="2:16" s="57" customFormat="1" x14ac:dyDescent="0.3">
      <c r="B183" s="12"/>
      <c r="C183" s="13" t="s">
        <v>116</v>
      </c>
      <c r="D183" s="14" t="s">
        <v>36</v>
      </c>
      <c r="E183" s="15">
        <f>25.5/1000*1.07</f>
        <v>2.7285E-2</v>
      </c>
      <c r="F183" s="17"/>
      <c r="G183" s="16">
        <f t="shared" si="38"/>
        <v>0</v>
      </c>
      <c r="H183" s="16"/>
      <c r="I183" s="16"/>
      <c r="J183" s="16"/>
      <c r="K183" s="16"/>
      <c r="L183" s="16">
        <f t="shared" si="37"/>
        <v>0</v>
      </c>
      <c r="M183" s="58"/>
      <c r="N183" s="58"/>
      <c r="O183" s="58"/>
      <c r="P183" s="56"/>
    </row>
    <row r="184" spans="2:16" s="56" customFormat="1" x14ac:dyDescent="0.3">
      <c r="B184" s="12"/>
      <c r="C184" s="13" t="s">
        <v>117</v>
      </c>
      <c r="D184" s="14" t="s">
        <v>36</v>
      </c>
      <c r="E184" s="15">
        <f>375.9/1000*1.07</f>
        <v>0.40221299999999999</v>
      </c>
      <c r="F184" s="17"/>
      <c r="G184" s="16">
        <f t="shared" si="38"/>
        <v>0</v>
      </c>
      <c r="H184" s="16"/>
      <c r="I184" s="16"/>
      <c r="J184" s="16"/>
      <c r="K184" s="16"/>
      <c r="L184" s="16">
        <f t="shared" si="37"/>
        <v>0</v>
      </c>
      <c r="M184" s="58"/>
      <c r="N184" s="58"/>
      <c r="O184" s="58"/>
    </row>
    <row r="185" spans="2:16" s="57" customFormat="1" x14ac:dyDescent="0.3">
      <c r="B185" s="12"/>
      <c r="C185" s="13" t="s">
        <v>137</v>
      </c>
      <c r="D185" s="14" t="s">
        <v>36</v>
      </c>
      <c r="E185" s="15">
        <f>428.7/1000*1.07</f>
        <v>0.45870899999999998</v>
      </c>
      <c r="F185" s="17"/>
      <c r="G185" s="16">
        <f t="shared" si="38"/>
        <v>0</v>
      </c>
      <c r="H185" s="16"/>
      <c r="I185" s="16"/>
      <c r="J185" s="16"/>
      <c r="K185" s="16"/>
      <c r="L185" s="16">
        <f t="shared" si="37"/>
        <v>0</v>
      </c>
      <c r="M185" s="58"/>
      <c r="N185" s="58"/>
      <c r="O185" s="58"/>
      <c r="P185" s="56"/>
    </row>
    <row r="186" spans="2:16" s="56" customFormat="1" x14ac:dyDescent="0.3">
      <c r="B186" s="12"/>
      <c r="C186" s="13" t="s">
        <v>120</v>
      </c>
      <c r="D186" s="14" t="s">
        <v>33</v>
      </c>
      <c r="E186" s="15">
        <f>E176</f>
        <v>9.4499999999999993</v>
      </c>
      <c r="F186" s="16"/>
      <c r="G186" s="16">
        <f t="shared" si="38"/>
        <v>0</v>
      </c>
      <c r="H186" s="16"/>
      <c r="I186" s="16"/>
      <c r="J186" s="16"/>
      <c r="K186" s="16"/>
      <c r="L186" s="16">
        <f t="shared" ref="L186" si="39">G186+I186+K186</f>
        <v>0</v>
      </c>
      <c r="M186" s="58"/>
      <c r="N186" s="58"/>
      <c r="O186" s="58"/>
    </row>
    <row r="187" spans="2:16" s="56" customFormat="1" x14ac:dyDescent="0.3">
      <c r="B187" s="5">
        <f>MAX($B$5:B186)+1</f>
        <v>20</v>
      </c>
      <c r="C187" s="23" t="s">
        <v>227</v>
      </c>
      <c r="D187" s="6" t="s">
        <v>11</v>
      </c>
      <c r="E187" s="86">
        <v>7.06</v>
      </c>
      <c r="F187" s="23"/>
      <c r="G187" s="23"/>
      <c r="H187" s="23"/>
      <c r="I187" s="23"/>
      <c r="J187" s="23"/>
      <c r="K187" s="23"/>
      <c r="L187" s="23"/>
      <c r="M187" s="58"/>
      <c r="N187" s="58"/>
      <c r="O187" s="58"/>
    </row>
    <row r="188" spans="2:16" s="56" customFormat="1" x14ac:dyDescent="0.3">
      <c r="B188" s="12"/>
      <c r="C188" s="13" t="s">
        <v>6</v>
      </c>
      <c r="D188" s="14" t="s">
        <v>11</v>
      </c>
      <c r="E188" s="15">
        <f>E187</f>
        <v>7.06</v>
      </c>
      <c r="F188" s="16"/>
      <c r="G188" s="16"/>
      <c r="H188" s="16"/>
      <c r="I188" s="16">
        <f>E188*H188</f>
        <v>0</v>
      </c>
      <c r="J188" s="16"/>
      <c r="K188" s="16"/>
      <c r="L188" s="16">
        <f>G188+I188+K188</f>
        <v>0</v>
      </c>
      <c r="M188" s="58"/>
      <c r="N188" s="58"/>
      <c r="O188" s="58"/>
    </row>
    <row r="189" spans="2:16" s="56" customFormat="1" x14ac:dyDescent="0.3">
      <c r="B189" s="12"/>
      <c r="C189" s="13" t="s">
        <v>47</v>
      </c>
      <c r="D189" s="14" t="s">
        <v>11</v>
      </c>
      <c r="E189" s="15">
        <f>E187*1.015</f>
        <v>7.1658999999999988</v>
      </c>
      <c r="F189" s="16"/>
      <c r="G189" s="16"/>
      <c r="H189" s="16"/>
      <c r="I189" s="16"/>
      <c r="J189" s="16"/>
      <c r="K189" s="16">
        <f>E189*J189</f>
        <v>0</v>
      </c>
      <c r="L189" s="16">
        <f t="shared" ref="L189:L197" si="40">G189+I189+K189</f>
        <v>0</v>
      </c>
      <c r="M189" s="58"/>
      <c r="N189" s="58"/>
      <c r="O189" s="58"/>
    </row>
    <row r="190" spans="2:16" s="57" customFormat="1" x14ac:dyDescent="0.3">
      <c r="B190" s="12"/>
      <c r="C190" s="13" t="s">
        <v>113</v>
      </c>
      <c r="D190" s="14" t="s">
        <v>33</v>
      </c>
      <c r="E190" s="15">
        <f>E187</f>
        <v>7.06</v>
      </c>
      <c r="F190" s="17"/>
      <c r="G190" s="16"/>
      <c r="H190" s="16"/>
      <c r="I190" s="16"/>
      <c r="J190" s="16"/>
      <c r="K190" s="16">
        <f>E190*J190</f>
        <v>0</v>
      </c>
      <c r="L190" s="16">
        <f t="shared" si="40"/>
        <v>0</v>
      </c>
      <c r="M190" s="58"/>
      <c r="N190" s="58"/>
      <c r="O190" s="58"/>
      <c r="P190" s="56"/>
    </row>
    <row r="191" spans="2:16" s="56" customFormat="1" x14ac:dyDescent="0.3">
      <c r="B191" s="12"/>
      <c r="C191" s="13" t="s">
        <v>136</v>
      </c>
      <c r="D191" s="14" t="s">
        <v>11</v>
      </c>
      <c r="E191" s="15">
        <f>E187*1.015</f>
        <v>7.1658999999999988</v>
      </c>
      <c r="F191" s="17"/>
      <c r="G191" s="16">
        <f t="shared" ref="G191:G197" si="41">E191*F191</f>
        <v>0</v>
      </c>
      <c r="H191" s="16"/>
      <c r="I191" s="16"/>
      <c r="J191" s="16"/>
      <c r="K191" s="16"/>
      <c r="L191" s="16">
        <f t="shared" si="40"/>
        <v>0</v>
      </c>
      <c r="M191" s="58"/>
      <c r="N191" s="58"/>
      <c r="O191" s="58"/>
    </row>
    <row r="192" spans="2:16" s="56" customFormat="1" x14ac:dyDescent="0.3">
      <c r="B192" s="12"/>
      <c r="C192" s="13" t="s">
        <v>114</v>
      </c>
      <c r="D192" s="14" t="s">
        <v>11</v>
      </c>
      <c r="E192" s="15">
        <f>E187</f>
        <v>7.06</v>
      </c>
      <c r="F192" s="17"/>
      <c r="G192" s="16">
        <f t="shared" si="41"/>
        <v>0</v>
      </c>
      <c r="H192" s="16"/>
      <c r="I192" s="16"/>
      <c r="J192" s="16"/>
      <c r="K192" s="16"/>
      <c r="L192" s="16">
        <f t="shared" si="40"/>
        <v>0</v>
      </c>
      <c r="M192" s="58"/>
      <c r="N192" s="58"/>
      <c r="O192" s="58"/>
    </row>
    <row r="193" spans="2:16" s="56" customFormat="1" x14ac:dyDescent="0.3">
      <c r="B193" s="12"/>
      <c r="C193" s="13" t="s">
        <v>115</v>
      </c>
      <c r="D193" s="14" t="s">
        <v>36</v>
      </c>
      <c r="E193" s="15">
        <f>SUM(E194:E196)</f>
        <v>0.67880800000000008</v>
      </c>
      <c r="F193" s="17"/>
      <c r="G193" s="16">
        <f t="shared" si="41"/>
        <v>0</v>
      </c>
      <c r="H193" s="16"/>
      <c r="I193" s="16"/>
      <c r="J193" s="16"/>
      <c r="K193" s="16"/>
      <c r="L193" s="16">
        <f t="shared" si="40"/>
        <v>0</v>
      </c>
      <c r="M193" s="58"/>
      <c r="N193" s="58"/>
      <c r="O193" s="58"/>
    </row>
    <row r="194" spans="2:16" s="57" customFormat="1" x14ac:dyDescent="0.3">
      <c r="B194" s="12"/>
      <c r="C194" s="13" t="s">
        <v>116</v>
      </c>
      <c r="D194" s="14" t="s">
        <v>36</v>
      </c>
      <c r="E194" s="15">
        <f>20.8/1000*1.07</f>
        <v>2.2256000000000001E-2</v>
      </c>
      <c r="F194" s="17"/>
      <c r="G194" s="16">
        <f t="shared" si="41"/>
        <v>0</v>
      </c>
      <c r="H194" s="16"/>
      <c r="I194" s="16"/>
      <c r="J194" s="16"/>
      <c r="K194" s="16"/>
      <c r="L194" s="16">
        <f t="shared" si="40"/>
        <v>0</v>
      </c>
      <c r="M194" s="58"/>
      <c r="N194" s="58"/>
      <c r="O194" s="58"/>
      <c r="P194" s="56"/>
    </row>
    <row r="195" spans="2:16" s="56" customFormat="1" x14ac:dyDescent="0.3">
      <c r="B195" s="12"/>
      <c r="C195" s="13" t="s">
        <v>117</v>
      </c>
      <c r="D195" s="14" t="s">
        <v>36</v>
      </c>
      <c r="E195" s="15">
        <f>295.6/1000*1.07</f>
        <v>0.31629200000000007</v>
      </c>
      <c r="F195" s="17"/>
      <c r="G195" s="16">
        <f t="shared" si="41"/>
        <v>0</v>
      </c>
      <c r="H195" s="16"/>
      <c r="I195" s="16"/>
      <c r="J195" s="16"/>
      <c r="K195" s="16"/>
      <c r="L195" s="16">
        <f t="shared" si="40"/>
        <v>0</v>
      </c>
      <c r="M195" s="58"/>
      <c r="N195" s="58"/>
      <c r="O195" s="58"/>
    </row>
    <row r="196" spans="2:16" s="57" customFormat="1" x14ac:dyDescent="0.3">
      <c r="B196" s="12"/>
      <c r="C196" s="13" t="s">
        <v>119</v>
      </c>
      <c r="D196" s="14" t="s">
        <v>36</v>
      </c>
      <c r="E196" s="15">
        <f>318/1000*1.07</f>
        <v>0.34026000000000001</v>
      </c>
      <c r="F196" s="17"/>
      <c r="G196" s="16">
        <f t="shared" si="41"/>
        <v>0</v>
      </c>
      <c r="H196" s="16"/>
      <c r="I196" s="16"/>
      <c r="J196" s="16"/>
      <c r="K196" s="16"/>
      <c r="L196" s="16">
        <f t="shared" si="40"/>
        <v>0</v>
      </c>
      <c r="M196" s="58"/>
      <c r="N196" s="58"/>
      <c r="O196" s="58"/>
      <c r="P196" s="56"/>
    </row>
    <row r="197" spans="2:16" s="56" customFormat="1" x14ac:dyDescent="0.3">
      <c r="B197" s="12"/>
      <c r="C197" s="13" t="s">
        <v>120</v>
      </c>
      <c r="D197" s="14" t="s">
        <v>33</v>
      </c>
      <c r="E197" s="15">
        <f>E187</f>
        <v>7.06</v>
      </c>
      <c r="F197" s="16"/>
      <c r="G197" s="16">
        <f t="shared" si="41"/>
        <v>0</v>
      </c>
      <c r="H197" s="16"/>
      <c r="I197" s="16"/>
      <c r="J197" s="16"/>
      <c r="K197" s="16"/>
      <c r="L197" s="16">
        <f t="shared" si="40"/>
        <v>0</v>
      </c>
      <c r="M197" s="58"/>
      <c r="N197" s="58"/>
      <c r="O197" s="58"/>
    </row>
    <row r="198" spans="2:16" s="56" customFormat="1" x14ac:dyDescent="0.3">
      <c r="B198" s="5">
        <f>MAX($B$5:B197)+1</f>
        <v>21</v>
      </c>
      <c r="C198" s="23" t="s">
        <v>228</v>
      </c>
      <c r="D198" s="6" t="s">
        <v>11</v>
      </c>
      <c r="E198" s="86">
        <v>18.71</v>
      </c>
      <c r="F198" s="23"/>
      <c r="G198" s="23"/>
      <c r="H198" s="23"/>
      <c r="I198" s="23"/>
      <c r="J198" s="23"/>
      <c r="K198" s="23"/>
      <c r="L198" s="23"/>
      <c r="M198" s="58"/>
      <c r="N198" s="58"/>
      <c r="O198" s="58"/>
    </row>
    <row r="199" spans="2:16" s="56" customFormat="1" x14ac:dyDescent="0.3">
      <c r="B199" s="12"/>
      <c r="C199" s="13" t="s">
        <v>6</v>
      </c>
      <c r="D199" s="14" t="s">
        <v>11</v>
      </c>
      <c r="E199" s="15">
        <f>E198</f>
        <v>18.71</v>
      </c>
      <c r="F199" s="16"/>
      <c r="G199" s="16"/>
      <c r="H199" s="16"/>
      <c r="I199" s="16">
        <f>E199*H199</f>
        <v>0</v>
      </c>
      <c r="J199" s="16"/>
      <c r="K199" s="16"/>
      <c r="L199" s="16">
        <f>G199+I199+K199</f>
        <v>0</v>
      </c>
      <c r="M199" s="58"/>
      <c r="N199" s="58"/>
      <c r="O199" s="58"/>
    </row>
    <row r="200" spans="2:16" s="56" customFormat="1" x14ac:dyDescent="0.3">
      <c r="B200" s="12"/>
      <c r="C200" s="13" t="s">
        <v>47</v>
      </c>
      <c r="D200" s="14" t="s">
        <v>11</v>
      </c>
      <c r="E200" s="15">
        <f>E198*1.015</f>
        <v>18.990649999999999</v>
      </c>
      <c r="F200" s="16"/>
      <c r="G200" s="16"/>
      <c r="H200" s="16"/>
      <c r="I200" s="16"/>
      <c r="J200" s="16"/>
      <c r="K200" s="16">
        <f>E200*J200</f>
        <v>0</v>
      </c>
      <c r="L200" s="16">
        <f t="shared" ref="L200:L208" si="42">G200+I200+K200</f>
        <v>0</v>
      </c>
      <c r="M200" s="58"/>
      <c r="N200" s="58"/>
      <c r="O200" s="58"/>
    </row>
    <row r="201" spans="2:16" s="57" customFormat="1" x14ac:dyDescent="0.3">
      <c r="B201" s="12"/>
      <c r="C201" s="13" t="s">
        <v>113</v>
      </c>
      <c r="D201" s="14" t="s">
        <v>33</v>
      </c>
      <c r="E201" s="15">
        <f>E198</f>
        <v>18.71</v>
      </c>
      <c r="F201" s="16"/>
      <c r="G201" s="16"/>
      <c r="H201" s="16"/>
      <c r="I201" s="16"/>
      <c r="J201" s="16"/>
      <c r="K201" s="16">
        <f>E201*J201</f>
        <v>0</v>
      </c>
      <c r="L201" s="16">
        <f t="shared" si="42"/>
        <v>0</v>
      </c>
      <c r="M201" s="58"/>
      <c r="N201" s="58"/>
      <c r="O201" s="58"/>
      <c r="P201" s="56"/>
    </row>
    <row r="202" spans="2:16" s="56" customFormat="1" x14ac:dyDescent="0.3">
      <c r="B202" s="12"/>
      <c r="C202" s="13" t="s">
        <v>136</v>
      </c>
      <c r="D202" s="14" t="s">
        <v>11</v>
      </c>
      <c r="E202" s="15">
        <f>E198*1.015</f>
        <v>18.990649999999999</v>
      </c>
      <c r="F202" s="17"/>
      <c r="G202" s="16">
        <f t="shared" ref="G202:G208" si="43">E202*F202</f>
        <v>0</v>
      </c>
      <c r="H202" s="16"/>
      <c r="I202" s="16"/>
      <c r="J202" s="16"/>
      <c r="K202" s="16"/>
      <c r="L202" s="16">
        <f t="shared" si="42"/>
        <v>0</v>
      </c>
      <c r="M202" s="58"/>
      <c r="N202" s="58"/>
      <c r="O202" s="58"/>
    </row>
    <row r="203" spans="2:16" s="56" customFormat="1" x14ac:dyDescent="0.3">
      <c r="B203" s="12"/>
      <c r="C203" s="13" t="s">
        <v>114</v>
      </c>
      <c r="D203" s="14" t="s">
        <v>11</v>
      </c>
      <c r="E203" s="15">
        <f>E198</f>
        <v>18.71</v>
      </c>
      <c r="F203" s="17"/>
      <c r="G203" s="16">
        <f t="shared" si="43"/>
        <v>0</v>
      </c>
      <c r="H203" s="16"/>
      <c r="I203" s="16"/>
      <c r="J203" s="16"/>
      <c r="K203" s="16"/>
      <c r="L203" s="16">
        <f t="shared" si="42"/>
        <v>0</v>
      </c>
      <c r="M203" s="58"/>
      <c r="N203" s="58"/>
      <c r="O203" s="58"/>
    </row>
    <row r="204" spans="2:16" s="56" customFormat="1" x14ac:dyDescent="0.3">
      <c r="B204" s="12"/>
      <c r="C204" s="13" t="s">
        <v>115</v>
      </c>
      <c r="D204" s="14" t="s">
        <v>36</v>
      </c>
      <c r="E204" s="15">
        <f>SUM(E205:E207)</f>
        <v>1.1733620000000002</v>
      </c>
      <c r="F204" s="17"/>
      <c r="G204" s="16">
        <f t="shared" si="43"/>
        <v>0</v>
      </c>
      <c r="H204" s="16"/>
      <c r="I204" s="16"/>
      <c r="J204" s="16"/>
      <c r="K204" s="16"/>
      <c r="L204" s="16">
        <f t="shared" si="42"/>
        <v>0</v>
      </c>
      <c r="M204" s="58"/>
      <c r="N204" s="58"/>
      <c r="O204" s="58"/>
    </row>
    <row r="205" spans="2:16" s="57" customFormat="1" x14ac:dyDescent="0.3">
      <c r="B205" s="12"/>
      <c r="C205" s="13" t="s">
        <v>116</v>
      </c>
      <c r="D205" s="14" t="s">
        <v>36</v>
      </c>
      <c r="E205" s="15">
        <f>31.6/1000*1.07</f>
        <v>3.3812000000000009E-2</v>
      </c>
      <c r="F205" s="17"/>
      <c r="G205" s="16">
        <f t="shared" si="43"/>
        <v>0</v>
      </c>
      <c r="H205" s="16"/>
      <c r="I205" s="16"/>
      <c r="J205" s="16"/>
      <c r="K205" s="16"/>
      <c r="L205" s="16">
        <f t="shared" si="42"/>
        <v>0</v>
      </c>
      <c r="M205" s="58"/>
      <c r="N205" s="58"/>
      <c r="O205" s="58"/>
      <c r="P205" s="56"/>
    </row>
    <row r="206" spans="2:16" s="56" customFormat="1" x14ac:dyDescent="0.3">
      <c r="B206" s="12"/>
      <c r="C206" s="13" t="s">
        <v>117</v>
      </c>
      <c r="D206" s="14" t="s">
        <v>36</v>
      </c>
      <c r="E206" s="15">
        <f>619.7/1000*1.07</f>
        <v>0.66307900000000009</v>
      </c>
      <c r="F206" s="17"/>
      <c r="G206" s="16">
        <f t="shared" si="43"/>
        <v>0</v>
      </c>
      <c r="H206" s="16"/>
      <c r="I206" s="16"/>
      <c r="J206" s="16"/>
      <c r="K206" s="16"/>
      <c r="L206" s="16">
        <f t="shared" si="42"/>
        <v>0</v>
      </c>
      <c r="M206" s="58"/>
      <c r="N206" s="58"/>
      <c r="O206" s="58"/>
    </row>
    <row r="207" spans="2:16" s="57" customFormat="1" x14ac:dyDescent="0.3">
      <c r="B207" s="12"/>
      <c r="C207" s="13" t="s">
        <v>119</v>
      </c>
      <c r="D207" s="14" t="s">
        <v>36</v>
      </c>
      <c r="E207" s="15">
        <f>445.3/1000*1.07</f>
        <v>0.47647100000000003</v>
      </c>
      <c r="F207" s="17"/>
      <c r="G207" s="16">
        <f t="shared" si="43"/>
        <v>0</v>
      </c>
      <c r="H207" s="16"/>
      <c r="I207" s="16"/>
      <c r="J207" s="16"/>
      <c r="K207" s="16"/>
      <c r="L207" s="16">
        <f t="shared" si="42"/>
        <v>0</v>
      </c>
      <c r="M207" s="58"/>
      <c r="N207" s="58"/>
      <c r="O207" s="58"/>
      <c r="P207" s="56"/>
    </row>
    <row r="208" spans="2:16" s="56" customFormat="1" x14ac:dyDescent="0.3">
      <c r="B208" s="12"/>
      <c r="C208" s="13" t="s">
        <v>120</v>
      </c>
      <c r="D208" s="14" t="s">
        <v>33</v>
      </c>
      <c r="E208" s="15">
        <f>E198</f>
        <v>18.71</v>
      </c>
      <c r="F208" s="16"/>
      <c r="G208" s="16">
        <f t="shared" si="43"/>
        <v>0</v>
      </c>
      <c r="H208" s="16"/>
      <c r="I208" s="16"/>
      <c r="J208" s="16"/>
      <c r="K208" s="16"/>
      <c r="L208" s="16">
        <f t="shared" si="42"/>
        <v>0</v>
      </c>
      <c r="M208" s="58"/>
      <c r="N208" s="58"/>
      <c r="O208" s="58"/>
    </row>
    <row r="209" spans="2:16" s="56" customFormat="1" x14ac:dyDescent="0.3">
      <c r="B209" s="5">
        <f>MAX($B$5:B208)+1</f>
        <v>22</v>
      </c>
      <c r="C209" s="23" t="s">
        <v>228</v>
      </c>
      <c r="D209" s="6" t="s">
        <v>11</v>
      </c>
      <c r="E209" s="86">
        <v>21</v>
      </c>
      <c r="F209" s="23"/>
      <c r="G209" s="23"/>
      <c r="H209" s="23"/>
      <c r="I209" s="23"/>
      <c r="J209" s="23"/>
      <c r="K209" s="23"/>
      <c r="L209" s="23"/>
      <c r="M209" s="58"/>
      <c r="N209" s="58"/>
      <c r="O209" s="58"/>
    </row>
    <row r="210" spans="2:16" s="56" customFormat="1" x14ac:dyDescent="0.3">
      <c r="B210" s="12"/>
      <c r="C210" s="13" t="s">
        <v>6</v>
      </c>
      <c r="D210" s="14" t="s">
        <v>11</v>
      </c>
      <c r="E210" s="15">
        <f>E209</f>
        <v>21</v>
      </c>
      <c r="F210" s="16"/>
      <c r="G210" s="16"/>
      <c r="H210" s="16"/>
      <c r="I210" s="16">
        <f>E210*H210</f>
        <v>0</v>
      </c>
      <c r="J210" s="16"/>
      <c r="K210" s="16"/>
      <c r="L210" s="16">
        <f>G210+I210+K210</f>
        <v>0</v>
      </c>
      <c r="M210" s="58"/>
      <c r="N210" s="58"/>
      <c r="O210" s="58"/>
    </row>
    <row r="211" spans="2:16" s="56" customFormat="1" x14ac:dyDescent="0.3">
      <c r="B211" s="12"/>
      <c r="C211" s="13" t="s">
        <v>47</v>
      </c>
      <c r="D211" s="14" t="s">
        <v>11</v>
      </c>
      <c r="E211" s="15">
        <f>E209*1.015</f>
        <v>21.314999999999998</v>
      </c>
      <c r="F211" s="16"/>
      <c r="G211" s="16"/>
      <c r="H211" s="16"/>
      <c r="I211" s="16"/>
      <c r="J211" s="16"/>
      <c r="K211" s="16">
        <f>E211*J211</f>
        <v>0</v>
      </c>
      <c r="L211" s="16">
        <f t="shared" ref="L211:L219" si="44">G211+I211+K211</f>
        <v>0</v>
      </c>
      <c r="M211" s="58"/>
      <c r="N211" s="58"/>
      <c r="O211" s="58"/>
    </row>
    <row r="212" spans="2:16" s="57" customFormat="1" x14ac:dyDescent="0.3">
      <c r="B212" s="12"/>
      <c r="C212" s="13" t="s">
        <v>113</v>
      </c>
      <c r="D212" s="14" t="s">
        <v>33</v>
      </c>
      <c r="E212" s="15">
        <f>E209</f>
        <v>21</v>
      </c>
      <c r="F212" s="16"/>
      <c r="G212" s="16"/>
      <c r="H212" s="16"/>
      <c r="I212" s="16"/>
      <c r="J212" s="16"/>
      <c r="K212" s="16">
        <f>E212*J212</f>
        <v>0</v>
      </c>
      <c r="L212" s="16">
        <f t="shared" si="44"/>
        <v>0</v>
      </c>
      <c r="M212" s="58"/>
      <c r="N212" s="58"/>
      <c r="O212" s="58"/>
      <c r="P212" s="56"/>
    </row>
    <row r="213" spans="2:16" s="56" customFormat="1" x14ac:dyDescent="0.3">
      <c r="B213" s="12"/>
      <c r="C213" s="13" t="s">
        <v>136</v>
      </c>
      <c r="D213" s="14" t="s">
        <v>11</v>
      </c>
      <c r="E213" s="15">
        <f>E209*1.015</f>
        <v>21.314999999999998</v>
      </c>
      <c r="F213" s="17"/>
      <c r="G213" s="16">
        <f t="shared" ref="G213:G219" si="45">E213*F213</f>
        <v>0</v>
      </c>
      <c r="H213" s="16"/>
      <c r="I213" s="16"/>
      <c r="J213" s="16"/>
      <c r="K213" s="16"/>
      <c r="L213" s="16">
        <f t="shared" si="44"/>
        <v>0</v>
      </c>
      <c r="M213" s="58"/>
      <c r="N213" s="58"/>
      <c r="O213" s="58"/>
    </row>
    <row r="214" spans="2:16" s="56" customFormat="1" x14ac:dyDescent="0.3">
      <c r="B214" s="12"/>
      <c r="C214" s="13" t="s">
        <v>114</v>
      </c>
      <c r="D214" s="14" t="s">
        <v>11</v>
      </c>
      <c r="E214" s="15">
        <f>E209</f>
        <v>21</v>
      </c>
      <c r="F214" s="17"/>
      <c r="G214" s="16">
        <f t="shared" si="45"/>
        <v>0</v>
      </c>
      <c r="H214" s="16"/>
      <c r="I214" s="16"/>
      <c r="J214" s="16"/>
      <c r="K214" s="16"/>
      <c r="L214" s="16">
        <f t="shared" si="44"/>
        <v>0</v>
      </c>
      <c r="M214" s="58"/>
      <c r="N214" s="58"/>
      <c r="O214" s="58"/>
    </row>
    <row r="215" spans="2:16" s="56" customFormat="1" x14ac:dyDescent="0.3">
      <c r="B215" s="12"/>
      <c r="C215" s="13" t="s">
        <v>115</v>
      </c>
      <c r="D215" s="14" t="s">
        <v>36</v>
      </c>
      <c r="E215" s="15">
        <f>SUM(E216:E218)</f>
        <v>1.3003710000000002</v>
      </c>
      <c r="F215" s="17"/>
      <c r="G215" s="16">
        <f t="shared" si="45"/>
        <v>0</v>
      </c>
      <c r="H215" s="16"/>
      <c r="I215" s="16"/>
      <c r="J215" s="16"/>
      <c r="K215" s="16"/>
      <c r="L215" s="16">
        <f t="shared" si="44"/>
        <v>0</v>
      </c>
      <c r="M215" s="58"/>
      <c r="N215" s="58"/>
      <c r="O215" s="58"/>
    </row>
    <row r="216" spans="2:16" s="57" customFormat="1" x14ac:dyDescent="0.3">
      <c r="B216" s="12"/>
      <c r="C216" s="13" t="s">
        <v>116</v>
      </c>
      <c r="D216" s="14" t="s">
        <v>36</v>
      </c>
      <c r="E216" s="15">
        <f>36.3/1000*1.07</f>
        <v>3.8841000000000001E-2</v>
      </c>
      <c r="F216" s="17"/>
      <c r="G216" s="16">
        <f t="shared" si="45"/>
        <v>0</v>
      </c>
      <c r="H216" s="16"/>
      <c r="I216" s="16"/>
      <c r="J216" s="16"/>
      <c r="K216" s="16"/>
      <c r="L216" s="16">
        <f t="shared" si="44"/>
        <v>0</v>
      </c>
      <c r="M216" s="58"/>
      <c r="N216" s="58"/>
      <c r="O216" s="58"/>
      <c r="P216" s="56"/>
    </row>
    <row r="217" spans="2:16" s="56" customFormat="1" x14ac:dyDescent="0.3">
      <c r="B217" s="12"/>
      <c r="C217" s="13" t="s">
        <v>117</v>
      </c>
      <c r="D217" s="14" t="s">
        <v>36</v>
      </c>
      <c r="E217" s="15">
        <f>697.6/1000*1.07</f>
        <v>0.7464320000000001</v>
      </c>
      <c r="F217" s="17"/>
      <c r="G217" s="16">
        <f t="shared" si="45"/>
        <v>0</v>
      </c>
      <c r="H217" s="16"/>
      <c r="I217" s="16"/>
      <c r="J217" s="16"/>
      <c r="K217" s="16"/>
      <c r="L217" s="16">
        <f t="shared" si="44"/>
        <v>0</v>
      </c>
      <c r="M217" s="58"/>
      <c r="N217" s="58"/>
      <c r="O217" s="58"/>
    </row>
    <row r="218" spans="2:16" s="57" customFormat="1" x14ac:dyDescent="0.3">
      <c r="B218" s="12"/>
      <c r="C218" s="13" t="s">
        <v>119</v>
      </c>
      <c r="D218" s="14" t="s">
        <v>36</v>
      </c>
      <c r="E218" s="15">
        <f>481.4/1000*1.07</f>
        <v>0.51509800000000006</v>
      </c>
      <c r="F218" s="17"/>
      <c r="G218" s="16">
        <f t="shared" si="45"/>
        <v>0</v>
      </c>
      <c r="H218" s="16"/>
      <c r="I218" s="16"/>
      <c r="J218" s="16"/>
      <c r="K218" s="16"/>
      <c r="L218" s="16">
        <f t="shared" si="44"/>
        <v>0</v>
      </c>
      <c r="M218" s="58"/>
      <c r="N218" s="58"/>
      <c r="O218" s="58"/>
      <c r="P218" s="56"/>
    </row>
    <row r="219" spans="2:16" s="56" customFormat="1" x14ac:dyDescent="0.3">
      <c r="B219" s="12"/>
      <c r="C219" s="13" t="s">
        <v>120</v>
      </c>
      <c r="D219" s="14" t="s">
        <v>33</v>
      </c>
      <c r="E219" s="15">
        <f>E209</f>
        <v>21</v>
      </c>
      <c r="F219" s="17"/>
      <c r="G219" s="16">
        <f t="shared" si="45"/>
        <v>0</v>
      </c>
      <c r="H219" s="16"/>
      <c r="I219" s="16"/>
      <c r="J219" s="16"/>
      <c r="K219" s="16"/>
      <c r="L219" s="16">
        <f t="shared" si="44"/>
        <v>0</v>
      </c>
      <c r="M219" s="58"/>
      <c r="N219" s="58"/>
      <c r="O219" s="58"/>
    </row>
    <row r="220" spans="2:16" s="56" customFormat="1" x14ac:dyDescent="0.3">
      <c r="B220" s="5">
        <f>MAX($B$5:B219)+1</f>
        <v>23</v>
      </c>
      <c r="C220" s="23" t="s">
        <v>229</v>
      </c>
      <c r="D220" s="6" t="s">
        <v>11</v>
      </c>
      <c r="E220" s="86">
        <v>10.79</v>
      </c>
      <c r="F220" s="23"/>
      <c r="G220" s="23"/>
      <c r="H220" s="23"/>
      <c r="I220" s="23"/>
      <c r="J220" s="23"/>
      <c r="K220" s="23"/>
      <c r="L220" s="23"/>
      <c r="M220" s="58"/>
      <c r="N220" s="58"/>
      <c r="O220" s="58"/>
    </row>
    <row r="221" spans="2:16" s="56" customFormat="1" x14ac:dyDescent="0.3">
      <c r="B221" s="12"/>
      <c r="C221" s="13" t="s">
        <v>6</v>
      </c>
      <c r="D221" s="14" t="s">
        <v>11</v>
      </c>
      <c r="E221" s="15">
        <f>E220</f>
        <v>10.79</v>
      </c>
      <c r="F221" s="16"/>
      <c r="G221" s="16"/>
      <c r="H221" s="16"/>
      <c r="I221" s="16">
        <f>E221*H221</f>
        <v>0</v>
      </c>
      <c r="J221" s="16"/>
      <c r="K221" s="16"/>
      <c r="L221" s="16">
        <f>G221+I221+K221</f>
        <v>0</v>
      </c>
      <c r="M221" s="58"/>
      <c r="N221" s="58"/>
      <c r="O221" s="58"/>
    </row>
    <row r="222" spans="2:16" s="56" customFormat="1" x14ac:dyDescent="0.3">
      <c r="B222" s="12"/>
      <c r="C222" s="13" t="s">
        <v>47</v>
      </c>
      <c r="D222" s="14" t="s">
        <v>11</v>
      </c>
      <c r="E222" s="15">
        <f>E220*1.015</f>
        <v>10.951849999999999</v>
      </c>
      <c r="F222" s="16"/>
      <c r="G222" s="16"/>
      <c r="H222" s="16"/>
      <c r="I222" s="16"/>
      <c r="J222" s="16"/>
      <c r="K222" s="16">
        <f>E222*J222</f>
        <v>0</v>
      </c>
      <c r="L222" s="16">
        <f t="shared" ref="L222:L230" si="46">G222+I222+K222</f>
        <v>0</v>
      </c>
      <c r="M222" s="58"/>
      <c r="N222" s="58"/>
      <c r="O222" s="58"/>
    </row>
    <row r="223" spans="2:16" s="57" customFormat="1" x14ac:dyDescent="0.3">
      <c r="B223" s="12"/>
      <c r="C223" s="13" t="s">
        <v>113</v>
      </c>
      <c r="D223" s="14" t="s">
        <v>33</v>
      </c>
      <c r="E223" s="15">
        <f>E220</f>
        <v>10.79</v>
      </c>
      <c r="F223" s="16"/>
      <c r="G223" s="16"/>
      <c r="H223" s="16"/>
      <c r="I223" s="16"/>
      <c r="J223" s="16"/>
      <c r="K223" s="16">
        <f>E223*J223</f>
        <v>0</v>
      </c>
      <c r="L223" s="16">
        <f t="shared" si="46"/>
        <v>0</v>
      </c>
      <c r="M223" s="58"/>
      <c r="N223" s="58"/>
      <c r="O223" s="58"/>
      <c r="P223" s="56"/>
    </row>
    <row r="224" spans="2:16" s="56" customFormat="1" x14ac:dyDescent="0.3">
      <c r="B224" s="12"/>
      <c r="C224" s="13" t="s">
        <v>136</v>
      </c>
      <c r="D224" s="14" t="s">
        <v>11</v>
      </c>
      <c r="E224" s="15">
        <f>E220*1.015</f>
        <v>10.951849999999999</v>
      </c>
      <c r="F224" s="17"/>
      <c r="G224" s="16">
        <f t="shared" ref="G224:G230" si="47">E224*F224</f>
        <v>0</v>
      </c>
      <c r="H224" s="16"/>
      <c r="I224" s="16"/>
      <c r="J224" s="16"/>
      <c r="K224" s="16"/>
      <c r="L224" s="16">
        <f t="shared" si="46"/>
        <v>0</v>
      </c>
      <c r="M224" s="58"/>
      <c r="N224" s="58"/>
      <c r="O224" s="58"/>
    </row>
    <row r="225" spans="2:16" s="56" customFormat="1" x14ac:dyDescent="0.3">
      <c r="B225" s="12"/>
      <c r="C225" s="13" t="s">
        <v>114</v>
      </c>
      <c r="D225" s="14" t="s">
        <v>11</v>
      </c>
      <c r="E225" s="15">
        <f>E220</f>
        <v>10.79</v>
      </c>
      <c r="F225" s="17"/>
      <c r="G225" s="16">
        <f t="shared" si="47"/>
        <v>0</v>
      </c>
      <c r="H225" s="16"/>
      <c r="I225" s="16"/>
      <c r="J225" s="16"/>
      <c r="K225" s="16"/>
      <c r="L225" s="16">
        <f t="shared" si="46"/>
        <v>0</v>
      </c>
      <c r="M225" s="58"/>
      <c r="N225" s="58"/>
      <c r="O225" s="58"/>
    </row>
    <row r="226" spans="2:16" s="56" customFormat="1" x14ac:dyDescent="0.3">
      <c r="B226" s="12"/>
      <c r="C226" s="13" t="s">
        <v>115</v>
      </c>
      <c r="D226" s="14" t="s">
        <v>36</v>
      </c>
      <c r="E226" s="15">
        <f>SUM(E227:E229)</f>
        <v>0.75167500000000009</v>
      </c>
      <c r="F226" s="17"/>
      <c r="G226" s="16">
        <f t="shared" si="47"/>
        <v>0</v>
      </c>
      <c r="H226" s="16"/>
      <c r="I226" s="16"/>
      <c r="J226" s="16"/>
      <c r="K226" s="16"/>
      <c r="L226" s="16">
        <f t="shared" si="46"/>
        <v>0</v>
      </c>
      <c r="M226" s="58"/>
      <c r="N226" s="58"/>
      <c r="O226" s="58"/>
    </row>
    <row r="227" spans="2:16" s="57" customFormat="1" x14ac:dyDescent="0.3">
      <c r="B227" s="12"/>
      <c r="C227" s="13" t="s">
        <v>116</v>
      </c>
      <c r="D227" s="14" t="s">
        <v>36</v>
      </c>
      <c r="E227" s="15">
        <f>23.3/1000*1.07</f>
        <v>2.4931000000000002E-2</v>
      </c>
      <c r="F227" s="17"/>
      <c r="G227" s="16">
        <f t="shared" si="47"/>
        <v>0</v>
      </c>
      <c r="H227" s="16"/>
      <c r="I227" s="16"/>
      <c r="J227" s="16"/>
      <c r="K227" s="16"/>
      <c r="L227" s="16">
        <f t="shared" si="46"/>
        <v>0</v>
      </c>
      <c r="M227" s="58"/>
      <c r="N227" s="58"/>
      <c r="O227" s="58"/>
      <c r="P227" s="56"/>
    </row>
    <row r="228" spans="2:16" s="56" customFormat="1" x14ac:dyDescent="0.3">
      <c r="B228" s="12"/>
      <c r="C228" s="13" t="s">
        <v>117</v>
      </c>
      <c r="D228" s="14" t="s">
        <v>36</v>
      </c>
      <c r="E228" s="15">
        <f>435.1/1000*1.07</f>
        <v>0.46555700000000005</v>
      </c>
      <c r="F228" s="17"/>
      <c r="G228" s="16">
        <f t="shared" si="47"/>
        <v>0</v>
      </c>
      <c r="H228" s="16"/>
      <c r="I228" s="16"/>
      <c r="J228" s="16"/>
      <c r="K228" s="16"/>
      <c r="L228" s="16">
        <f t="shared" si="46"/>
        <v>0</v>
      </c>
      <c r="M228" s="58"/>
      <c r="N228" s="58"/>
      <c r="O228" s="58"/>
    </row>
    <row r="229" spans="2:16" s="57" customFormat="1" x14ac:dyDescent="0.3">
      <c r="B229" s="12"/>
      <c r="C229" s="13" t="s">
        <v>118</v>
      </c>
      <c r="D229" s="14" t="s">
        <v>36</v>
      </c>
      <c r="E229" s="15">
        <f>244.1/1000*1.07</f>
        <v>0.261187</v>
      </c>
      <c r="F229" s="17"/>
      <c r="G229" s="16">
        <f t="shared" si="47"/>
        <v>0</v>
      </c>
      <c r="H229" s="16"/>
      <c r="I229" s="16"/>
      <c r="J229" s="16"/>
      <c r="K229" s="16"/>
      <c r="L229" s="16">
        <f t="shared" si="46"/>
        <v>0</v>
      </c>
      <c r="M229" s="58"/>
      <c r="N229" s="58"/>
      <c r="O229" s="58"/>
      <c r="P229" s="56"/>
    </row>
    <row r="230" spans="2:16" s="56" customFormat="1" x14ac:dyDescent="0.3">
      <c r="B230" s="12"/>
      <c r="C230" s="13" t="s">
        <v>120</v>
      </c>
      <c r="D230" s="14" t="s">
        <v>33</v>
      </c>
      <c r="E230" s="15">
        <f>E220</f>
        <v>10.79</v>
      </c>
      <c r="F230" s="16"/>
      <c r="G230" s="16">
        <f t="shared" si="47"/>
        <v>0</v>
      </c>
      <c r="H230" s="16"/>
      <c r="I230" s="16"/>
      <c r="J230" s="16"/>
      <c r="K230" s="16"/>
      <c r="L230" s="16">
        <f t="shared" si="46"/>
        <v>0</v>
      </c>
      <c r="M230" s="58"/>
      <c r="N230" s="58"/>
      <c r="O230" s="58"/>
    </row>
    <row r="231" spans="2:16" s="56" customFormat="1" x14ac:dyDescent="0.3">
      <c r="B231" s="5">
        <f>MAX($B$5:B230)+1</f>
        <v>24</v>
      </c>
      <c r="C231" s="23" t="s">
        <v>230</v>
      </c>
      <c r="D231" s="6" t="s">
        <v>11</v>
      </c>
      <c r="E231" s="86">
        <v>12.8</v>
      </c>
      <c r="F231" s="23"/>
      <c r="G231" s="23"/>
      <c r="H231" s="23"/>
      <c r="I231" s="23"/>
      <c r="J231" s="23"/>
      <c r="K231" s="23"/>
      <c r="L231" s="23"/>
      <c r="M231" s="58"/>
      <c r="N231" s="58"/>
      <c r="O231" s="58"/>
    </row>
    <row r="232" spans="2:16" s="56" customFormat="1" x14ac:dyDescent="0.3">
      <c r="B232" s="12"/>
      <c r="C232" s="13" t="s">
        <v>6</v>
      </c>
      <c r="D232" s="14" t="s">
        <v>11</v>
      </c>
      <c r="E232" s="15">
        <f>E231</f>
        <v>12.8</v>
      </c>
      <c r="F232" s="16"/>
      <c r="G232" s="16"/>
      <c r="H232" s="16"/>
      <c r="I232" s="16">
        <f>E232*H232</f>
        <v>0</v>
      </c>
      <c r="J232" s="16"/>
      <c r="K232" s="16"/>
      <c r="L232" s="16">
        <f>G232+I232+K232</f>
        <v>0</v>
      </c>
      <c r="M232" s="58"/>
      <c r="N232" s="58"/>
      <c r="O232" s="58"/>
    </row>
    <row r="233" spans="2:16" s="56" customFormat="1" x14ac:dyDescent="0.3">
      <c r="B233" s="12"/>
      <c r="C233" s="13" t="s">
        <v>47</v>
      </c>
      <c r="D233" s="14" t="s">
        <v>11</v>
      </c>
      <c r="E233" s="15">
        <f>E231*1.015</f>
        <v>12.991999999999999</v>
      </c>
      <c r="F233" s="17"/>
      <c r="G233" s="16"/>
      <c r="H233" s="16"/>
      <c r="I233" s="16"/>
      <c r="J233" s="16"/>
      <c r="K233" s="16">
        <f>E233*J233</f>
        <v>0</v>
      </c>
      <c r="L233" s="16">
        <f t="shared" ref="L233:L241" si="48">G233+I233+K233</f>
        <v>0</v>
      </c>
      <c r="M233" s="58"/>
      <c r="N233" s="58"/>
      <c r="O233" s="58"/>
    </row>
    <row r="234" spans="2:16" s="57" customFormat="1" x14ac:dyDescent="0.3">
      <c r="B234" s="12"/>
      <c r="C234" s="13" t="s">
        <v>113</v>
      </c>
      <c r="D234" s="14" t="s">
        <v>33</v>
      </c>
      <c r="E234" s="15">
        <f>E231</f>
        <v>12.8</v>
      </c>
      <c r="F234" s="17"/>
      <c r="G234" s="16"/>
      <c r="H234" s="16"/>
      <c r="I234" s="16"/>
      <c r="J234" s="16"/>
      <c r="K234" s="16">
        <f>E234*J234</f>
        <v>0</v>
      </c>
      <c r="L234" s="16">
        <f t="shared" si="48"/>
        <v>0</v>
      </c>
      <c r="M234" s="58"/>
      <c r="N234" s="58"/>
      <c r="O234" s="58"/>
      <c r="P234" s="56"/>
    </row>
    <row r="235" spans="2:16" s="56" customFormat="1" x14ac:dyDescent="0.3">
      <c r="B235" s="12"/>
      <c r="C235" s="13" t="s">
        <v>136</v>
      </c>
      <c r="D235" s="14" t="s">
        <v>11</v>
      </c>
      <c r="E235" s="15">
        <f>E231*1.015</f>
        <v>12.991999999999999</v>
      </c>
      <c r="F235" s="17"/>
      <c r="G235" s="16">
        <f t="shared" ref="G235:G241" si="49">E235*F235</f>
        <v>0</v>
      </c>
      <c r="H235" s="16"/>
      <c r="I235" s="16"/>
      <c r="J235" s="16"/>
      <c r="K235" s="16"/>
      <c r="L235" s="16">
        <f t="shared" si="48"/>
        <v>0</v>
      </c>
      <c r="M235" s="58"/>
      <c r="N235" s="58"/>
      <c r="O235" s="58"/>
    </row>
    <row r="236" spans="2:16" s="56" customFormat="1" x14ac:dyDescent="0.3">
      <c r="B236" s="12"/>
      <c r="C236" s="13" t="s">
        <v>114</v>
      </c>
      <c r="D236" s="14" t="s">
        <v>11</v>
      </c>
      <c r="E236" s="15">
        <f>E231</f>
        <v>12.8</v>
      </c>
      <c r="F236" s="17"/>
      <c r="G236" s="16">
        <f t="shared" si="49"/>
        <v>0</v>
      </c>
      <c r="H236" s="16"/>
      <c r="I236" s="16"/>
      <c r="J236" s="16"/>
      <c r="K236" s="16"/>
      <c r="L236" s="16">
        <f t="shared" si="48"/>
        <v>0</v>
      </c>
      <c r="M236" s="58"/>
      <c r="N236" s="58"/>
      <c r="O236" s="58"/>
    </row>
    <row r="237" spans="2:16" s="56" customFormat="1" x14ac:dyDescent="0.3">
      <c r="B237" s="12"/>
      <c r="C237" s="13" t="s">
        <v>115</v>
      </c>
      <c r="D237" s="14" t="s">
        <v>36</v>
      </c>
      <c r="E237" s="15">
        <f>SUM(E238:E240)</f>
        <v>0.88232200000000005</v>
      </c>
      <c r="F237" s="17"/>
      <c r="G237" s="16">
        <f t="shared" si="49"/>
        <v>0</v>
      </c>
      <c r="H237" s="16"/>
      <c r="I237" s="16"/>
      <c r="J237" s="16"/>
      <c r="K237" s="16"/>
      <c r="L237" s="16">
        <f t="shared" si="48"/>
        <v>0</v>
      </c>
      <c r="M237" s="58"/>
      <c r="N237" s="58"/>
      <c r="O237" s="58"/>
    </row>
    <row r="238" spans="2:16" s="57" customFormat="1" x14ac:dyDescent="0.3">
      <c r="B238" s="12"/>
      <c r="C238" s="13" t="s">
        <v>116</v>
      </c>
      <c r="D238" s="14" t="s">
        <v>36</v>
      </c>
      <c r="E238" s="15">
        <f>38.9/1000*1.07</f>
        <v>4.1623E-2</v>
      </c>
      <c r="F238" s="17"/>
      <c r="G238" s="16">
        <f t="shared" si="49"/>
        <v>0</v>
      </c>
      <c r="H238" s="16"/>
      <c r="I238" s="16"/>
      <c r="J238" s="16"/>
      <c r="K238" s="16"/>
      <c r="L238" s="16">
        <f t="shared" si="48"/>
        <v>0</v>
      </c>
      <c r="M238" s="58"/>
      <c r="N238" s="58"/>
      <c r="O238" s="58"/>
      <c r="P238" s="56"/>
    </row>
    <row r="239" spans="2:16" s="56" customFormat="1" x14ac:dyDescent="0.3">
      <c r="B239" s="12"/>
      <c r="C239" s="13" t="s">
        <v>117</v>
      </c>
      <c r="D239" s="14" t="s">
        <v>36</v>
      </c>
      <c r="E239" s="15">
        <f>514/1000*1.07</f>
        <v>0.54998000000000002</v>
      </c>
      <c r="F239" s="17"/>
      <c r="G239" s="16">
        <f t="shared" si="49"/>
        <v>0</v>
      </c>
      <c r="H239" s="16"/>
      <c r="I239" s="16"/>
      <c r="J239" s="16"/>
      <c r="K239" s="16"/>
      <c r="L239" s="16">
        <f t="shared" si="48"/>
        <v>0</v>
      </c>
      <c r="M239" s="58"/>
      <c r="N239" s="58"/>
      <c r="O239" s="58"/>
    </row>
    <row r="240" spans="2:16" s="57" customFormat="1" x14ac:dyDescent="0.3">
      <c r="B240" s="12"/>
      <c r="C240" s="13" t="s">
        <v>118</v>
      </c>
      <c r="D240" s="14" t="s">
        <v>36</v>
      </c>
      <c r="E240" s="15">
        <f>271.7/1000*1.07</f>
        <v>0.29071900000000001</v>
      </c>
      <c r="F240" s="17"/>
      <c r="G240" s="16">
        <f t="shared" si="49"/>
        <v>0</v>
      </c>
      <c r="H240" s="16"/>
      <c r="I240" s="16"/>
      <c r="J240" s="16"/>
      <c r="K240" s="16"/>
      <c r="L240" s="16">
        <f t="shared" si="48"/>
        <v>0</v>
      </c>
      <c r="M240" s="58"/>
      <c r="N240" s="58"/>
      <c r="O240" s="58"/>
      <c r="P240" s="56"/>
    </row>
    <row r="241" spans="1:15" s="56" customFormat="1" x14ac:dyDescent="0.3">
      <c r="B241" s="12"/>
      <c r="C241" s="13" t="s">
        <v>120</v>
      </c>
      <c r="D241" s="14" t="s">
        <v>33</v>
      </c>
      <c r="E241" s="15">
        <f>E231</f>
        <v>12.8</v>
      </c>
      <c r="F241" s="16"/>
      <c r="G241" s="16">
        <f t="shared" si="49"/>
        <v>0</v>
      </c>
      <c r="H241" s="16"/>
      <c r="I241" s="16"/>
      <c r="J241" s="16"/>
      <c r="K241" s="16"/>
      <c r="L241" s="16">
        <f t="shared" si="48"/>
        <v>0</v>
      </c>
      <c r="M241" s="58"/>
      <c r="N241" s="58"/>
      <c r="O241" s="58"/>
    </row>
    <row r="242" spans="1:15" s="56" customFormat="1" x14ac:dyDescent="0.3">
      <c r="B242" s="5">
        <f>MAX($B$5:B241)+1</f>
        <v>25</v>
      </c>
      <c r="C242" s="23" t="s">
        <v>121</v>
      </c>
      <c r="D242" s="6" t="s">
        <v>57</v>
      </c>
      <c r="E242" s="7">
        <f>17.5+17.89+10.05+31+6+15.98+33.6+35.8+66+46.7+36.3+93.2+90.5+40.7+40.9+59+49+93.5+104+63+75</f>
        <v>1025.6199999999999</v>
      </c>
      <c r="F242" s="23"/>
      <c r="G242" s="23"/>
      <c r="H242" s="23"/>
      <c r="I242" s="23"/>
      <c r="J242" s="23"/>
      <c r="K242" s="23"/>
      <c r="L242" s="23"/>
      <c r="M242" s="58"/>
      <c r="N242" s="58"/>
      <c r="O242" s="58"/>
    </row>
    <row r="243" spans="1:15" s="56" customFormat="1" x14ac:dyDescent="0.3">
      <c r="B243" s="12"/>
      <c r="C243" s="13" t="s">
        <v>6</v>
      </c>
      <c r="D243" s="14" t="s">
        <v>57</v>
      </c>
      <c r="E243" s="15">
        <f>E242</f>
        <v>1025.6199999999999</v>
      </c>
      <c r="F243" s="16"/>
      <c r="G243" s="16"/>
      <c r="H243" s="16"/>
      <c r="I243" s="16">
        <f>E243*H243</f>
        <v>0</v>
      </c>
      <c r="J243" s="16"/>
      <c r="K243" s="16"/>
      <c r="L243" s="16">
        <f t="shared" ref="L243:L248" si="50">G243+I243+K243</f>
        <v>0</v>
      </c>
      <c r="M243" s="58"/>
      <c r="N243" s="58"/>
      <c r="O243" s="58"/>
    </row>
    <row r="244" spans="1:15" s="56" customFormat="1" x14ac:dyDescent="0.3">
      <c r="B244" s="12"/>
      <c r="C244" s="13" t="s">
        <v>110</v>
      </c>
      <c r="D244" s="14" t="s">
        <v>48</v>
      </c>
      <c r="E244" s="15">
        <f>E242*0.8</f>
        <v>820.49599999999998</v>
      </c>
      <c r="F244" s="16"/>
      <c r="G244" s="16">
        <f>E244*F244</f>
        <v>0</v>
      </c>
      <c r="H244" s="16"/>
      <c r="I244" s="16"/>
      <c r="J244" s="16"/>
      <c r="K244" s="16"/>
      <c r="L244" s="16">
        <f t="shared" si="50"/>
        <v>0</v>
      </c>
      <c r="M244" s="58"/>
      <c r="N244" s="58"/>
      <c r="O244" s="58"/>
    </row>
    <row r="245" spans="1:15" s="56" customFormat="1" x14ac:dyDescent="0.3">
      <c r="B245" s="12"/>
      <c r="C245" s="13" t="s">
        <v>111</v>
      </c>
      <c r="D245" s="14" t="s">
        <v>57</v>
      </c>
      <c r="E245" s="15">
        <f>E242*1.15</f>
        <v>1179.4629999999997</v>
      </c>
      <c r="F245" s="16"/>
      <c r="G245" s="16">
        <f>E245*F245</f>
        <v>0</v>
      </c>
      <c r="H245" s="16"/>
      <c r="I245" s="16"/>
      <c r="J245" s="16"/>
      <c r="K245" s="16"/>
      <c r="L245" s="16">
        <f t="shared" si="50"/>
        <v>0</v>
      </c>
      <c r="M245" s="58"/>
      <c r="N245" s="58"/>
      <c r="O245" s="58"/>
    </row>
    <row r="246" spans="1:15" s="56" customFormat="1" x14ac:dyDescent="0.3">
      <c r="B246" s="12"/>
      <c r="C246" s="13" t="s">
        <v>112</v>
      </c>
      <c r="D246" s="14" t="s">
        <v>48</v>
      </c>
      <c r="E246" s="15">
        <f>E242*0.15</f>
        <v>153.84299999999999</v>
      </c>
      <c r="F246" s="16"/>
      <c r="G246" s="16">
        <f>E246*F246</f>
        <v>0</v>
      </c>
      <c r="H246" s="16"/>
      <c r="I246" s="16"/>
      <c r="J246" s="16"/>
      <c r="K246" s="16"/>
      <c r="L246" s="16">
        <f t="shared" si="50"/>
        <v>0</v>
      </c>
      <c r="M246" s="58"/>
      <c r="N246" s="58"/>
      <c r="O246" s="58"/>
    </row>
    <row r="247" spans="1:15" s="56" customFormat="1" x14ac:dyDescent="0.3">
      <c r="B247" s="12"/>
      <c r="C247" s="13" t="s">
        <v>122</v>
      </c>
      <c r="D247" s="14" t="s">
        <v>57</v>
      </c>
      <c r="E247" s="15">
        <f>E242*1.1</f>
        <v>1128.182</v>
      </c>
      <c r="F247" s="16"/>
      <c r="G247" s="16">
        <f>E247*F247</f>
        <v>0</v>
      </c>
      <c r="H247" s="16"/>
      <c r="I247" s="16"/>
      <c r="J247" s="16"/>
      <c r="K247" s="16"/>
      <c r="L247" s="16">
        <f t="shared" si="50"/>
        <v>0</v>
      </c>
      <c r="M247" s="58"/>
      <c r="N247" s="58"/>
      <c r="O247" s="58"/>
    </row>
    <row r="248" spans="1:15" s="56" customFormat="1" x14ac:dyDescent="0.3">
      <c r="B248" s="12"/>
      <c r="C248" s="13" t="s">
        <v>120</v>
      </c>
      <c r="D248" s="14" t="s">
        <v>33</v>
      </c>
      <c r="E248" s="15">
        <f>E242</f>
        <v>1025.6199999999999</v>
      </c>
      <c r="F248" s="16"/>
      <c r="G248" s="16">
        <f>E248*F248</f>
        <v>0</v>
      </c>
      <c r="H248" s="16"/>
      <c r="I248" s="16"/>
      <c r="J248" s="16"/>
      <c r="K248" s="16"/>
      <c r="L248" s="16">
        <f t="shared" si="50"/>
        <v>0</v>
      </c>
      <c r="M248" s="58"/>
      <c r="N248" s="58"/>
      <c r="O248" s="58"/>
    </row>
    <row r="249" spans="1:15" s="56" customFormat="1" x14ac:dyDescent="0.3">
      <c r="B249" s="5">
        <f>MAX($B$5:B248)+1</f>
        <v>26</v>
      </c>
      <c r="C249" s="23" t="s">
        <v>123</v>
      </c>
      <c r="D249" s="6" t="s">
        <v>11</v>
      </c>
      <c r="E249" s="7">
        <v>249.70000000000002</v>
      </c>
      <c r="F249" s="23"/>
      <c r="G249" s="23"/>
      <c r="H249" s="23"/>
      <c r="I249" s="23"/>
      <c r="J249" s="23"/>
      <c r="K249" s="23"/>
      <c r="L249" s="23"/>
      <c r="M249" s="58"/>
      <c r="N249" s="58"/>
      <c r="O249" s="58"/>
    </row>
    <row r="250" spans="1:15" s="56" customFormat="1" x14ac:dyDescent="0.3">
      <c r="B250" s="12"/>
      <c r="C250" s="13" t="s">
        <v>124</v>
      </c>
      <c r="D250" s="14" t="s">
        <v>11</v>
      </c>
      <c r="E250" s="15">
        <f>E249</f>
        <v>249.70000000000002</v>
      </c>
      <c r="F250" s="16"/>
      <c r="G250" s="16"/>
      <c r="H250" s="16"/>
      <c r="I250" s="16"/>
      <c r="J250" s="16"/>
      <c r="K250" s="16">
        <f>E250*J250</f>
        <v>0</v>
      </c>
      <c r="L250" s="16">
        <f>G250+I250+K250</f>
        <v>0</v>
      </c>
      <c r="M250" s="58"/>
      <c r="N250" s="58"/>
      <c r="O250" s="58"/>
    </row>
    <row r="251" spans="1:15" s="56" customFormat="1" x14ac:dyDescent="0.3">
      <c r="B251" s="12"/>
      <c r="C251" s="13" t="s">
        <v>106</v>
      </c>
      <c r="D251" s="14" t="s">
        <v>11</v>
      </c>
      <c r="E251" s="15">
        <f>E249</f>
        <v>249.70000000000002</v>
      </c>
      <c r="F251" s="16"/>
      <c r="G251" s="16"/>
      <c r="H251" s="16"/>
      <c r="I251" s="16"/>
      <c r="J251" s="16"/>
      <c r="K251" s="16">
        <f>E251*J251</f>
        <v>0</v>
      </c>
      <c r="L251" s="16">
        <f>G251+I251+K251</f>
        <v>0</v>
      </c>
      <c r="M251" s="58"/>
      <c r="N251" s="58"/>
      <c r="O251" s="58"/>
    </row>
    <row r="252" spans="1:15" s="56" customFormat="1" x14ac:dyDescent="0.3">
      <c r="B252" s="12"/>
      <c r="C252" s="13" t="s">
        <v>125</v>
      </c>
      <c r="D252" s="14" t="s">
        <v>11</v>
      </c>
      <c r="E252" s="15">
        <f>E249*1.26</f>
        <v>314.62200000000001</v>
      </c>
      <c r="F252" s="17"/>
      <c r="G252" s="16">
        <f>E252*F252</f>
        <v>0</v>
      </c>
      <c r="H252" s="16"/>
      <c r="I252" s="16"/>
      <c r="J252" s="16"/>
      <c r="K252" s="16"/>
      <c r="L252" s="16">
        <f>G252+I252+K252</f>
        <v>0</v>
      </c>
      <c r="M252" s="58"/>
      <c r="N252" s="58"/>
      <c r="O252" s="58"/>
    </row>
    <row r="253" spans="1:15" x14ac:dyDescent="0.3">
      <c r="B253" s="29"/>
      <c r="C253" s="30"/>
      <c r="D253" s="29"/>
      <c r="E253" s="31"/>
      <c r="F253" s="32"/>
      <c r="G253" s="32"/>
      <c r="H253" s="31"/>
      <c r="I253" s="32"/>
      <c r="J253" s="31"/>
      <c r="K253" s="32"/>
      <c r="L253" s="32"/>
    </row>
    <row r="254" spans="1:15" x14ac:dyDescent="0.3">
      <c r="B254" s="33"/>
      <c r="C254" s="34" t="s">
        <v>10</v>
      </c>
      <c r="D254" s="33"/>
      <c r="E254" s="34"/>
      <c r="F254" s="33"/>
      <c r="G254" s="35">
        <f>SUM(G5:G253)</f>
        <v>0</v>
      </c>
      <c r="H254" s="35"/>
      <c r="I254" s="35">
        <f>SUM(I5:I253)</f>
        <v>0</v>
      </c>
      <c r="J254" s="35"/>
      <c r="K254" s="35">
        <f>SUM(K5:K253)</f>
        <v>0</v>
      </c>
      <c r="L254" s="35">
        <f>SUM(L5:L253)</f>
        <v>0</v>
      </c>
    </row>
    <row r="255" spans="1:15" s="52" customFormat="1" x14ac:dyDescent="0.3">
      <c r="A255" s="26"/>
      <c r="B255" s="12"/>
      <c r="C255" s="12" t="s">
        <v>53</v>
      </c>
      <c r="D255" s="18"/>
      <c r="E255" s="12"/>
      <c r="F255" s="12"/>
      <c r="G255" s="12"/>
      <c r="H255" s="12"/>
      <c r="I255" s="12"/>
      <c r="J255" s="12"/>
      <c r="K255" s="12"/>
      <c r="L255" s="21">
        <f>G254*D255</f>
        <v>0</v>
      </c>
      <c r="N255" s="26"/>
    </row>
    <row r="256" spans="1:15" s="52" customFormat="1" x14ac:dyDescent="0.3">
      <c r="A256" s="26"/>
      <c r="B256" s="12"/>
      <c r="C256" s="19" t="s">
        <v>10</v>
      </c>
      <c r="D256" s="20"/>
      <c r="E256" s="19"/>
      <c r="F256" s="19"/>
      <c r="G256" s="19"/>
      <c r="H256" s="19"/>
      <c r="I256" s="19"/>
      <c r="J256" s="19"/>
      <c r="K256" s="19"/>
      <c r="L256" s="22">
        <f>L255+L254</f>
        <v>0</v>
      </c>
      <c r="N256" s="26"/>
    </row>
    <row r="257" spans="1:14" s="52" customFormat="1" x14ac:dyDescent="0.3">
      <c r="A257" s="26"/>
      <c r="B257" s="12"/>
      <c r="C257" s="12" t="s">
        <v>52</v>
      </c>
      <c r="D257" s="18"/>
      <c r="E257" s="12"/>
      <c r="F257" s="12"/>
      <c r="G257" s="12"/>
      <c r="H257" s="12"/>
      <c r="I257" s="12"/>
      <c r="J257" s="12"/>
      <c r="K257" s="12"/>
      <c r="L257" s="21">
        <f>L256*D257</f>
        <v>0</v>
      </c>
      <c r="N257" s="26"/>
    </row>
    <row r="258" spans="1:14" s="52" customFormat="1" x14ac:dyDescent="0.3">
      <c r="A258" s="26"/>
      <c r="B258" s="12"/>
      <c r="C258" s="19" t="s">
        <v>10</v>
      </c>
      <c r="D258" s="20"/>
      <c r="E258" s="19"/>
      <c r="F258" s="19"/>
      <c r="G258" s="19"/>
      <c r="H258" s="19"/>
      <c r="I258" s="19"/>
      <c r="J258" s="19"/>
      <c r="K258" s="19"/>
      <c r="L258" s="22">
        <f>L256+L257</f>
        <v>0</v>
      </c>
      <c r="N258" s="26"/>
    </row>
    <row r="259" spans="1:14" s="52" customFormat="1" x14ac:dyDescent="0.3">
      <c r="A259" s="26"/>
      <c r="B259" s="12"/>
      <c r="C259" s="12" t="s">
        <v>54</v>
      </c>
      <c r="D259" s="18"/>
      <c r="E259" s="12"/>
      <c r="F259" s="12"/>
      <c r="G259" s="12"/>
      <c r="H259" s="12"/>
      <c r="I259" s="12"/>
      <c r="J259" s="12"/>
      <c r="K259" s="12"/>
      <c r="L259" s="21">
        <f>L258*D259</f>
        <v>0</v>
      </c>
      <c r="N259" s="26"/>
    </row>
    <row r="260" spans="1:14" s="52" customFormat="1" x14ac:dyDescent="0.3">
      <c r="A260" s="26"/>
      <c r="B260" s="12"/>
      <c r="C260" s="19" t="s">
        <v>10</v>
      </c>
      <c r="D260" s="20"/>
      <c r="E260" s="19"/>
      <c r="F260" s="19"/>
      <c r="G260" s="19"/>
      <c r="H260" s="19"/>
      <c r="I260" s="19"/>
      <c r="J260" s="19"/>
      <c r="K260" s="19"/>
      <c r="L260" s="22">
        <f>L258+L259</f>
        <v>0</v>
      </c>
      <c r="N260" s="26"/>
    </row>
    <row r="261" spans="1:14" s="52" customFormat="1" x14ac:dyDescent="0.3">
      <c r="A261" s="26"/>
      <c r="B261" s="12"/>
      <c r="C261" s="12" t="s">
        <v>55</v>
      </c>
      <c r="D261" s="18">
        <v>0.18</v>
      </c>
      <c r="E261" s="12"/>
      <c r="F261" s="12"/>
      <c r="G261" s="12"/>
      <c r="H261" s="12"/>
      <c r="I261" s="12"/>
      <c r="J261" s="12"/>
      <c r="K261" s="12"/>
      <c r="L261" s="21">
        <f>L260*D261</f>
        <v>0</v>
      </c>
      <c r="N261" s="26"/>
    </row>
    <row r="262" spans="1:14" s="52" customFormat="1" x14ac:dyDescent="0.3">
      <c r="A262" s="26"/>
      <c r="B262" s="36"/>
      <c r="C262" s="37" t="s">
        <v>10</v>
      </c>
      <c r="D262" s="36"/>
      <c r="E262" s="37"/>
      <c r="F262" s="36"/>
      <c r="G262" s="38"/>
      <c r="H262" s="39"/>
      <c r="I262" s="39"/>
      <c r="J262" s="39"/>
      <c r="K262" s="39"/>
      <c r="L262" s="40">
        <f>L261+L260</f>
        <v>0</v>
      </c>
      <c r="N262" s="26"/>
    </row>
  </sheetData>
  <autoFilter ref="B4:L262" xr:uid="{AF03FC27-BCD1-4DA9-BBA7-2CAE73D1A655}"/>
  <mergeCells count="4">
    <mergeCell ref="L2:L3"/>
    <mergeCell ref="B2:B3"/>
    <mergeCell ref="C2:C3"/>
    <mergeCell ref="D2: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D3663-4E9B-4A4B-9ABC-12008A42314C}">
  <dimension ref="A2:M1045"/>
  <sheetViews>
    <sheetView showGridLines="0" workbookViewId="0">
      <selection activeCell="S31" sqref="S31"/>
    </sheetView>
  </sheetViews>
  <sheetFormatPr defaultRowHeight="15.6" x14ac:dyDescent="0.3"/>
  <cols>
    <col min="1" max="1" width="0.77734375" style="62" customWidth="1"/>
    <col min="2" max="2" width="5.33203125" style="67" customWidth="1"/>
    <col min="3" max="3" width="89.21875" style="63" customWidth="1"/>
    <col min="4" max="4" width="14.5546875" style="64" bestFit="1" customWidth="1"/>
    <col min="5" max="5" width="7.109375" style="65" customWidth="1"/>
    <col min="6" max="6" width="12.33203125" style="66" bestFit="1" customWidth="1"/>
    <col min="7" max="7" width="11.109375" style="62" bestFit="1" customWidth="1"/>
    <col min="8" max="8" width="10.109375" style="64" bestFit="1" customWidth="1"/>
    <col min="9" max="9" width="11.109375" style="62" bestFit="1" customWidth="1"/>
    <col min="10" max="10" width="10" style="64" bestFit="1" customWidth="1"/>
    <col min="11" max="11" width="6.5546875" style="62" bestFit="1" customWidth="1"/>
    <col min="12" max="12" width="9" style="62" bestFit="1" customWidth="1"/>
    <col min="13" max="13" width="11.44140625" style="62" bestFit="1" customWidth="1"/>
    <col min="14" max="176" width="8.88671875" style="62"/>
    <col min="177" max="177" width="6" style="62" customWidth="1"/>
    <col min="178" max="178" width="44.44140625" style="62" customWidth="1"/>
    <col min="179" max="179" width="10.5546875" style="62" customWidth="1"/>
    <col min="180" max="180" width="11.5546875" style="62" bestFit="1" customWidth="1"/>
    <col min="181" max="181" width="12.5546875" style="62" bestFit="1" customWidth="1"/>
    <col min="182" max="182" width="17.44140625" style="62" bestFit="1" customWidth="1"/>
    <col min="183" max="183" width="10.88671875" style="62" bestFit="1" customWidth="1"/>
    <col min="184" max="184" width="13.5546875" style="62" bestFit="1" customWidth="1"/>
    <col min="185" max="185" width="11" style="62" bestFit="1" customWidth="1"/>
    <col min="186" max="186" width="14.109375" style="62" bestFit="1" customWidth="1"/>
    <col min="187" max="187" width="17.44140625" style="62" bestFit="1" customWidth="1"/>
    <col min="188" max="188" width="8.88671875" style="62"/>
    <col min="189" max="189" width="10.44140625" style="62" bestFit="1" customWidth="1"/>
    <col min="190" max="432" width="8.88671875" style="62"/>
    <col min="433" max="433" width="6" style="62" customWidth="1"/>
    <col min="434" max="434" width="44.44140625" style="62" customWidth="1"/>
    <col min="435" max="435" width="10.5546875" style="62" customWidth="1"/>
    <col min="436" max="436" width="11.5546875" style="62" bestFit="1" customWidth="1"/>
    <col min="437" max="437" width="12.5546875" style="62" bestFit="1" customWidth="1"/>
    <col min="438" max="438" width="17.44140625" style="62" bestFit="1" customWidth="1"/>
    <col min="439" max="439" width="10.88671875" style="62" bestFit="1" customWidth="1"/>
    <col min="440" max="440" width="13.5546875" style="62" bestFit="1" customWidth="1"/>
    <col min="441" max="441" width="11" style="62" bestFit="1" customWidth="1"/>
    <col min="442" max="442" width="14.109375" style="62" bestFit="1" customWidth="1"/>
    <col min="443" max="443" width="17.44140625" style="62" bestFit="1" customWidth="1"/>
    <col min="444" max="444" width="8.88671875" style="62"/>
    <col min="445" max="445" width="10.44140625" style="62" bestFit="1" customWidth="1"/>
    <col min="446" max="688" width="8.88671875" style="62"/>
    <col min="689" max="689" width="6" style="62" customWidth="1"/>
    <col min="690" max="690" width="44.44140625" style="62" customWidth="1"/>
    <col min="691" max="691" width="10.5546875" style="62" customWidth="1"/>
    <col min="692" max="692" width="11.5546875" style="62" bestFit="1" customWidth="1"/>
    <col min="693" max="693" width="12.5546875" style="62" bestFit="1" customWidth="1"/>
    <col min="694" max="694" width="17.44140625" style="62" bestFit="1" customWidth="1"/>
    <col min="695" max="695" width="10.88671875" style="62" bestFit="1" customWidth="1"/>
    <col min="696" max="696" width="13.5546875" style="62" bestFit="1" customWidth="1"/>
    <col min="697" max="697" width="11" style="62" bestFit="1" customWidth="1"/>
    <col min="698" max="698" width="14.109375" style="62" bestFit="1" customWidth="1"/>
    <col min="699" max="699" width="17.44140625" style="62" bestFit="1" customWidth="1"/>
    <col min="700" max="700" width="8.88671875" style="62"/>
    <col min="701" max="701" width="10.44140625" style="62" bestFit="1" customWidth="1"/>
    <col min="702" max="944" width="8.88671875" style="62"/>
    <col min="945" max="945" width="6" style="62" customWidth="1"/>
    <col min="946" max="946" width="44.44140625" style="62" customWidth="1"/>
    <col min="947" max="947" width="10.5546875" style="62" customWidth="1"/>
    <col min="948" max="948" width="11.5546875" style="62" bestFit="1" customWidth="1"/>
    <col min="949" max="949" width="12.5546875" style="62" bestFit="1" customWidth="1"/>
    <col min="950" max="950" width="17.44140625" style="62" bestFit="1" customWidth="1"/>
    <col min="951" max="951" width="10.88671875" style="62" bestFit="1" customWidth="1"/>
    <col min="952" max="952" width="13.5546875" style="62" bestFit="1" customWidth="1"/>
    <col min="953" max="953" width="11" style="62" bestFit="1" customWidth="1"/>
    <col min="954" max="954" width="14.109375" style="62" bestFit="1" customWidth="1"/>
    <col min="955" max="955" width="17.44140625" style="62" bestFit="1" customWidth="1"/>
    <col min="956" max="956" width="8.88671875" style="62"/>
    <col min="957" max="957" width="10.44140625" style="62" bestFit="1" customWidth="1"/>
    <col min="958" max="1200" width="8.88671875" style="62"/>
    <col min="1201" max="1201" width="6" style="62" customWidth="1"/>
    <col min="1202" max="1202" width="44.44140625" style="62" customWidth="1"/>
    <col min="1203" max="1203" width="10.5546875" style="62" customWidth="1"/>
    <col min="1204" max="1204" width="11.5546875" style="62" bestFit="1" customWidth="1"/>
    <col min="1205" max="1205" width="12.5546875" style="62" bestFit="1" customWidth="1"/>
    <col min="1206" max="1206" width="17.44140625" style="62" bestFit="1" customWidth="1"/>
    <col min="1207" max="1207" width="10.88671875" style="62" bestFit="1" customWidth="1"/>
    <col min="1208" max="1208" width="13.5546875" style="62" bestFit="1" customWidth="1"/>
    <col min="1209" max="1209" width="11" style="62" bestFit="1" customWidth="1"/>
    <col min="1210" max="1210" width="14.109375" style="62" bestFit="1" customWidth="1"/>
    <col min="1211" max="1211" width="17.44140625" style="62" bestFit="1" customWidth="1"/>
    <col min="1212" max="1212" width="8.88671875" style="62"/>
    <col min="1213" max="1213" width="10.44140625" style="62" bestFit="1" customWidth="1"/>
    <col min="1214" max="1456" width="8.88671875" style="62"/>
    <col min="1457" max="1457" width="6" style="62" customWidth="1"/>
    <col min="1458" max="1458" width="44.44140625" style="62" customWidth="1"/>
    <col min="1459" max="1459" width="10.5546875" style="62" customWidth="1"/>
    <col min="1460" max="1460" width="11.5546875" style="62" bestFit="1" customWidth="1"/>
    <col min="1461" max="1461" width="12.5546875" style="62" bestFit="1" customWidth="1"/>
    <col min="1462" max="1462" width="17.44140625" style="62" bestFit="1" customWidth="1"/>
    <col min="1463" max="1463" width="10.88671875" style="62" bestFit="1" customWidth="1"/>
    <col min="1464" max="1464" width="13.5546875" style="62" bestFit="1" customWidth="1"/>
    <col min="1465" max="1465" width="11" style="62" bestFit="1" customWidth="1"/>
    <col min="1466" max="1466" width="14.109375" style="62" bestFit="1" customWidth="1"/>
    <col min="1467" max="1467" width="17.44140625" style="62" bestFit="1" customWidth="1"/>
    <col min="1468" max="1468" width="8.88671875" style="62"/>
    <col min="1469" max="1469" width="10.44140625" style="62" bestFit="1" customWidth="1"/>
    <col min="1470" max="1712" width="8.88671875" style="62"/>
    <col min="1713" max="1713" width="6" style="62" customWidth="1"/>
    <col min="1714" max="1714" width="44.44140625" style="62" customWidth="1"/>
    <col min="1715" max="1715" width="10.5546875" style="62" customWidth="1"/>
    <col min="1716" max="1716" width="11.5546875" style="62" bestFit="1" customWidth="1"/>
    <col min="1717" max="1717" width="12.5546875" style="62" bestFit="1" customWidth="1"/>
    <col min="1718" max="1718" width="17.44140625" style="62" bestFit="1" customWidth="1"/>
    <col min="1719" max="1719" width="10.88671875" style="62" bestFit="1" customWidth="1"/>
    <col min="1720" max="1720" width="13.5546875" style="62" bestFit="1" customWidth="1"/>
    <col min="1721" max="1721" width="11" style="62" bestFit="1" customWidth="1"/>
    <col min="1722" max="1722" width="14.109375" style="62" bestFit="1" customWidth="1"/>
    <col min="1723" max="1723" width="17.44140625" style="62" bestFit="1" customWidth="1"/>
    <col min="1724" max="1724" width="8.88671875" style="62"/>
    <col min="1725" max="1725" width="10.44140625" style="62" bestFit="1" customWidth="1"/>
    <col min="1726" max="1968" width="8.88671875" style="62"/>
    <col min="1969" max="1969" width="6" style="62" customWidth="1"/>
    <col min="1970" max="1970" width="44.44140625" style="62" customWidth="1"/>
    <col min="1971" max="1971" width="10.5546875" style="62" customWidth="1"/>
    <col min="1972" max="1972" width="11.5546875" style="62" bestFit="1" customWidth="1"/>
    <col min="1973" max="1973" width="12.5546875" style="62" bestFit="1" customWidth="1"/>
    <col min="1974" max="1974" width="17.44140625" style="62" bestFit="1" customWidth="1"/>
    <col min="1975" max="1975" width="10.88671875" style="62" bestFit="1" customWidth="1"/>
    <col min="1976" max="1976" width="13.5546875" style="62" bestFit="1" customWidth="1"/>
    <col min="1977" max="1977" width="11" style="62" bestFit="1" customWidth="1"/>
    <col min="1978" max="1978" width="14.109375" style="62" bestFit="1" customWidth="1"/>
    <col min="1979" max="1979" width="17.44140625" style="62" bestFit="1" customWidth="1"/>
    <col min="1980" max="1980" width="8.88671875" style="62"/>
    <col min="1981" max="1981" width="10.44140625" style="62" bestFit="1" customWidth="1"/>
    <col min="1982" max="2224" width="8.88671875" style="62"/>
    <col min="2225" max="2225" width="6" style="62" customWidth="1"/>
    <col min="2226" max="2226" width="44.44140625" style="62" customWidth="1"/>
    <col min="2227" max="2227" width="10.5546875" style="62" customWidth="1"/>
    <col min="2228" max="2228" width="11.5546875" style="62" bestFit="1" customWidth="1"/>
    <col min="2229" max="2229" width="12.5546875" style="62" bestFit="1" customWidth="1"/>
    <col min="2230" max="2230" width="17.44140625" style="62" bestFit="1" customWidth="1"/>
    <col min="2231" max="2231" width="10.88671875" style="62" bestFit="1" customWidth="1"/>
    <col min="2232" max="2232" width="13.5546875" style="62" bestFit="1" customWidth="1"/>
    <col min="2233" max="2233" width="11" style="62" bestFit="1" customWidth="1"/>
    <col min="2234" max="2234" width="14.109375" style="62" bestFit="1" customWidth="1"/>
    <col min="2235" max="2235" width="17.44140625" style="62" bestFit="1" customWidth="1"/>
    <col min="2236" max="2236" width="8.88671875" style="62"/>
    <col min="2237" max="2237" width="10.44140625" style="62" bestFit="1" customWidth="1"/>
    <col min="2238" max="2480" width="8.88671875" style="62"/>
    <col min="2481" max="2481" width="6" style="62" customWidth="1"/>
    <col min="2482" max="2482" width="44.44140625" style="62" customWidth="1"/>
    <col min="2483" max="2483" width="10.5546875" style="62" customWidth="1"/>
    <col min="2484" max="2484" width="11.5546875" style="62" bestFit="1" customWidth="1"/>
    <col min="2485" max="2485" width="12.5546875" style="62" bestFit="1" customWidth="1"/>
    <col min="2486" max="2486" width="17.44140625" style="62" bestFit="1" customWidth="1"/>
    <col min="2487" max="2487" width="10.88671875" style="62" bestFit="1" customWidth="1"/>
    <col min="2488" max="2488" width="13.5546875" style="62" bestFit="1" customWidth="1"/>
    <col min="2489" max="2489" width="11" style="62" bestFit="1" customWidth="1"/>
    <col min="2490" max="2490" width="14.109375" style="62" bestFit="1" customWidth="1"/>
    <col min="2491" max="2491" width="17.44140625" style="62" bestFit="1" customWidth="1"/>
    <col min="2492" max="2492" width="8.88671875" style="62"/>
    <col min="2493" max="2493" width="10.44140625" style="62" bestFit="1" customWidth="1"/>
    <col min="2494" max="2736" width="8.88671875" style="62"/>
    <col min="2737" max="2737" width="6" style="62" customWidth="1"/>
    <col min="2738" max="2738" width="44.44140625" style="62" customWidth="1"/>
    <col min="2739" max="2739" width="10.5546875" style="62" customWidth="1"/>
    <col min="2740" max="2740" width="11.5546875" style="62" bestFit="1" customWidth="1"/>
    <col min="2741" max="2741" width="12.5546875" style="62" bestFit="1" customWidth="1"/>
    <col min="2742" max="2742" width="17.44140625" style="62" bestFit="1" customWidth="1"/>
    <col min="2743" max="2743" width="10.88671875" style="62" bestFit="1" customWidth="1"/>
    <col min="2744" max="2744" width="13.5546875" style="62" bestFit="1" customWidth="1"/>
    <col min="2745" max="2745" width="11" style="62" bestFit="1" customWidth="1"/>
    <col min="2746" max="2746" width="14.109375" style="62" bestFit="1" customWidth="1"/>
    <col min="2747" max="2747" width="17.44140625" style="62" bestFit="1" customWidth="1"/>
    <col min="2748" max="2748" width="8.88671875" style="62"/>
    <col min="2749" max="2749" width="10.44140625" style="62" bestFit="1" customWidth="1"/>
    <col min="2750" max="2992" width="8.88671875" style="62"/>
    <col min="2993" max="2993" width="6" style="62" customWidth="1"/>
    <col min="2994" max="2994" width="44.44140625" style="62" customWidth="1"/>
    <col min="2995" max="2995" width="10.5546875" style="62" customWidth="1"/>
    <col min="2996" max="2996" width="11.5546875" style="62" bestFit="1" customWidth="1"/>
    <col min="2997" max="2997" width="12.5546875" style="62" bestFit="1" customWidth="1"/>
    <col min="2998" max="2998" width="17.44140625" style="62" bestFit="1" customWidth="1"/>
    <col min="2999" max="2999" width="10.88671875" style="62" bestFit="1" customWidth="1"/>
    <col min="3000" max="3000" width="13.5546875" style="62" bestFit="1" customWidth="1"/>
    <col min="3001" max="3001" width="11" style="62" bestFit="1" customWidth="1"/>
    <col min="3002" max="3002" width="14.109375" style="62" bestFit="1" customWidth="1"/>
    <col min="3003" max="3003" width="17.44140625" style="62" bestFit="1" customWidth="1"/>
    <col min="3004" max="3004" width="8.88671875" style="62"/>
    <col min="3005" max="3005" width="10.44140625" style="62" bestFit="1" customWidth="1"/>
    <col min="3006" max="3248" width="8.88671875" style="62"/>
    <col min="3249" max="3249" width="6" style="62" customWidth="1"/>
    <col min="3250" max="3250" width="44.44140625" style="62" customWidth="1"/>
    <col min="3251" max="3251" width="10.5546875" style="62" customWidth="1"/>
    <col min="3252" max="3252" width="11.5546875" style="62" bestFit="1" customWidth="1"/>
    <col min="3253" max="3253" width="12.5546875" style="62" bestFit="1" customWidth="1"/>
    <col min="3254" max="3254" width="17.44140625" style="62" bestFit="1" customWidth="1"/>
    <col min="3255" max="3255" width="10.88671875" style="62" bestFit="1" customWidth="1"/>
    <col min="3256" max="3256" width="13.5546875" style="62" bestFit="1" customWidth="1"/>
    <col min="3257" max="3257" width="11" style="62" bestFit="1" customWidth="1"/>
    <col min="3258" max="3258" width="14.109375" style="62" bestFit="1" customWidth="1"/>
    <col min="3259" max="3259" width="17.44140625" style="62" bestFit="1" customWidth="1"/>
    <col min="3260" max="3260" width="8.88671875" style="62"/>
    <col min="3261" max="3261" width="10.44140625" style="62" bestFit="1" customWidth="1"/>
    <col min="3262" max="3504" width="8.88671875" style="62"/>
    <col min="3505" max="3505" width="6" style="62" customWidth="1"/>
    <col min="3506" max="3506" width="44.44140625" style="62" customWidth="1"/>
    <col min="3507" max="3507" width="10.5546875" style="62" customWidth="1"/>
    <col min="3508" max="3508" width="11.5546875" style="62" bestFit="1" customWidth="1"/>
    <col min="3509" max="3509" width="12.5546875" style="62" bestFit="1" customWidth="1"/>
    <col min="3510" max="3510" width="17.44140625" style="62" bestFit="1" customWidth="1"/>
    <col min="3511" max="3511" width="10.88671875" style="62" bestFit="1" customWidth="1"/>
    <col min="3512" max="3512" width="13.5546875" style="62" bestFit="1" customWidth="1"/>
    <col min="3513" max="3513" width="11" style="62" bestFit="1" customWidth="1"/>
    <col min="3514" max="3514" width="14.109375" style="62" bestFit="1" customWidth="1"/>
    <col min="3515" max="3515" width="17.44140625" style="62" bestFit="1" customWidth="1"/>
    <col min="3516" max="3516" width="8.88671875" style="62"/>
    <col min="3517" max="3517" width="10.44140625" style="62" bestFit="1" customWidth="1"/>
    <col min="3518" max="3760" width="8.88671875" style="62"/>
    <col min="3761" max="3761" width="6" style="62" customWidth="1"/>
    <col min="3762" max="3762" width="44.44140625" style="62" customWidth="1"/>
    <col min="3763" max="3763" width="10.5546875" style="62" customWidth="1"/>
    <col min="3764" max="3764" width="11.5546875" style="62" bestFit="1" customWidth="1"/>
    <col min="3765" max="3765" width="12.5546875" style="62" bestFit="1" customWidth="1"/>
    <col min="3766" max="3766" width="17.44140625" style="62" bestFit="1" customWidth="1"/>
    <col min="3767" max="3767" width="10.88671875" style="62" bestFit="1" customWidth="1"/>
    <col min="3768" max="3768" width="13.5546875" style="62" bestFit="1" customWidth="1"/>
    <col min="3769" max="3769" width="11" style="62" bestFit="1" customWidth="1"/>
    <col min="3770" max="3770" width="14.109375" style="62" bestFit="1" customWidth="1"/>
    <col min="3771" max="3771" width="17.44140625" style="62" bestFit="1" customWidth="1"/>
    <col min="3772" max="3772" width="8.88671875" style="62"/>
    <col min="3773" max="3773" width="10.44140625" style="62" bestFit="1" customWidth="1"/>
    <col min="3774" max="4016" width="8.88671875" style="62"/>
    <col min="4017" max="4017" width="6" style="62" customWidth="1"/>
    <col min="4018" max="4018" width="44.44140625" style="62" customWidth="1"/>
    <col min="4019" max="4019" width="10.5546875" style="62" customWidth="1"/>
    <col min="4020" max="4020" width="11.5546875" style="62" bestFit="1" customWidth="1"/>
    <col min="4021" max="4021" width="12.5546875" style="62" bestFit="1" customWidth="1"/>
    <col min="4022" max="4022" width="17.44140625" style="62" bestFit="1" customWidth="1"/>
    <col min="4023" max="4023" width="10.88671875" style="62" bestFit="1" customWidth="1"/>
    <col min="4024" max="4024" width="13.5546875" style="62" bestFit="1" customWidth="1"/>
    <col min="4025" max="4025" width="11" style="62" bestFit="1" customWidth="1"/>
    <col min="4026" max="4026" width="14.109375" style="62" bestFit="1" customWidth="1"/>
    <col min="4027" max="4027" width="17.44140625" style="62" bestFit="1" customWidth="1"/>
    <col min="4028" max="4028" width="8.88671875" style="62"/>
    <col min="4029" max="4029" width="10.44140625" style="62" bestFit="1" customWidth="1"/>
    <col min="4030" max="4272" width="8.88671875" style="62"/>
    <col min="4273" max="4273" width="6" style="62" customWidth="1"/>
    <col min="4274" max="4274" width="44.44140625" style="62" customWidth="1"/>
    <col min="4275" max="4275" width="10.5546875" style="62" customWidth="1"/>
    <col min="4276" max="4276" width="11.5546875" style="62" bestFit="1" customWidth="1"/>
    <col min="4277" max="4277" width="12.5546875" style="62" bestFit="1" customWidth="1"/>
    <col min="4278" max="4278" width="17.44140625" style="62" bestFit="1" customWidth="1"/>
    <col min="4279" max="4279" width="10.88671875" style="62" bestFit="1" customWidth="1"/>
    <col min="4280" max="4280" width="13.5546875" style="62" bestFit="1" customWidth="1"/>
    <col min="4281" max="4281" width="11" style="62" bestFit="1" customWidth="1"/>
    <col min="4282" max="4282" width="14.109375" style="62" bestFit="1" customWidth="1"/>
    <col min="4283" max="4283" width="17.44140625" style="62" bestFit="1" customWidth="1"/>
    <col min="4284" max="4284" width="8.88671875" style="62"/>
    <col min="4285" max="4285" width="10.44140625" style="62" bestFit="1" customWidth="1"/>
    <col min="4286" max="4528" width="8.88671875" style="62"/>
    <col min="4529" max="4529" width="6" style="62" customWidth="1"/>
    <col min="4530" max="4530" width="44.44140625" style="62" customWidth="1"/>
    <col min="4531" max="4531" width="10.5546875" style="62" customWidth="1"/>
    <col min="4532" max="4532" width="11.5546875" style="62" bestFit="1" customWidth="1"/>
    <col min="4533" max="4533" width="12.5546875" style="62" bestFit="1" customWidth="1"/>
    <col min="4534" max="4534" width="17.44140625" style="62" bestFit="1" customWidth="1"/>
    <col min="4535" max="4535" width="10.88671875" style="62" bestFit="1" customWidth="1"/>
    <col min="4536" max="4536" width="13.5546875" style="62" bestFit="1" customWidth="1"/>
    <col min="4537" max="4537" width="11" style="62" bestFit="1" customWidth="1"/>
    <col min="4538" max="4538" width="14.109375" style="62" bestFit="1" customWidth="1"/>
    <col min="4539" max="4539" width="17.44140625" style="62" bestFit="1" customWidth="1"/>
    <col min="4540" max="4540" width="8.88671875" style="62"/>
    <col min="4541" max="4541" width="10.44140625" style="62" bestFit="1" customWidth="1"/>
    <col min="4542" max="4784" width="8.88671875" style="62"/>
    <col min="4785" max="4785" width="6" style="62" customWidth="1"/>
    <col min="4786" max="4786" width="44.44140625" style="62" customWidth="1"/>
    <col min="4787" max="4787" width="10.5546875" style="62" customWidth="1"/>
    <col min="4788" max="4788" width="11.5546875" style="62" bestFit="1" customWidth="1"/>
    <col min="4789" max="4789" width="12.5546875" style="62" bestFit="1" customWidth="1"/>
    <col min="4790" max="4790" width="17.44140625" style="62" bestFit="1" customWidth="1"/>
    <col min="4791" max="4791" width="10.88671875" style="62" bestFit="1" customWidth="1"/>
    <col min="4792" max="4792" width="13.5546875" style="62" bestFit="1" customWidth="1"/>
    <col min="4793" max="4793" width="11" style="62" bestFit="1" customWidth="1"/>
    <col min="4794" max="4794" width="14.109375" style="62" bestFit="1" customWidth="1"/>
    <col min="4795" max="4795" width="17.44140625" style="62" bestFit="1" customWidth="1"/>
    <col min="4796" max="4796" width="8.88671875" style="62"/>
    <col min="4797" max="4797" width="10.44140625" style="62" bestFit="1" customWidth="1"/>
    <col min="4798" max="5040" width="8.88671875" style="62"/>
    <col min="5041" max="5041" width="6" style="62" customWidth="1"/>
    <col min="5042" max="5042" width="44.44140625" style="62" customWidth="1"/>
    <col min="5043" max="5043" width="10.5546875" style="62" customWidth="1"/>
    <col min="5044" max="5044" width="11.5546875" style="62" bestFit="1" customWidth="1"/>
    <col min="5045" max="5045" width="12.5546875" style="62" bestFit="1" customWidth="1"/>
    <col min="5046" max="5046" width="17.44140625" style="62" bestFit="1" customWidth="1"/>
    <col min="5047" max="5047" width="10.88671875" style="62" bestFit="1" customWidth="1"/>
    <col min="5048" max="5048" width="13.5546875" style="62" bestFit="1" customWidth="1"/>
    <col min="5049" max="5049" width="11" style="62" bestFit="1" customWidth="1"/>
    <col min="5050" max="5050" width="14.109375" style="62" bestFit="1" customWidth="1"/>
    <col min="5051" max="5051" width="17.44140625" style="62" bestFit="1" customWidth="1"/>
    <col min="5052" max="5052" width="8.88671875" style="62"/>
    <col min="5053" max="5053" width="10.44140625" style="62" bestFit="1" customWidth="1"/>
    <col min="5054" max="5296" width="8.88671875" style="62"/>
    <col min="5297" max="5297" width="6" style="62" customWidth="1"/>
    <col min="5298" max="5298" width="44.44140625" style="62" customWidth="1"/>
    <col min="5299" max="5299" width="10.5546875" style="62" customWidth="1"/>
    <col min="5300" max="5300" width="11.5546875" style="62" bestFit="1" customWidth="1"/>
    <col min="5301" max="5301" width="12.5546875" style="62" bestFit="1" customWidth="1"/>
    <col min="5302" max="5302" width="17.44140625" style="62" bestFit="1" customWidth="1"/>
    <col min="5303" max="5303" width="10.88671875" style="62" bestFit="1" customWidth="1"/>
    <col min="5304" max="5304" width="13.5546875" style="62" bestFit="1" customWidth="1"/>
    <col min="5305" max="5305" width="11" style="62" bestFit="1" customWidth="1"/>
    <col min="5306" max="5306" width="14.109375" style="62" bestFit="1" customWidth="1"/>
    <col min="5307" max="5307" width="17.44140625" style="62" bestFit="1" customWidth="1"/>
    <col min="5308" max="5308" width="8.88671875" style="62"/>
    <col min="5309" max="5309" width="10.44140625" style="62" bestFit="1" customWidth="1"/>
    <col min="5310" max="5552" width="8.88671875" style="62"/>
    <col min="5553" max="5553" width="6" style="62" customWidth="1"/>
    <col min="5554" max="5554" width="44.44140625" style="62" customWidth="1"/>
    <col min="5555" max="5555" width="10.5546875" style="62" customWidth="1"/>
    <col min="5556" max="5556" width="11.5546875" style="62" bestFit="1" customWidth="1"/>
    <col min="5557" max="5557" width="12.5546875" style="62" bestFit="1" customWidth="1"/>
    <col min="5558" max="5558" width="17.44140625" style="62" bestFit="1" customWidth="1"/>
    <col min="5559" max="5559" width="10.88671875" style="62" bestFit="1" customWidth="1"/>
    <col min="5560" max="5560" width="13.5546875" style="62" bestFit="1" customWidth="1"/>
    <col min="5561" max="5561" width="11" style="62" bestFit="1" customWidth="1"/>
    <col min="5562" max="5562" width="14.109375" style="62" bestFit="1" customWidth="1"/>
    <col min="5563" max="5563" width="17.44140625" style="62" bestFit="1" customWidth="1"/>
    <col min="5564" max="5564" width="8.88671875" style="62"/>
    <col min="5565" max="5565" width="10.44140625" style="62" bestFit="1" customWidth="1"/>
    <col min="5566" max="5808" width="8.88671875" style="62"/>
    <col min="5809" max="5809" width="6" style="62" customWidth="1"/>
    <col min="5810" max="5810" width="44.44140625" style="62" customWidth="1"/>
    <col min="5811" max="5811" width="10.5546875" style="62" customWidth="1"/>
    <col min="5812" max="5812" width="11.5546875" style="62" bestFit="1" customWidth="1"/>
    <col min="5813" max="5813" width="12.5546875" style="62" bestFit="1" customWidth="1"/>
    <col min="5814" max="5814" width="17.44140625" style="62" bestFit="1" customWidth="1"/>
    <col min="5815" max="5815" width="10.88671875" style="62" bestFit="1" customWidth="1"/>
    <col min="5816" max="5816" width="13.5546875" style="62" bestFit="1" customWidth="1"/>
    <col min="5817" max="5817" width="11" style="62" bestFit="1" customWidth="1"/>
    <col min="5818" max="5818" width="14.109375" style="62" bestFit="1" customWidth="1"/>
    <col min="5819" max="5819" width="17.44140625" style="62" bestFit="1" customWidth="1"/>
    <col min="5820" max="5820" width="8.88671875" style="62"/>
    <col min="5821" max="5821" width="10.44140625" style="62" bestFit="1" customWidth="1"/>
    <col min="5822" max="6064" width="8.88671875" style="62"/>
    <col min="6065" max="6065" width="6" style="62" customWidth="1"/>
    <col min="6066" max="6066" width="44.44140625" style="62" customWidth="1"/>
    <col min="6067" max="6067" width="10.5546875" style="62" customWidth="1"/>
    <col min="6068" max="6068" width="11.5546875" style="62" bestFit="1" customWidth="1"/>
    <col min="6069" max="6069" width="12.5546875" style="62" bestFit="1" customWidth="1"/>
    <col min="6070" max="6070" width="17.44140625" style="62" bestFit="1" customWidth="1"/>
    <col min="6071" max="6071" width="10.88671875" style="62" bestFit="1" customWidth="1"/>
    <col min="6072" max="6072" width="13.5546875" style="62" bestFit="1" customWidth="1"/>
    <col min="6073" max="6073" width="11" style="62" bestFit="1" customWidth="1"/>
    <col min="6074" max="6074" width="14.109375" style="62" bestFit="1" customWidth="1"/>
    <col min="6075" max="6075" width="17.44140625" style="62" bestFit="1" customWidth="1"/>
    <col min="6076" max="6076" width="8.88671875" style="62"/>
    <col min="6077" max="6077" width="10.44140625" style="62" bestFit="1" customWidth="1"/>
    <col min="6078" max="6320" width="8.88671875" style="62"/>
    <col min="6321" max="6321" width="6" style="62" customWidth="1"/>
    <col min="6322" max="6322" width="44.44140625" style="62" customWidth="1"/>
    <col min="6323" max="6323" width="10.5546875" style="62" customWidth="1"/>
    <col min="6324" max="6324" width="11.5546875" style="62" bestFit="1" customWidth="1"/>
    <col min="6325" max="6325" width="12.5546875" style="62" bestFit="1" customWidth="1"/>
    <col min="6326" max="6326" width="17.44140625" style="62" bestFit="1" customWidth="1"/>
    <col min="6327" max="6327" width="10.88671875" style="62" bestFit="1" customWidth="1"/>
    <col min="6328" max="6328" width="13.5546875" style="62" bestFit="1" customWidth="1"/>
    <col min="6329" max="6329" width="11" style="62" bestFit="1" customWidth="1"/>
    <col min="6330" max="6330" width="14.109375" style="62" bestFit="1" customWidth="1"/>
    <col min="6331" max="6331" width="17.44140625" style="62" bestFit="1" customWidth="1"/>
    <col min="6332" max="6332" width="8.88671875" style="62"/>
    <col min="6333" max="6333" width="10.44140625" style="62" bestFit="1" customWidth="1"/>
    <col min="6334" max="6576" width="8.88671875" style="62"/>
    <col min="6577" max="6577" width="6" style="62" customWidth="1"/>
    <col min="6578" max="6578" width="44.44140625" style="62" customWidth="1"/>
    <col min="6579" max="6579" width="10.5546875" style="62" customWidth="1"/>
    <col min="6580" max="6580" width="11.5546875" style="62" bestFit="1" customWidth="1"/>
    <col min="6581" max="6581" width="12.5546875" style="62" bestFit="1" customWidth="1"/>
    <col min="6582" max="6582" width="17.44140625" style="62" bestFit="1" customWidth="1"/>
    <col min="6583" max="6583" width="10.88671875" style="62" bestFit="1" customWidth="1"/>
    <col min="6584" max="6584" width="13.5546875" style="62" bestFit="1" customWidth="1"/>
    <col min="6585" max="6585" width="11" style="62" bestFit="1" customWidth="1"/>
    <col min="6586" max="6586" width="14.109375" style="62" bestFit="1" customWidth="1"/>
    <col min="6587" max="6587" width="17.44140625" style="62" bestFit="1" customWidth="1"/>
    <col min="6588" max="6588" width="8.88671875" style="62"/>
    <col min="6589" max="6589" width="10.44140625" style="62" bestFit="1" customWidth="1"/>
    <col min="6590" max="6832" width="8.88671875" style="62"/>
    <col min="6833" max="6833" width="6" style="62" customWidth="1"/>
    <col min="6834" max="6834" width="44.44140625" style="62" customWidth="1"/>
    <col min="6835" max="6835" width="10.5546875" style="62" customWidth="1"/>
    <col min="6836" max="6836" width="11.5546875" style="62" bestFit="1" customWidth="1"/>
    <col min="6837" max="6837" width="12.5546875" style="62" bestFit="1" customWidth="1"/>
    <col min="6838" max="6838" width="17.44140625" style="62" bestFit="1" customWidth="1"/>
    <col min="6839" max="6839" width="10.88671875" style="62" bestFit="1" customWidth="1"/>
    <col min="6840" max="6840" width="13.5546875" style="62" bestFit="1" customWidth="1"/>
    <col min="6841" max="6841" width="11" style="62" bestFit="1" customWidth="1"/>
    <col min="6842" max="6842" width="14.109375" style="62" bestFit="1" customWidth="1"/>
    <col min="6843" max="6843" width="17.44140625" style="62" bestFit="1" customWidth="1"/>
    <col min="6844" max="6844" width="8.88671875" style="62"/>
    <col min="6845" max="6845" width="10.44140625" style="62" bestFit="1" customWidth="1"/>
    <col min="6846" max="7088" width="8.88671875" style="62"/>
    <col min="7089" max="7089" width="6" style="62" customWidth="1"/>
    <col min="7090" max="7090" width="44.44140625" style="62" customWidth="1"/>
    <col min="7091" max="7091" width="10.5546875" style="62" customWidth="1"/>
    <col min="7092" max="7092" width="11.5546875" style="62" bestFit="1" customWidth="1"/>
    <col min="7093" max="7093" width="12.5546875" style="62" bestFit="1" customWidth="1"/>
    <col min="7094" max="7094" width="17.44140625" style="62" bestFit="1" customWidth="1"/>
    <col min="7095" max="7095" width="10.88671875" style="62" bestFit="1" customWidth="1"/>
    <col min="7096" max="7096" width="13.5546875" style="62" bestFit="1" customWidth="1"/>
    <col min="7097" max="7097" width="11" style="62" bestFit="1" customWidth="1"/>
    <col min="7098" max="7098" width="14.109375" style="62" bestFit="1" customWidth="1"/>
    <col min="7099" max="7099" width="17.44140625" style="62" bestFit="1" customWidth="1"/>
    <col min="7100" max="7100" width="8.88671875" style="62"/>
    <col min="7101" max="7101" width="10.44140625" style="62" bestFit="1" customWidth="1"/>
    <col min="7102" max="7344" width="8.88671875" style="62"/>
    <col min="7345" max="7345" width="6" style="62" customWidth="1"/>
    <col min="7346" max="7346" width="44.44140625" style="62" customWidth="1"/>
    <col min="7347" max="7347" width="10.5546875" style="62" customWidth="1"/>
    <col min="7348" max="7348" width="11.5546875" style="62" bestFit="1" customWidth="1"/>
    <col min="7349" max="7349" width="12.5546875" style="62" bestFit="1" customWidth="1"/>
    <col min="7350" max="7350" width="17.44140625" style="62" bestFit="1" customWidth="1"/>
    <col min="7351" max="7351" width="10.88671875" style="62" bestFit="1" customWidth="1"/>
    <col min="7352" max="7352" width="13.5546875" style="62" bestFit="1" customWidth="1"/>
    <col min="7353" max="7353" width="11" style="62" bestFit="1" customWidth="1"/>
    <col min="7354" max="7354" width="14.109375" style="62" bestFit="1" customWidth="1"/>
    <col min="7355" max="7355" width="17.44140625" style="62" bestFit="1" customWidth="1"/>
    <col min="7356" max="7356" width="8.88671875" style="62"/>
    <col min="7357" max="7357" width="10.44140625" style="62" bestFit="1" customWidth="1"/>
    <col min="7358" max="7600" width="8.88671875" style="62"/>
    <col min="7601" max="7601" width="6" style="62" customWidth="1"/>
    <col min="7602" max="7602" width="44.44140625" style="62" customWidth="1"/>
    <col min="7603" max="7603" width="10.5546875" style="62" customWidth="1"/>
    <col min="7604" max="7604" width="11.5546875" style="62" bestFit="1" customWidth="1"/>
    <col min="7605" max="7605" width="12.5546875" style="62" bestFit="1" customWidth="1"/>
    <col min="7606" max="7606" width="17.44140625" style="62" bestFit="1" customWidth="1"/>
    <col min="7607" max="7607" width="10.88671875" style="62" bestFit="1" customWidth="1"/>
    <col min="7608" max="7608" width="13.5546875" style="62" bestFit="1" customWidth="1"/>
    <col min="7609" max="7609" width="11" style="62" bestFit="1" customWidth="1"/>
    <col min="7610" max="7610" width="14.109375" style="62" bestFit="1" customWidth="1"/>
    <col min="7611" max="7611" width="17.44140625" style="62" bestFit="1" customWidth="1"/>
    <col min="7612" max="7612" width="8.88671875" style="62"/>
    <col min="7613" max="7613" width="10.44140625" style="62" bestFit="1" customWidth="1"/>
    <col min="7614" max="7856" width="8.88671875" style="62"/>
    <col min="7857" max="7857" width="6" style="62" customWidth="1"/>
    <col min="7858" max="7858" width="44.44140625" style="62" customWidth="1"/>
    <col min="7859" max="7859" width="10.5546875" style="62" customWidth="1"/>
    <col min="7860" max="7860" width="11.5546875" style="62" bestFit="1" customWidth="1"/>
    <col min="7861" max="7861" width="12.5546875" style="62" bestFit="1" customWidth="1"/>
    <col min="7862" max="7862" width="17.44140625" style="62" bestFit="1" customWidth="1"/>
    <col min="7863" max="7863" width="10.88671875" style="62" bestFit="1" customWidth="1"/>
    <col min="7864" max="7864" width="13.5546875" style="62" bestFit="1" customWidth="1"/>
    <col min="7865" max="7865" width="11" style="62" bestFit="1" customWidth="1"/>
    <col min="7866" max="7866" width="14.109375" style="62" bestFit="1" customWidth="1"/>
    <col min="7867" max="7867" width="17.44140625" style="62" bestFit="1" customWidth="1"/>
    <col min="7868" max="7868" width="8.88671875" style="62"/>
    <col min="7869" max="7869" width="10.44140625" style="62" bestFit="1" customWidth="1"/>
    <col min="7870" max="8112" width="8.88671875" style="62"/>
    <col min="8113" max="8113" width="6" style="62" customWidth="1"/>
    <col min="8114" max="8114" width="44.44140625" style="62" customWidth="1"/>
    <col min="8115" max="8115" width="10.5546875" style="62" customWidth="1"/>
    <col min="8116" max="8116" width="11.5546875" style="62" bestFit="1" customWidth="1"/>
    <col min="8117" max="8117" width="12.5546875" style="62" bestFit="1" customWidth="1"/>
    <col min="8118" max="8118" width="17.44140625" style="62" bestFit="1" customWidth="1"/>
    <col min="8119" max="8119" width="10.88671875" style="62" bestFit="1" customWidth="1"/>
    <col min="8120" max="8120" width="13.5546875" style="62" bestFit="1" customWidth="1"/>
    <col min="8121" max="8121" width="11" style="62" bestFit="1" customWidth="1"/>
    <col min="8122" max="8122" width="14.109375" style="62" bestFit="1" customWidth="1"/>
    <col min="8123" max="8123" width="17.44140625" style="62" bestFit="1" customWidth="1"/>
    <col min="8124" max="8124" width="8.88671875" style="62"/>
    <col min="8125" max="8125" width="10.44140625" style="62" bestFit="1" customWidth="1"/>
    <col min="8126" max="8368" width="8.88671875" style="62"/>
    <col min="8369" max="8369" width="6" style="62" customWidth="1"/>
    <col min="8370" max="8370" width="44.44140625" style="62" customWidth="1"/>
    <col min="8371" max="8371" width="10.5546875" style="62" customWidth="1"/>
    <col min="8372" max="8372" width="11.5546875" style="62" bestFit="1" customWidth="1"/>
    <col min="8373" max="8373" width="12.5546875" style="62" bestFit="1" customWidth="1"/>
    <col min="8374" max="8374" width="17.44140625" style="62" bestFit="1" customWidth="1"/>
    <col min="8375" max="8375" width="10.88671875" style="62" bestFit="1" customWidth="1"/>
    <col min="8376" max="8376" width="13.5546875" style="62" bestFit="1" customWidth="1"/>
    <col min="8377" max="8377" width="11" style="62" bestFit="1" customWidth="1"/>
    <col min="8378" max="8378" width="14.109375" style="62" bestFit="1" customWidth="1"/>
    <col min="8379" max="8379" width="17.44140625" style="62" bestFit="1" customWidth="1"/>
    <col min="8380" max="8380" width="8.88671875" style="62"/>
    <col min="8381" max="8381" width="10.44140625" style="62" bestFit="1" customWidth="1"/>
    <col min="8382" max="8624" width="8.88671875" style="62"/>
    <col min="8625" max="8625" width="6" style="62" customWidth="1"/>
    <col min="8626" max="8626" width="44.44140625" style="62" customWidth="1"/>
    <col min="8627" max="8627" width="10.5546875" style="62" customWidth="1"/>
    <col min="8628" max="8628" width="11.5546875" style="62" bestFit="1" customWidth="1"/>
    <col min="8629" max="8629" width="12.5546875" style="62" bestFit="1" customWidth="1"/>
    <col min="8630" max="8630" width="17.44140625" style="62" bestFit="1" customWidth="1"/>
    <col min="8631" max="8631" width="10.88671875" style="62" bestFit="1" customWidth="1"/>
    <col min="8632" max="8632" width="13.5546875" style="62" bestFit="1" customWidth="1"/>
    <col min="8633" max="8633" width="11" style="62" bestFit="1" customWidth="1"/>
    <col min="8634" max="8634" width="14.109375" style="62" bestFit="1" customWidth="1"/>
    <col min="8635" max="8635" width="17.44140625" style="62" bestFit="1" customWidth="1"/>
    <col min="8636" max="8636" width="8.88671875" style="62"/>
    <col min="8637" max="8637" width="10.44140625" style="62" bestFit="1" customWidth="1"/>
    <col min="8638" max="8880" width="8.88671875" style="62"/>
    <col min="8881" max="8881" width="6" style="62" customWidth="1"/>
    <col min="8882" max="8882" width="44.44140625" style="62" customWidth="1"/>
    <col min="8883" max="8883" width="10.5546875" style="62" customWidth="1"/>
    <col min="8884" max="8884" width="11.5546875" style="62" bestFit="1" customWidth="1"/>
    <col min="8885" max="8885" width="12.5546875" style="62" bestFit="1" customWidth="1"/>
    <col min="8886" max="8886" width="17.44140625" style="62" bestFit="1" customWidth="1"/>
    <col min="8887" max="8887" width="10.88671875" style="62" bestFit="1" customWidth="1"/>
    <col min="8888" max="8888" width="13.5546875" style="62" bestFit="1" customWidth="1"/>
    <col min="8889" max="8889" width="11" style="62" bestFit="1" customWidth="1"/>
    <col min="8890" max="8890" width="14.109375" style="62" bestFit="1" customWidth="1"/>
    <col min="8891" max="8891" width="17.44140625" style="62" bestFit="1" customWidth="1"/>
    <col min="8892" max="8892" width="8.88671875" style="62"/>
    <col min="8893" max="8893" width="10.44140625" style="62" bestFit="1" customWidth="1"/>
    <col min="8894" max="9136" width="8.88671875" style="62"/>
    <col min="9137" max="9137" width="6" style="62" customWidth="1"/>
    <col min="9138" max="9138" width="44.44140625" style="62" customWidth="1"/>
    <col min="9139" max="9139" width="10.5546875" style="62" customWidth="1"/>
    <col min="9140" max="9140" width="11.5546875" style="62" bestFit="1" customWidth="1"/>
    <col min="9141" max="9141" width="12.5546875" style="62" bestFit="1" customWidth="1"/>
    <col min="9142" max="9142" width="17.44140625" style="62" bestFit="1" customWidth="1"/>
    <col min="9143" max="9143" width="10.88671875" style="62" bestFit="1" customWidth="1"/>
    <col min="9144" max="9144" width="13.5546875" style="62" bestFit="1" customWidth="1"/>
    <col min="9145" max="9145" width="11" style="62" bestFit="1" customWidth="1"/>
    <col min="9146" max="9146" width="14.109375" style="62" bestFit="1" customWidth="1"/>
    <col min="9147" max="9147" width="17.44140625" style="62" bestFit="1" customWidth="1"/>
    <col min="9148" max="9148" width="8.88671875" style="62"/>
    <col min="9149" max="9149" width="10.44140625" style="62" bestFit="1" customWidth="1"/>
    <col min="9150" max="9392" width="8.88671875" style="62"/>
    <col min="9393" max="9393" width="6" style="62" customWidth="1"/>
    <col min="9394" max="9394" width="44.44140625" style="62" customWidth="1"/>
    <col min="9395" max="9395" width="10.5546875" style="62" customWidth="1"/>
    <col min="9396" max="9396" width="11.5546875" style="62" bestFit="1" customWidth="1"/>
    <col min="9397" max="9397" width="12.5546875" style="62" bestFit="1" customWidth="1"/>
    <col min="9398" max="9398" width="17.44140625" style="62" bestFit="1" customWidth="1"/>
    <col min="9399" max="9399" width="10.88671875" style="62" bestFit="1" customWidth="1"/>
    <col min="9400" max="9400" width="13.5546875" style="62" bestFit="1" customWidth="1"/>
    <col min="9401" max="9401" width="11" style="62" bestFit="1" customWidth="1"/>
    <col min="9402" max="9402" width="14.109375" style="62" bestFit="1" customWidth="1"/>
    <col min="9403" max="9403" width="17.44140625" style="62" bestFit="1" customWidth="1"/>
    <col min="9404" max="9404" width="8.88671875" style="62"/>
    <col min="9405" max="9405" width="10.44140625" style="62" bestFit="1" customWidth="1"/>
    <col min="9406" max="9648" width="8.88671875" style="62"/>
    <col min="9649" max="9649" width="6" style="62" customWidth="1"/>
    <col min="9650" max="9650" width="44.44140625" style="62" customWidth="1"/>
    <col min="9651" max="9651" width="10.5546875" style="62" customWidth="1"/>
    <col min="9652" max="9652" width="11.5546875" style="62" bestFit="1" customWidth="1"/>
    <col min="9653" max="9653" width="12.5546875" style="62" bestFit="1" customWidth="1"/>
    <col min="9654" max="9654" width="17.44140625" style="62" bestFit="1" customWidth="1"/>
    <col min="9655" max="9655" width="10.88671875" style="62" bestFit="1" customWidth="1"/>
    <col min="9656" max="9656" width="13.5546875" style="62" bestFit="1" customWidth="1"/>
    <col min="9657" max="9657" width="11" style="62" bestFit="1" customWidth="1"/>
    <col min="9658" max="9658" width="14.109375" style="62" bestFit="1" customWidth="1"/>
    <col min="9659" max="9659" width="17.44140625" style="62" bestFit="1" customWidth="1"/>
    <col min="9660" max="9660" width="8.88671875" style="62"/>
    <col min="9661" max="9661" width="10.44140625" style="62" bestFit="1" customWidth="1"/>
    <col min="9662" max="9904" width="8.88671875" style="62"/>
    <col min="9905" max="9905" width="6" style="62" customWidth="1"/>
    <col min="9906" max="9906" width="44.44140625" style="62" customWidth="1"/>
    <col min="9907" max="9907" width="10.5546875" style="62" customWidth="1"/>
    <col min="9908" max="9908" width="11.5546875" style="62" bestFit="1" customWidth="1"/>
    <col min="9909" max="9909" width="12.5546875" style="62" bestFit="1" customWidth="1"/>
    <col min="9910" max="9910" width="17.44140625" style="62" bestFit="1" customWidth="1"/>
    <col min="9911" max="9911" width="10.88671875" style="62" bestFit="1" customWidth="1"/>
    <col min="9912" max="9912" width="13.5546875" style="62" bestFit="1" customWidth="1"/>
    <col min="9913" max="9913" width="11" style="62" bestFit="1" customWidth="1"/>
    <col min="9914" max="9914" width="14.109375" style="62" bestFit="1" customWidth="1"/>
    <col min="9915" max="9915" width="17.44140625" style="62" bestFit="1" customWidth="1"/>
    <col min="9916" max="9916" width="8.88671875" style="62"/>
    <col min="9917" max="9917" width="10.44140625" style="62" bestFit="1" customWidth="1"/>
    <col min="9918" max="10160" width="8.88671875" style="62"/>
    <col min="10161" max="10161" width="6" style="62" customWidth="1"/>
    <col min="10162" max="10162" width="44.44140625" style="62" customWidth="1"/>
    <col min="10163" max="10163" width="10.5546875" style="62" customWidth="1"/>
    <col min="10164" max="10164" width="11.5546875" style="62" bestFit="1" customWidth="1"/>
    <col min="10165" max="10165" width="12.5546875" style="62" bestFit="1" customWidth="1"/>
    <col min="10166" max="10166" width="17.44140625" style="62" bestFit="1" customWidth="1"/>
    <col min="10167" max="10167" width="10.88671875" style="62" bestFit="1" customWidth="1"/>
    <col min="10168" max="10168" width="13.5546875" style="62" bestFit="1" customWidth="1"/>
    <col min="10169" max="10169" width="11" style="62" bestFit="1" customWidth="1"/>
    <col min="10170" max="10170" width="14.109375" style="62" bestFit="1" customWidth="1"/>
    <col min="10171" max="10171" width="17.44140625" style="62" bestFit="1" customWidth="1"/>
    <col min="10172" max="10172" width="8.88671875" style="62"/>
    <col min="10173" max="10173" width="10.44140625" style="62" bestFit="1" customWidth="1"/>
    <col min="10174" max="10416" width="8.88671875" style="62"/>
    <col min="10417" max="10417" width="6" style="62" customWidth="1"/>
    <col min="10418" max="10418" width="44.44140625" style="62" customWidth="1"/>
    <col min="10419" max="10419" width="10.5546875" style="62" customWidth="1"/>
    <col min="10420" max="10420" width="11.5546875" style="62" bestFit="1" customWidth="1"/>
    <col min="10421" max="10421" width="12.5546875" style="62" bestFit="1" customWidth="1"/>
    <col min="10422" max="10422" width="17.44140625" style="62" bestFit="1" customWidth="1"/>
    <col min="10423" max="10423" width="10.88671875" style="62" bestFit="1" customWidth="1"/>
    <col min="10424" max="10424" width="13.5546875" style="62" bestFit="1" customWidth="1"/>
    <col min="10425" max="10425" width="11" style="62" bestFit="1" customWidth="1"/>
    <col min="10426" max="10426" width="14.109375" style="62" bestFit="1" customWidth="1"/>
    <col min="10427" max="10427" width="17.44140625" style="62" bestFit="1" customWidth="1"/>
    <col min="10428" max="10428" width="8.88671875" style="62"/>
    <col min="10429" max="10429" width="10.44140625" style="62" bestFit="1" customWidth="1"/>
    <col min="10430" max="10672" width="8.88671875" style="62"/>
    <col min="10673" max="10673" width="6" style="62" customWidth="1"/>
    <col min="10674" max="10674" width="44.44140625" style="62" customWidth="1"/>
    <col min="10675" max="10675" width="10.5546875" style="62" customWidth="1"/>
    <col min="10676" max="10676" width="11.5546875" style="62" bestFit="1" customWidth="1"/>
    <col min="10677" max="10677" width="12.5546875" style="62" bestFit="1" customWidth="1"/>
    <col min="10678" max="10678" width="17.44140625" style="62" bestFit="1" customWidth="1"/>
    <col min="10679" max="10679" width="10.88671875" style="62" bestFit="1" customWidth="1"/>
    <col min="10680" max="10680" width="13.5546875" style="62" bestFit="1" customWidth="1"/>
    <col min="10681" max="10681" width="11" style="62" bestFit="1" customWidth="1"/>
    <col min="10682" max="10682" width="14.109375" style="62" bestFit="1" customWidth="1"/>
    <col min="10683" max="10683" width="17.44140625" style="62" bestFit="1" customWidth="1"/>
    <col min="10684" max="10684" width="8.88671875" style="62"/>
    <col min="10685" max="10685" width="10.44140625" style="62" bestFit="1" customWidth="1"/>
    <col min="10686" max="10928" width="8.88671875" style="62"/>
    <col min="10929" max="10929" width="6" style="62" customWidth="1"/>
    <col min="10930" max="10930" width="44.44140625" style="62" customWidth="1"/>
    <col min="10931" max="10931" width="10.5546875" style="62" customWidth="1"/>
    <col min="10932" max="10932" width="11.5546875" style="62" bestFit="1" customWidth="1"/>
    <col min="10933" max="10933" width="12.5546875" style="62" bestFit="1" customWidth="1"/>
    <col min="10934" max="10934" width="17.44140625" style="62" bestFit="1" customWidth="1"/>
    <col min="10935" max="10935" width="10.88671875" style="62" bestFit="1" customWidth="1"/>
    <col min="10936" max="10936" width="13.5546875" style="62" bestFit="1" customWidth="1"/>
    <col min="10937" max="10937" width="11" style="62" bestFit="1" customWidth="1"/>
    <col min="10938" max="10938" width="14.109375" style="62" bestFit="1" customWidth="1"/>
    <col min="10939" max="10939" width="17.44140625" style="62" bestFit="1" customWidth="1"/>
    <col min="10940" max="10940" width="8.88671875" style="62"/>
    <col min="10941" max="10941" width="10.44140625" style="62" bestFit="1" customWidth="1"/>
    <col min="10942" max="11184" width="8.88671875" style="62"/>
    <col min="11185" max="11185" width="6" style="62" customWidth="1"/>
    <col min="11186" max="11186" width="44.44140625" style="62" customWidth="1"/>
    <col min="11187" max="11187" width="10.5546875" style="62" customWidth="1"/>
    <col min="11188" max="11188" width="11.5546875" style="62" bestFit="1" customWidth="1"/>
    <col min="11189" max="11189" width="12.5546875" style="62" bestFit="1" customWidth="1"/>
    <col min="11190" max="11190" width="17.44140625" style="62" bestFit="1" customWidth="1"/>
    <col min="11191" max="11191" width="10.88671875" style="62" bestFit="1" customWidth="1"/>
    <col min="11192" max="11192" width="13.5546875" style="62" bestFit="1" customWidth="1"/>
    <col min="11193" max="11193" width="11" style="62" bestFit="1" customWidth="1"/>
    <col min="11194" max="11194" width="14.109375" style="62" bestFit="1" customWidth="1"/>
    <col min="11195" max="11195" width="17.44140625" style="62" bestFit="1" customWidth="1"/>
    <col min="11196" max="11196" width="8.88671875" style="62"/>
    <col min="11197" max="11197" width="10.44140625" style="62" bestFit="1" customWidth="1"/>
    <col min="11198" max="11440" width="8.88671875" style="62"/>
    <col min="11441" max="11441" width="6" style="62" customWidth="1"/>
    <col min="11442" max="11442" width="44.44140625" style="62" customWidth="1"/>
    <col min="11443" max="11443" width="10.5546875" style="62" customWidth="1"/>
    <col min="11444" max="11444" width="11.5546875" style="62" bestFit="1" customWidth="1"/>
    <col min="11445" max="11445" width="12.5546875" style="62" bestFit="1" customWidth="1"/>
    <col min="11446" max="11446" width="17.44140625" style="62" bestFit="1" customWidth="1"/>
    <col min="11447" max="11447" width="10.88671875" style="62" bestFit="1" customWidth="1"/>
    <col min="11448" max="11448" width="13.5546875" style="62" bestFit="1" customWidth="1"/>
    <col min="11449" max="11449" width="11" style="62" bestFit="1" customWidth="1"/>
    <col min="11450" max="11450" width="14.109375" style="62" bestFit="1" customWidth="1"/>
    <col min="11451" max="11451" width="17.44140625" style="62" bestFit="1" customWidth="1"/>
    <col min="11452" max="11452" width="8.88671875" style="62"/>
    <col min="11453" max="11453" width="10.44140625" style="62" bestFit="1" customWidth="1"/>
    <col min="11454" max="11696" width="8.88671875" style="62"/>
    <col min="11697" max="11697" width="6" style="62" customWidth="1"/>
    <col min="11698" max="11698" width="44.44140625" style="62" customWidth="1"/>
    <col min="11699" max="11699" width="10.5546875" style="62" customWidth="1"/>
    <col min="11700" max="11700" width="11.5546875" style="62" bestFit="1" customWidth="1"/>
    <col min="11701" max="11701" width="12.5546875" style="62" bestFit="1" customWidth="1"/>
    <col min="11702" max="11702" width="17.44140625" style="62" bestFit="1" customWidth="1"/>
    <col min="11703" max="11703" width="10.88671875" style="62" bestFit="1" customWidth="1"/>
    <col min="11704" max="11704" width="13.5546875" style="62" bestFit="1" customWidth="1"/>
    <col min="11705" max="11705" width="11" style="62" bestFit="1" customWidth="1"/>
    <col min="11706" max="11706" width="14.109375" style="62" bestFit="1" customWidth="1"/>
    <col min="11707" max="11707" width="17.44140625" style="62" bestFit="1" customWidth="1"/>
    <col min="11708" max="11708" width="8.88671875" style="62"/>
    <col min="11709" max="11709" width="10.44140625" style="62" bestFit="1" customWidth="1"/>
    <col min="11710" max="11952" width="8.88671875" style="62"/>
    <col min="11953" max="11953" width="6" style="62" customWidth="1"/>
    <col min="11954" max="11954" width="44.44140625" style="62" customWidth="1"/>
    <col min="11955" max="11955" width="10.5546875" style="62" customWidth="1"/>
    <col min="11956" max="11956" width="11.5546875" style="62" bestFit="1" customWidth="1"/>
    <col min="11957" max="11957" width="12.5546875" style="62" bestFit="1" customWidth="1"/>
    <col min="11958" max="11958" width="17.44140625" style="62" bestFit="1" customWidth="1"/>
    <col min="11959" max="11959" width="10.88671875" style="62" bestFit="1" customWidth="1"/>
    <col min="11960" max="11960" width="13.5546875" style="62" bestFit="1" customWidth="1"/>
    <col min="11961" max="11961" width="11" style="62" bestFit="1" customWidth="1"/>
    <col min="11962" max="11962" width="14.109375" style="62" bestFit="1" customWidth="1"/>
    <col min="11963" max="11963" width="17.44140625" style="62" bestFit="1" customWidth="1"/>
    <col min="11964" max="11964" width="8.88671875" style="62"/>
    <col min="11965" max="11965" width="10.44140625" style="62" bestFit="1" customWidth="1"/>
    <col min="11966" max="12208" width="8.88671875" style="62"/>
    <col min="12209" max="12209" width="6" style="62" customWidth="1"/>
    <col min="12210" max="12210" width="44.44140625" style="62" customWidth="1"/>
    <col min="12211" max="12211" width="10.5546875" style="62" customWidth="1"/>
    <col min="12212" max="12212" width="11.5546875" style="62" bestFit="1" customWidth="1"/>
    <col min="12213" max="12213" width="12.5546875" style="62" bestFit="1" customWidth="1"/>
    <col min="12214" max="12214" width="17.44140625" style="62" bestFit="1" customWidth="1"/>
    <col min="12215" max="12215" width="10.88671875" style="62" bestFit="1" customWidth="1"/>
    <col min="12216" max="12216" width="13.5546875" style="62" bestFit="1" customWidth="1"/>
    <col min="12217" max="12217" width="11" style="62" bestFit="1" customWidth="1"/>
    <col min="12218" max="12218" width="14.109375" style="62" bestFit="1" customWidth="1"/>
    <col min="12219" max="12219" width="17.44140625" style="62" bestFit="1" customWidth="1"/>
    <col min="12220" max="12220" width="8.88671875" style="62"/>
    <col min="12221" max="12221" width="10.44140625" style="62" bestFit="1" customWidth="1"/>
    <col min="12222" max="12464" width="8.88671875" style="62"/>
    <col min="12465" max="12465" width="6" style="62" customWidth="1"/>
    <col min="12466" max="12466" width="44.44140625" style="62" customWidth="1"/>
    <col min="12467" max="12467" width="10.5546875" style="62" customWidth="1"/>
    <col min="12468" max="12468" width="11.5546875" style="62" bestFit="1" customWidth="1"/>
    <col min="12469" max="12469" width="12.5546875" style="62" bestFit="1" customWidth="1"/>
    <col min="12470" max="12470" width="17.44140625" style="62" bestFit="1" customWidth="1"/>
    <col min="12471" max="12471" width="10.88671875" style="62" bestFit="1" customWidth="1"/>
    <col min="12472" max="12472" width="13.5546875" style="62" bestFit="1" customWidth="1"/>
    <col min="12473" max="12473" width="11" style="62" bestFit="1" customWidth="1"/>
    <col min="12474" max="12474" width="14.109375" style="62" bestFit="1" customWidth="1"/>
    <col min="12475" max="12475" width="17.44140625" style="62" bestFit="1" customWidth="1"/>
    <col min="12476" max="12476" width="8.88671875" style="62"/>
    <col min="12477" max="12477" width="10.44140625" style="62" bestFit="1" customWidth="1"/>
    <col min="12478" max="12720" width="8.88671875" style="62"/>
    <col min="12721" max="12721" width="6" style="62" customWidth="1"/>
    <col min="12722" max="12722" width="44.44140625" style="62" customWidth="1"/>
    <col min="12723" max="12723" width="10.5546875" style="62" customWidth="1"/>
    <col min="12724" max="12724" width="11.5546875" style="62" bestFit="1" customWidth="1"/>
    <col min="12725" max="12725" width="12.5546875" style="62" bestFit="1" customWidth="1"/>
    <col min="12726" max="12726" width="17.44140625" style="62" bestFit="1" customWidth="1"/>
    <col min="12727" max="12727" width="10.88671875" style="62" bestFit="1" customWidth="1"/>
    <col min="12728" max="12728" width="13.5546875" style="62" bestFit="1" customWidth="1"/>
    <col min="12729" max="12729" width="11" style="62" bestFit="1" customWidth="1"/>
    <col min="12730" max="12730" width="14.109375" style="62" bestFit="1" customWidth="1"/>
    <col min="12731" max="12731" width="17.44140625" style="62" bestFit="1" customWidth="1"/>
    <col min="12732" max="12732" width="8.88671875" style="62"/>
    <col min="12733" max="12733" width="10.44140625" style="62" bestFit="1" customWidth="1"/>
    <col min="12734" max="12976" width="8.88671875" style="62"/>
    <col min="12977" max="12977" width="6" style="62" customWidth="1"/>
    <col min="12978" max="12978" width="44.44140625" style="62" customWidth="1"/>
    <col min="12979" max="12979" width="10.5546875" style="62" customWidth="1"/>
    <col min="12980" max="12980" width="11.5546875" style="62" bestFit="1" customWidth="1"/>
    <col min="12981" max="12981" width="12.5546875" style="62" bestFit="1" customWidth="1"/>
    <col min="12982" max="12982" width="17.44140625" style="62" bestFit="1" customWidth="1"/>
    <col min="12983" max="12983" width="10.88671875" style="62" bestFit="1" customWidth="1"/>
    <col min="12984" max="12984" width="13.5546875" style="62" bestFit="1" customWidth="1"/>
    <col min="12985" max="12985" width="11" style="62" bestFit="1" customWidth="1"/>
    <col min="12986" max="12986" width="14.109375" style="62" bestFit="1" customWidth="1"/>
    <col min="12987" max="12987" width="17.44140625" style="62" bestFit="1" customWidth="1"/>
    <col min="12988" max="12988" width="8.88671875" style="62"/>
    <col min="12989" max="12989" width="10.44140625" style="62" bestFit="1" customWidth="1"/>
    <col min="12990" max="13232" width="8.88671875" style="62"/>
    <col min="13233" max="13233" width="6" style="62" customWidth="1"/>
    <col min="13234" max="13234" width="44.44140625" style="62" customWidth="1"/>
    <col min="13235" max="13235" width="10.5546875" style="62" customWidth="1"/>
    <col min="13236" max="13236" width="11.5546875" style="62" bestFit="1" customWidth="1"/>
    <col min="13237" max="13237" width="12.5546875" style="62" bestFit="1" customWidth="1"/>
    <col min="13238" max="13238" width="17.44140625" style="62" bestFit="1" customWidth="1"/>
    <col min="13239" max="13239" width="10.88671875" style="62" bestFit="1" customWidth="1"/>
    <col min="13240" max="13240" width="13.5546875" style="62" bestFit="1" customWidth="1"/>
    <col min="13241" max="13241" width="11" style="62" bestFit="1" customWidth="1"/>
    <col min="13242" max="13242" width="14.109375" style="62" bestFit="1" customWidth="1"/>
    <col min="13243" max="13243" width="17.44140625" style="62" bestFit="1" customWidth="1"/>
    <col min="13244" max="13244" width="8.88671875" style="62"/>
    <col min="13245" max="13245" width="10.44140625" style="62" bestFit="1" customWidth="1"/>
    <col min="13246" max="13488" width="8.88671875" style="62"/>
    <col min="13489" max="13489" width="6" style="62" customWidth="1"/>
    <col min="13490" max="13490" width="44.44140625" style="62" customWidth="1"/>
    <col min="13491" max="13491" width="10.5546875" style="62" customWidth="1"/>
    <col min="13492" max="13492" width="11.5546875" style="62" bestFit="1" customWidth="1"/>
    <col min="13493" max="13493" width="12.5546875" style="62" bestFit="1" customWidth="1"/>
    <col min="13494" max="13494" width="17.44140625" style="62" bestFit="1" customWidth="1"/>
    <col min="13495" max="13495" width="10.88671875" style="62" bestFit="1" customWidth="1"/>
    <col min="13496" max="13496" width="13.5546875" style="62" bestFit="1" customWidth="1"/>
    <col min="13497" max="13497" width="11" style="62" bestFit="1" customWidth="1"/>
    <col min="13498" max="13498" width="14.109375" style="62" bestFit="1" customWidth="1"/>
    <col min="13499" max="13499" width="17.44140625" style="62" bestFit="1" customWidth="1"/>
    <col min="13500" max="13500" width="8.88671875" style="62"/>
    <col min="13501" max="13501" width="10.44140625" style="62" bestFit="1" customWidth="1"/>
    <col min="13502" max="13744" width="8.88671875" style="62"/>
    <col min="13745" max="13745" width="6" style="62" customWidth="1"/>
    <col min="13746" max="13746" width="44.44140625" style="62" customWidth="1"/>
    <col min="13747" max="13747" width="10.5546875" style="62" customWidth="1"/>
    <col min="13748" max="13748" width="11.5546875" style="62" bestFit="1" customWidth="1"/>
    <col min="13749" max="13749" width="12.5546875" style="62" bestFit="1" customWidth="1"/>
    <col min="13750" max="13750" width="17.44140625" style="62" bestFit="1" customWidth="1"/>
    <col min="13751" max="13751" width="10.88671875" style="62" bestFit="1" customWidth="1"/>
    <col min="13752" max="13752" width="13.5546875" style="62" bestFit="1" customWidth="1"/>
    <col min="13753" max="13753" width="11" style="62" bestFit="1" customWidth="1"/>
    <col min="13754" max="13754" width="14.109375" style="62" bestFit="1" customWidth="1"/>
    <col min="13755" max="13755" width="17.44140625" style="62" bestFit="1" customWidth="1"/>
    <col min="13756" max="13756" width="8.88671875" style="62"/>
    <col min="13757" max="13757" width="10.44140625" style="62" bestFit="1" customWidth="1"/>
    <col min="13758" max="14000" width="8.88671875" style="62"/>
    <col min="14001" max="14001" width="6" style="62" customWidth="1"/>
    <col min="14002" max="14002" width="44.44140625" style="62" customWidth="1"/>
    <col min="14003" max="14003" width="10.5546875" style="62" customWidth="1"/>
    <col min="14004" max="14004" width="11.5546875" style="62" bestFit="1" customWidth="1"/>
    <col min="14005" max="14005" width="12.5546875" style="62" bestFit="1" customWidth="1"/>
    <col min="14006" max="14006" width="17.44140625" style="62" bestFit="1" customWidth="1"/>
    <col min="14007" max="14007" width="10.88671875" style="62" bestFit="1" customWidth="1"/>
    <col min="14008" max="14008" width="13.5546875" style="62" bestFit="1" customWidth="1"/>
    <col min="14009" max="14009" width="11" style="62" bestFit="1" customWidth="1"/>
    <col min="14010" max="14010" width="14.109375" style="62" bestFit="1" customWidth="1"/>
    <col min="14011" max="14011" width="17.44140625" style="62" bestFit="1" customWidth="1"/>
    <col min="14012" max="14012" width="8.88671875" style="62"/>
    <col min="14013" max="14013" width="10.44140625" style="62" bestFit="1" customWidth="1"/>
    <col min="14014" max="14256" width="8.88671875" style="62"/>
    <col min="14257" max="14257" width="6" style="62" customWidth="1"/>
    <col min="14258" max="14258" width="44.44140625" style="62" customWidth="1"/>
    <col min="14259" max="14259" width="10.5546875" style="62" customWidth="1"/>
    <col min="14260" max="14260" width="11.5546875" style="62" bestFit="1" customWidth="1"/>
    <col min="14261" max="14261" width="12.5546875" style="62" bestFit="1" customWidth="1"/>
    <col min="14262" max="14262" width="17.44140625" style="62" bestFit="1" customWidth="1"/>
    <col min="14263" max="14263" width="10.88671875" style="62" bestFit="1" customWidth="1"/>
    <col min="14264" max="14264" width="13.5546875" style="62" bestFit="1" customWidth="1"/>
    <col min="14265" max="14265" width="11" style="62" bestFit="1" customWidth="1"/>
    <col min="14266" max="14266" width="14.109375" style="62" bestFit="1" customWidth="1"/>
    <col min="14267" max="14267" width="17.44140625" style="62" bestFit="1" customWidth="1"/>
    <col min="14268" max="14268" width="8.88671875" style="62"/>
    <col min="14269" max="14269" width="10.44140625" style="62" bestFit="1" customWidth="1"/>
    <col min="14270" max="14512" width="8.88671875" style="62"/>
    <col min="14513" max="14513" width="6" style="62" customWidth="1"/>
    <col min="14514" max="14514" width="44.44140625" style="62" customWidth="1"/>
    <col min="14515" max="14515" width="10.5546875" style="62" customWidth="1"/>
    <col min="14516" max="14516" width="11.5546875" style="62" bestFit="1" customWidth="1"/>
    <col min="14517" max="14517" width="12.5546875" style="62" bestFit="1" customWidth="1"/>
    <col min="14518" max="14518" width="17.44140625" style="62" bestFit="1" customWidth="1"/>
    <col min="14519" max="14519" width="10.88671875" style="62" bestFit="1" customWidth="1"/>
    <col min="14520" max="14520" width="13.5546875" style="62" bestFit="1" customWidth="1"/>
    <col min="14521" max="14521" width="11" style="62" bestFit="1" customWidth="1"/>
    <col min="14522" max="14522" width="14.109375" style="62" bestFit="1" customWidth="1"/>
    <col min="14523" max="14523" width="17.44140625" style="62" bestFit="1" customWidth="1"/>
    <col min="14524" max="14524" width="8.88671875" style="62"/>
    <col min="14525" max="14525" width="10.44140625" style="62" bestFit="1" customWidth="1"/>
    <col min="14526" max="14768" width="8.88671875" style="62"/>
    <col min="14769" max="14769" width="6" style="62" customWidth="1"/>
    <col min="14770" max="14770" width="44.44140625" style="62" customWidth="1"/>
    <col min="14771" max="14771" width="10.5546875" style="62" customWidth="1"/>
    <col min="14772" max="14772" width="11.5546875" style="62" bestFit="1" customWidth="1"/>
    <col min="14773" max="14773" width="12.5546875" style="62" bestFit="1" customWidth="1"/>
    <col min="14774" max="14774" width="17.44140625" style="62" bestFit="1" customWidth="1"/>
    <col min="14775" max="14775" width="10.88671875" style="62" bestFit="1" customWidth="1"/>
    <col min="14776" max="14776" width="13.5546875" style="62" bestFit="1" customWidth="1"/>
    <col min="14777" max="14777" width="11" style="62" bestFit="1" customWidth="1"/>
    <col min="14778" max="14778" width="14.109375" style="62" bestFit="1" customWidth="1"/>
    <col min="14779" max="14779" width="17.44140625" style="62" bestFit="1" customWidth="1"/>
    <col min="14780" max="14780" width="8.88671875" style="62"/>
    <col min="14781" max="14781" width="10.44140625" style="62" bestFit="1" customWidth="1"/>
    <col min="14782" max="15024" width="8.88671875" style="62"/>
    <col min="15025" max="15025" width="6" style="62" customWidth="1"/>
    <col min="15026" max="15026" width="44.44140625" style="62" customWidth="1"/>
    <col min="15027" max="15027" width="10.5546875" style="62" customWidth="1"/>
    <col min="15028" max="15028" width="11.5546875" style="62" bestFit="1" customWidth="1"/>
    <col min="15029" max="15029" width="12.5546875" style="62" bestFit="1" customWidth="1"/>
    <col min="15030" max="15030" width="17.44140625" style="62" bestFit="1" customWidth="1"/>
    <col min="15031" max="15031" width="10.88671875" style="62" bestFit="1" customWidth="1"/>
    <col min="15032" max="15032" width="13.5546875" style="62" bestFit="1" customWidth="1"/>
    <col min="15033" max="15033" width="11" style="62" bestFit="1" customWidth="1"/>
    <col min="15034" max="15034" width="14.109375" style="62" bestFit="1" customWidth="1"/>
    <col min="15035" max="15035" width="17.44140625" style="62" bestFit="1" customWidth="1"/>
    <col min="15036" max="15036" width="8.88671875" style="62"/>
    <col min="15037" max="15037" width="10.44140625" style="62" bestFit="1" customWidth="1"/>
    <col min="15038" max="15280" width="8.88671875" style="62"/>
    <col min="15281" max="15281" width="6" style="62" customWidth="1"/>
    <col min="15282" max="15282" width="44.44140625" style="62" customWidth="1"/>
    <col min="15283" max="15283" width="10.5546875" style="62" customWidth="1"/>
    <col min="15284" max="15284" width="11.5546875" style="62" bestFit="1" customWidth="1"/>
    <col min="15285" max="15285" width="12.5546875" style="62" bestFit="1" customWidth="1"/>
    <col min="15286" max="15286" width="17.44140625" style="62" bestFit="1" customWidth="1"/>
    <col min="15287" max="15287" width="10.88671875" style="62" bestFit="1" customWidth="1"/>
    <col min="15288" max="15288" width="13.5546875" style="62" bestFit="1" customWidth="1"/>
    <col min="15289" max="15289" width="11" style="62" bestFit="1" customWidth="1"/>
    <col min="15290" max="15290" width="14.109375" style="62" bestFit="1" customWidth="1"/>
    <col min="15291" max="15291" width="17.44140625" style="62" bestFit="1" customWidth="1"/>
    <col min="15292" max="15292" width="8.88671875" style="62"/>
    <col min="15293" max="15293" width="10.44140625" style="62" bestFit="1" customWidth="1"/>
    <col min="15294" max="15536" width="8.88671875" style="62"/>
    <col min="15537" max="15537" width="6" style="62" customWidth="1"/>
    <col min="15538" max="15538" width="44.44140625" style="62" customWidth="1"/>
    <col min="15539" max="15539" width="10.5546875" style="62" customWidth="1"/>
    <col min="15540" max="15540" width="11.5546875" style="62" bestFit="1" customWidth="1"/>
    <col min="15541" max="15541" width="12.5546875" style="62" bestFit="1" customWidth="1"/>
    <col min="15542" max="15542" width="17.44140625" style="62" bestFit="1" customWidth="1"/>
    <col min="15543" max="15543" width="10.88671875" style="62" bestFit="1" customWidth="1"/>
    <col min="15544" max="15544" width="13.5546875" style="62" bestFit="1" customWidth="1"/>
    <col min="15545" max="15545" width="11" style="62" bestFit="1" customWidth="1"/>
    <col min="15546" max="15546" width="14.109375" style="62" bestFit="1" customWidth="1"/>
    <col min="15547" max="15547" width="17.44140625" style="62" bestFit="1" customWidth="1"/>
    <col min="15548" max="15548" width="8.88671875" style="62"/>
    <col min="15549" max="15549" width="10.44140625" style="62" bestFit="1" customWidth="1"/>
    <col min="15550" max="15792" width="8.88671875" style="62"/>
    <col min="15793" max="15793" width="6" style="62" customWidth="1"/>
    <col min="15794" max="15794" width="44.44140625" style="62" customWidth="1"/>
    <col min="15795" max="15795" width="10.5546875" style="62" customWidth="1"/>
    <col min="15796" max="15796" width="11.5546875" style="62" bestFit="1" customWidth="1"/>
    <col min="15797" max="15797" width="12.5546875" style="62" bestFit="1" customWidth="1"/>
    <col min="15798" max="15798" width="17.44140625" style="62" bestFit="1" customWidth="1"/>
    <col min="15799" max="15799" width="10.88671875" style="62" bestFit="1" customWidth="1"/>
    <col min="15800" max="15800" width="13.5546875" style="62" bestFit="1" customWidth="1"/>
    <col min="15801" max="15801" width="11" style="62" bestFit="1" customWidth="1"/>
    <col min="15802" max="15802" width="14.109375" style="62" bestFit="1" customWidth="1"/>
    <col min="15803" max="15803" width="17.44140625" style="62" bestFit="1" customWidth="1"/>
    <col min="15804" max="15804" width="8.88671875" style="62"/>
    <col min="15805" max="15805" width="10.44140625" style="62" bestFit="1" customWidth="1"/>
    <col min="15806" max="16048" width="8.88671875" style="62"/>
    <col min="16049" max="16049" width="6" style="62" customWidth="1"/>
    <col min="16050" max="16050" width="44.44140625" style="62" customWidth="1"/>
    <col min="16051" max="16051" width="10.5546875" style="62" customWidth="1"/>
    <col min="16052" max="16052" width="11.5546875" style="62" bestFit="1" customWidth="1"/>
    <col min="16053" max="16053" width="12.5546875" style="62" bestFit="1" customWidth="1"/>
    <col min="16054" max="16054" width="17.44140625" style="62" bestFit="1" customWidth="1"/>
    <col min="16055" max="16055" width="10.88671875" style="62" bestFit="1" customWidth="1"/>
    <col min="16056" max="16056" width="13.5546875" style="62" bestFit="1" customWidth="1"/>
    <col min="16057" max="16057" width="11" style="62" bestFit="1" customWidth="1"/>
    <col min="16058" max="16058" width="14.109375" style="62" bestFit="1" customWidth="1"/>
    <col min="16059" max="16059" width="17.44140625" style="62" bestFit="1" customWidth="1"/>
    <col min="16060" max="16060" width="8.88671875" style="62"/>
    <col min="16061" max="16061" width="10.44140625" style="62" bestFit="1" customWidth="1"/>
    <col min="16062" max="16384" width="8.88671875" style="62"/>
  </cols>
  <sheetData>
    <row r="2" spans="2:13" s="1" customFormat="1" ht="14.4" x14ac:dyDescent="0.3">
      <c r="B2" s="107" t="s">
        <v>0</v>
      </c>
      <c r="C2" s="109" t="s">
        <v>1</v>
      </c>
      <c r="D2" s="109" t="s">
        <v>2</v>
      </c>
      <c r="E2" s="109" t="s">
        <v>3</v>
      </c>
      <c r="F2" s="109" t="s">
        <v>4</v>
      </c>
      <c r="G2" s="104" t="s">
        <v>5</v>
      </c>
      <c r="H2" s="104"/>
      <c r="I2" s="104" t="s">
        <v>6</v>
      </c>
      <c r="J2" s="104"/>
      <c r="K2" s="104" t="s">
        <v>7</v>
      </c>
      <c r="L2" s="104"/>
      <c r="M2" s="105" t="s">
        <v>8</v>
      </c>
    </row>
    <row r="3" spans="2:13" s="1" customFormat="1" ht="28.8" x14ac:dyDescent="0.3">
      <c r="B3" s="108"/>
      <c r="C3" s="110"/>
      <c r="D3" s="110"/>
      <c r="E3" s="110"/>
      <c r="F3" s="111"/>
      <c r="G3" s="2" t="s">
        <v>9</v>
      </c>
      <c r="H3" s="2" t="s">
        <v>10</v>
      </c>
      <c r="I3" s="2" t="s">
        <v>9</v>
      </c>
      <c r="J3" s="2" t="s">
        <v>10</v>
      </c>
      <c r="K3" s="2" t="s">
        <v>9</v>
      </c>
      <c r="L3" s="2" t="s">
        <v>10</v>
      </c>
      <c r="M3" s="106"/>
    </row>
    <row r="4" spans="2:13" s="3" customFormat="1" ht="14.4" x14ac:dyDescent="0.3">
      <c r="B4" s="4">
        <v>1</v>
      </c>
      <c r="C4" s="4">
        <v>2</v>
      </c>
      <c r="D4" s="4">
        <v>3</v>
      </c>
      <c r="E4" s="4">
        <v>4</v>
      </c>
      <c r="F4" s="4">
        <v>5</v>
      </c>
      <c r="G4" s="4">
        <v>6</v>
      </c>
      <c r="H4" s="4">
        <v>7</v>
      </c>
      <c r="I4" s="4">
        <v>8</v>
      </c>
      <c r="J4" s="4">
        <v>9</v>
      </c>
      <c r="K4" s="4">
        <v>10</v>
      </c>
      <c r="L4" s="4">
        <v>11</v>
      </c>
      <c r="M4" s="4">
        <v>12</v>
      </c>
    </row>
    <row r="5" spans="2:13" s="3" customFormat="1" ht="14.4" x14ac:dyDescent="0.3">
      <c r="B5" s="5">
        <v>1</v>
      </c>
      <c r="C5" s="6" t="s">
        <v>139</v>
      </c>
      <c r="D5" s="6" t="s">
        <v>41</v>
      </c>
      <c r="E5" s="6"/>
      <c r="F5" s="71">
        <v>500</v>
      </c>
      <c r="G5" s="8"/>
      <c r="H5" s="9"/>
      <c r="I5" s="10"/>
      <c r="J5" s="9"/>
      <c r="K5" s="10"/>
      <c r="L5" s="9"/>
      <c r="M5" s="11"/>
    </row>
    <row r="6" spans="2:13" s="3" customFormat="1" ht="13.8" x14ac:dyDescent="0.3">
      <c r="B6" s="12"/>
      <c r="C6" s="13" t="s">
        <v>14</v>
      </c>
      <c r="D6" s="14" t="s">
        <v>41</v>
      </c>
      <c r="E6" s="12">
        <v>1</v>
      </c>
      <c r="F6" s="15">
        <f>E6*F5</f>
        <v>500</v>
      </c>
      <c r="G6" s="16"/>
      <c r="H6" s="16"/>
      <c r="I6" s="17"/>
      <c r="J6" s="16">
        <f>I6*F6</f>
        <v>0</v>
      </c>
      <c r="K6" s="16"/>
      <c r="L6" s="16"/>
      <c r="M6" s="16">
        <f>L6+J6+H6</f>
        <v>0</v>
      </c>
    </row>
    <row r="7" spans="2:13" s="3" customFormat="1" ht="13.8" x14ac:dyDescent="0.3">
      <c r="B7" s="12"/>
      <c r="C7" s="13" t="s">
        <v>43</v>
      </c>
      <c r="D7" s="14" t="s">
        <v>33</v>
      </c>
      <c r="E7" s="12">
        <v>2.3300000000000001E-2</v>
      </c>
      <c r="F7" s="15">
        <f>E7*F5</f>
        <v>11.65</v>
      </c>
      <c r="G7" s="16"/>
      <c r="H7" s="16"/>
      <c r="I7" s="16"/>
      <c r="J7" s="16"/>
      <c r="K7" s="16"/>
      <c r="L7" s="16">
        <f>K7*F7</f>
        <v>0</v>
      </c>
      <c r="M7" s="16">
        <f>L7+J7+H7</f>
        <v>0</v>
      </c>
    </row>
    <row r="8" spans="2:13" s="3" customFormat="1" ht="13.8" x14ac:dyDescent="0.3">
      <c r="B8" s="12"/>
      <c r="C8" s="13" t="s">
        <v>16</v>
      </c>
      <c r="D8" s="14"/>
      <c r="E8" s="12"/>
      <c r="F8" s="15"/>
      <c r="G8" s="16"/>
      <c r="H8" s="16"/>
      <c r="I8" s="16"/>
      <c r="J8" s="16"/>
      <c r="K8" s="16"/>
      <c r="L8" s="16"/>
      <c r="M8" s="16">
        <f>L8+J8+H8</f>
        <v>0</v>
      </c>
    </row>
    <row r="9" spans="2:13" s="3" customFormat="1" ht="13.8" x14ac:dyDescent="0.3">
      <c r="B9" s="12"/>
      <c r="C9" s="13" t="s">
        <v>140</v>
      </c>
      <c r="D9" s="14" t="s">
        <v>41</v>
      </c>
      <c r="E9" s="12">
        <v>1.01</v>
      </c>
      <c r="F9" s="15">
        <f>E9*F5</f>
        <v>505</v>
      </c>
      <c r="G9" s="17"/>
      <c r="H9" s="16">
        <f>G9*F9</f>
        <v>0</v>
      </c>
      <c r="I9" s="16"/>
      <c r="J9" s="16"/>
      <c r="K9" s="16"/>
      <c r="L9" s="16"/>
      <c r="M9" s="16">
        <f>L9+J9+H9</f>
        <v>0</v>
      </c>
    </row>
    <row r="10" spans="2:13" s="3" customFormat="1" ht="13.8" x14ac:dyDescent="0.3">
      <c r="B10" s="12"/>
      <c r="C10" s="13" t="s">
        <v>141</v>
      </c>
      <c r="D10" s="14" t="s">
        <v>41</v>
      </c>
      <c r="E10" s="12">
        <v>1.05</v>
      </c>
      <c r="F10" s="15">
        <f>E10*F5</f>
        <v>525</v>
      </c>
      <c r="G10" s="16"/>
      <c r="H10" s="16">
        <f>G10*F10</f>
        <v>0</v>
      </c>
      <c r="I10" s="16"/>
      <c r="J10" s="16"/>
      <c r="K10" s="16"/>
      <c r="L10" s="16"/>
      <c r="M10" s="16">
        <f>L10+J10+H10</f>
        <v>0</v>
      </c>
    </row>
    <row r="11" spans="2:13" s="3" customFormat="1" ht="14.4" x14ac:dyDescent="0.3">
      <c r="B11" s="5">
        <f>B5+1</f>
        <v>2</v>
      </c>
      <c r="C11" s="6" t="s">
        <v>142</v>
      </c>
      <c r="D11" s="6" t="s">
        <v>41</v>
      </c>
      <c r="E11" s="6"/>
      <c r="F11" s="71">
        <f>F5</f>
        <v>500</v>
      </c>
      <c r="G11" s="8"/>
      <c r="H11" s="9"/>
      <c r="I11" s="10"/>
      <c r="J11" s="9"/>
      <c r="K11" s="10"/>
      <c r="L11" s="9"/>
      <c r="M11" s="11"/>
    </row>
    <row r="12" spans="2:13" s="3" customFormat="1" ht="13.8" x14ac:dyDescent="0.3">
      <c r="B12" s="12"/>
      <c r="C12" s="13" t="s">
        <v>14</v>
      </c>
      <c r="D12" s="14" t="s">
        <v>41</v>
      </c>
      <c r="E12" s="12">
        <v>1</v>
      </c>
      <c r="F12" s="15">
        <f>E12*F11</f>
        <v>500</v>
      </c>
      <c r="G12" s="16"/>
      <c r="H12" s="16"/>
      <c r="I12" s="16"/>
      <c r="J12" s="16">
        <f>I12*F12</f>
        <v>0</v>
      </c>
      <c r="K12" s="16"/>
      <c r="L12" s="16"/>
      <c r="M12" s="16">
        <f>L12+J12+H12</f>
        <v>0</v>
      </c>
    </row>
    <row r="13" spans="2:13" s="3" customFormat="1" ht="13.8" x14ac:dyDescent="0.3">
      <c r="B13" s="12"/>
      <c r="C13" s="13" t="s">
        <v>43</v>
      </c>
      <c r="D13" s="14" t="s">
        <v>33</v>
      </c>
      <c r="E13" s="12">
        <v>8.2000000000000007E-3</v>
      </c>
      <c r="F13" s="15">
        <f>E13*F11</f>
        <v>4.1000000000000005</v>
      </c>
      <c r="G13" s="16"/>
      <c r="H13" s="16"/>
      <c r="I13" s="16"/>
      <c r="J13" s="16"/>
      <c r="K13" s="16"/>
      <c r="L13" s="16">
        <f>K13*F13</f>
        <v>0</v>
      </c>
      <c r="M13" s="16">
        <f>L13+J13+H13</f>
        <v>0</v>
      </c>
    </row>
    <row r="14" spans="2:13" s="3" customFormat="1" ht="13.8" x14ac:dyDescent="0.3">
      <c r="B14" s="12"/>
      <c r="C14" s="13" t="s">
        <v>16</v>
      </c>
      <c r="D14" s="14"/>
      <c r="E14" s="12"/>
      <c r="F14" s="15"/>
      <c r="G14" s="16"/>
      <c r="H14" s="16"/>
      <c r="I14" s="16"/>
      <c r="J14" s="16"/>
      <c r="K14" s="16"/>
      <c r="L14" s="16"/>
      <c r="M14" s="16">
        <f>L14+J14+H14</f>
        <v>0</v>
      </c>
    </row>
    <row r="15" spans="2:13" s="3" customFormat="1" ht="14.4" x14ac:dyDescent="0.3">
      <c r="B15" s="12"/>
      <c r="C15" s="13" t="s">
        <v>143</v>
      </c>
      <c r="D15" s="14" t="s">
        <v>41</v>
      </c>
      <c r="E15" s="12">
        <v>1.01</v>
      </c>
      <c r="F15" s="15">
        <f>E15*F11</f>
        <v>505</v>
      </c>
      <c r="G15" s="17"/>
      <c r="H15" s="16">
        <f>G15*F15</f>
        <v>0</v>
      </c>
      <c r="I15" s="16"/>
      <c r="J15" s="16"/>
      <c r="K15" s="16"/>
      <c r="L15" s="16"/>
      <c r="M15" s="16">
        <f>L15+J15+H15</f>
        <v>0</v>
      </c>
    </row>
    <row r="16" spans="2:13" s="3" customFormat="1" ht="14.4" x14ac:dyDescent="0.3">
      <c r="B16" s="5">
        <f>B11+1</f>
        <v>3</v>
      </c>
      <c r="C16" s="6" t="s">
        <v>144</v>
      </c>
      <c r="D16" s="6" t="s">
        <v>41</v>
      </c>
      <c r="E16" s="6"/>
      <c r="F16" s="71">
        <f>28*10</f>
        <v>280</v>
      </c>
      <c r="G16" s="8"/>
      <c r="H16" s="9"/>
      <c r="I16" s="10"/>
      <c r="J16" s="9"/>
      <c r="K16" s="10"/>
      <c r="L16" s="9"/>
      <c r="M16" s="11"/>
    </row>
    <row r="17" spans="2:13" s="3" customFormat="1" ht="13.8" x14ac:dyDescent="0.3">
      <c r="B17" s="12"/>
      <c r="C17" s="13" t="s">
        <v>14</v>
      </c>
      <c r="D17" s="14" t="s">
        <v>41</v>
      </c>
      <c r="E17" s="12">
        <v>1</v>
      </c>
      <c r="F17" s="15">
        <f>F16*E17</f>
        <v>280</v>
      </c>
      <c r="G17" s="16"/>
      <c r="H17" s="16"/>
      <c r="I17" s="16"/>
      <c r="J17" s="16">
        <f>I17*F17</f>
        <v>0</v>
      </c>
      <c r="K17" s="16"/>
      <c r="L17" s="16"/>
      <c r="M17" s="16">
        <f>L17+J17+H17</f>
        <v>0</v>
      </c>
    </row>
    <row r="18" spans="2:13" s="3" customFormat="1" ht="13.8" x14ac:dyDescent="0.3">
      <c r="B18" s="12"/>
      <c r="C18" s="13" t="s">
        <v>43</v>
      </c>
      <c r="D18" s="14" t="s">
        <v>33</v>
      </c>
      <c r="E18" s="12">
        <v>4.3E-3</v>
      </c>
      <c r="F18" s="15">
        <f>E18*F16</f>
        <v>1.204</v>
      </c>
      <c r="G18" s="16"/>
      <c r="H18" s="16"/>
      <c r="I18" s="16"/>
      <c r="J18" s="16"/>
      <c r="K18" s="16"/>
      <c r="L18" s="16">
        <f>K18*F18</f>
        <v>0</v>
      </c>
      <c r="M18" s="16">
        <f>L18+J18+H18</f>
        <v>0</v>
      </c>
    </row>
    <row r="19" spans="2:13" s="3" customFormat="1" ht="13.8" x14ac:dyDescent="0.3">
      <c r="B19" s="12"/>
      <c r="C19" s="13" t="s">
        <v>16</v>
      </c>
      <c r="D19" s="14"/>
      <c r="E19" s="12"/>
      <c r="F19" s="15"/>
      <c r="G19" s="16"/>
      <c r="H19" s="16"/>
      <c r="I19" s="16"/>
      <c r="J19" s="16"/>
      <c r="K19" s="16"/>
      <c r="L19" s="16"/>
      <c r="M19" s="16">
        <f>L19+J19+H19</f>
        <v>0</v>
      </c>
    </row>
    <row r="20" spans="2:13" s="3" customFormat="1" ht="13.8" x14ac:dyDescent="0.3">
      <c r="B20" s="12"/>
      <c r="C20" s="13" t="s">
        <v>145</v>
      </c>
      <c r="D20" s="14" t="s">
        <v>41</v>
      </c>
      <c r="E20" s="12">
        <v>1.01</v>
      </c>
      <c r="F20" s="15">
        <f>E20*F16</f>
        <v>282.8</v>
      </c>
      <c r="G20" s="17"/>
      <c r="H20" s="16">
        <f>G20*F20</f>
        <v>0</v>
      </c>
      <c r="I20" s="16"/>
      <c r="J20" s="16"/>
      <c r="K20" s="16"/>
      <c r="L20" s="16"/>
      <c r="M20" s="16">
        <f>L20+J20+H20</f>
        <v>0</v>
      </c>
    </row>
    <row r="21" spans="2:13" s="3" customFormat="1" ht="14.4" x14ac:dyDescent="0.3">
      <c r="B21" s="12"/>
      <c r="C21" s="13" t="s">
        <v>146</v>
      </c>
      <c r="D21" s="14" t="s">
        <v>41</v>
      </c>
      <c r="E21" s="12">
        <v>1.01</v>
      </c>
      <c r="F21" s="15">
        <f>E21*F17</f>
        <v>282.8</v>
      </c>
      <c r="G21" s="17"/>
      <c r="H21" s="16">
        <f>G21*F21</f>
        <v>0</v>
      </c>
      <c r="I21" s="16"/>
      <c r="J21" s="16"/>
      <c r="K21" s="16"/>
      <c r="L21" s="16"/>
      <c r="M21" s="16">
        <f>L21+J21+H21</f>
        <v>0</v>
      </c>
    </row>
    <row r="22" spans="2:13" s="3" customFormat="1" ht="15" x14ac:dyDescent="0.3">
      <c r="B22" s="5">
        <f>B16+1</f>
        <v>4</v>
      </c>
      <c r="C22" s="6" t="s">
        <v>147</v>
      </c>
      <c r="D22" s="6" t="s">
        <v>18</v>
      </c>
      <c r="E22" s="6"/>
      <c r="F22" s="6">
        <f>29*0.6*0.7</f>
        <v>12.179999999999998</v>
      </c>
      <c r="G22" s="8"/>
      <c r="H22" s="9"/>
      <c r="I22" s="10"/>
      <c r="J22" s="9"/>
      <c r="K22" s="10"/>
      <c r="L22" s="9"/>
      <c r="M22" s="11"/>
    </row>
    <row r="23" spans="2:13" s="3" customFormat="1" ht="15" x14ac:dyDescent="0.3">
      <c r="B23" s="12"/>
      <c r="C23" s="13" t="s">
        <v>148</v>
      </c>
      <c r="D23" s="14" t="s">
        <v>25</v>
      </c>
      <c r="E23" s="12">
        <v>1</v>
      </c>
      <c r="F23" s="15">
        <f>E23*F22</f>
        <v>12.179999999999998</v>
      </c>
      <c r="G23" s="16"/>
      <c r="H23" s="16"/>
      <c r="I23" s="16"/>
      <c r="J23" s="16"/>
      <c r="K23" s="16"/>
      <c r="L23" s="16">
        <f>K23*F23</f>
        <v>0</v>
      </c>
      <c r="M23" s="16">
        <f>L23+J23+H23</f>
        <v>0</v>
      </c>
    </row>
    <row r="24" spans="2:13" s="3" customFormat="1" ht="15" x14ac:dyDescent="0.3">
      <c r="B24" s="5">
        <f>B22+1</f>
        <v>5</v>
      </c>
      <c r="C24" s="6" t="s">
        <v>149</v>
      </c>
      <c r="D24" s="6" t="s">
        <v>18</v>
      </c>
      <c r="E24" s="6"/>
      <c r="F24" s="6">
        <f>29*0.5*0.7</f>
        <v>10.149999999999999</v>
      </c>
      <c r="G24" s="8"/>
      <c r="H24" s="9"/>
      <c r="I24" s="10"/>
      <c r="J24" s="9"/>
      <c r="K24" s="10"/>
      <c r="L24" s="9"/>
      <c r="M24" s="11"/>
    </row>
    <row r="25" spans="2:13" s="27" customFormat="1" ht="15" x14ac:dyDescent="0.3">
      <c r="B25" s="12"/>
      <c r="C25" s="13" t="s">
        <v>150</v>
      </c>
      <c r="D25" s="14" t="s">
        <v>25</v>
      </c>
      <c r="E25" s="12">
        <v>1</v>
      </c>
      <c r="F25" s="15">
        <f>F24*E25</f>
        <v>10.149999999999999</v>
      </c>
      <c r="G25" s="17"/>
      <c r="H25" s="16">
        <f>G25*F25</f>
        <v>0</v>
      </c>
      <c r="I25" s="16"/>
      <c r="J25" s="16">
        <f>I25*F25</f>
        <v>0</v>
      </c>
      <c r="K25" s="16"/>
      <c r="L25" s="16"/>
      <c r="M25" s="16">
        <f>L25+J25+H25</f>
        <v>0</v>
      </c>
    </row>
    <row r="26" spans="2:13" s="3" customFormat="1" ht="14.4" x14ac:dyDescent="0.3">
      <c r="B26" s="5">
        <f>B21+1</f>
        <v>1</v>
      </c>
      <c r="C26" s="6" t="s">
        <v>154</v>
      </c>
      <c r="D26" s="6"/>
      <c r="E26" s="6"/>
      <c r="F26" s="71"/>
      <c r="G26" s="8"/>
      <c r="H26" s="9"/>
      <c r="I26" s="10"/>
      <c r="J26" s="9"/>
      <c r="K26" s="10"/>
      <c r="L26" s="9"/>
      <c r="M26" s="11"/>
    </row>
    <row r="27" spans="2:13" s="3" customFormat="1" ht="13.8" x14ac:dyDescent="0.3">
      <c r="B27" s="12">
        <v>1</v>
      </c>
      <c r="C27" s="72" t="s">
        <v>194</v>
      </c>
      <c r="D27" s="14" t="s">
        <v>58</v>
      </c>
      <c r="E27" s="12">
        <v>1</v>
      </c>
      <c r="F27" s="73">
        <v>55</v>
      </c>
      <c r="G27" s="17"/>
      <c r="H27" s="16">
        <f t="shared" ref="H27:H32" si="0">F27*G27</f>
        <v>0</v>
      </c>
      <c r="I27" s="17"/>
      <c r="J27" s="16">
        <f t="shared" ref="J27:J28" si="1">I27*F27</f>
        <v>0</v>
      </c>
      <c r="K27" s="16"/>
      <c r="L27" s="16"/>
      <c r="M27" s="16">
        <f t="shared" ref="M27:M32" si="2">L27+J27+H27</f>
        <v>0</v>
      </c>
    </row>
    <row r="28" spans="2:13" s="60" customFormat="1" ht="27.6" x14ac:dyDescent="0.3">
      <c r="B28" s="12">
        <v>2</v>
      </c>
      <c r="C28" s="13" t="s">
        <v>200</v>
      </c>
      <c r="D28" s="14" t="s">
        <v>58</v>
      </c>
      <c r="E28" s="12">
        <v>1</v>
      </c>
      <c r="F28" s="73">
        <v>9</v>
      </c>
      <c r="G28" s="17"/>
      <c r="H28" s="16">
        <f t="shared" si="0"/>
        <v>0</v>
      </c>
      <c r="I28" s="17"/>
      <c r="J28" s="16">
        <f t="shared" si="1"/>
        <v>0</v>
      </c>
      <c r="K28" s="17"/>
      <c r="L28" s="16">
        <f t="shared" ref="L28:L31" si="3">K28*F28</f>
        <v>0</v>
      </c>
      <c r="M28" s="16">
        <f t="shared" si="2"/>
        <v>0</v>
      </c>
    </row>
    <row r="29" spans="2:13" s="60" customFormat="1" ht="27.6" x14ac:dyDescent="0.3">
      <c r="B29" s="12">
        <v>3</v>
      </c>
      <c r="C29" s="13" t="s">
        <v>201</v>
      </c>
      <c r="D29" s="14" t="s">
        <v>58</v>
      </c>
      <c r="E29" s="12">
        <v>1</v>
      </c>
      <c r="F29" s="73">
        <v>1</v>
      </c>
      <c r="G29" s="17"/>
      <c r="H29" s="16">
        <f t="shared" si="0"/>
        <v>0</v>
      </c>
      <c r="I29" s="17"/>
      <c r="J29" s="16">
        <f>I29*F29</f>
        <v>0</v>
      </c>
      <c r="K29" s="17"/>
      <c r="L29" s="16">
        <f t="shared" si="3"/>
        <v>0</v>
      </c>
      <c r="M29" s="16">
        <f t="shared" si="2"/>
        <v>0</v>
      </c>
    </row>
    <row r="30" spans="2:13" s="60" customFormat="1" ht="27.6" x14ac:dyDescent="0.3">
      <c r="B30" s="12">
        <v>4</v>
      </c>
      <c r="C30" s="13" t="s">
        <v>199</v>
      </c>
      <c r="D30" s="14" t="s">
        <v>58</v>
      </c>
      <c r="E30" s="12">
        <v>1</v>
      </c>
      <c r="F30" s="73">
        <v>15</v>
      </c>
      <c r="G30" s="17"/>
      <c r="H30" s="16">
        <f t="shared" si="0"/>
        <v>0</v>
      </c>
      <c r="I30" s="17"/>
      <c r="J30" s="16">
        <f>I30*F30</f>
        <v>0</v>
      </c>
      <c r="K30" s="17"/>
      <c r="L30" s="16">
        <f t="shared" si="3"/>
        <v>0</v>
      </c>
      <c r="M30" s="16">
        <f t="shared" si="2"/>
        <v>0</v>
      </c>
    </row>
    <row r="31" spans="2:13" s="60" customFormat="1" ht="27.6" x14ac:dyDescent="0.3">
      <c r="B31" s="12">
        <v>5</v>
      </c>
      <c r="C31" s="13" t="s">
        <v>202</v>
      </c>
      <c r="D31" s="14" t="s">
        <v>58</v>
      </c>
      <c r="E31" s="12">
        <v>1</v>
      </c>
      <c r="F31" s="73">
        <v>4</v>
      </c>
      <c r="G31" s="17"/>
      <c r="H31" s="16">
        <f t="shared" si="0"/>
        <v>0</v>
      </c>
      <c r="I31" s="17"/>
      <c r="J31" s="16">
        <f>I31*F31</f>
        <v>0</v>
      </c>
      <c r="K31" s="17"/>
      <c r="L31" s="16">
        <f t="shared" si="3"/>
        <v>0</v>
      </c>
      <c r="M31" s="16">
        <f t="shared" si="2"/>
        <v>0</v>
      </c>
    </row>
    <row r="32" spans="2:13" s="60" customFormat="1" ht="13.8" x14ac:dyDescent="0.3">
      <c r="B32" s="12">
        <v>6</v>
      </c>
      <c r="C32" s="13" t="s">
        <v>195</v>
      </c>
      <c r="D32" s="14" t="s">
        <v>58</v>
      </c>
      <c r="E32" s="12">
        <v>1</v>
      </c>
      <c r="F32" s="73">
        <v>7</v>
      </c>
      <c r="G32" s="17"/>
      <c r="H32" s="16">
        <f t="shared" si="0"/>
        <v>0</v>
      </c>
      <c r="I32" s="17"/>
      <c r="J32" s="16">
        <f>I32*F32</f>
        <v>0</v>
      </c>
      <c r="K32" s="16"/>
      <c r="L32" s="16"/>
      <c r="M32" s="16">
        <f t="shared" si="2"/>
        <v>0</v>
      </c>
    </row>
    <row r="33" spans="1:13" s="27" customFormat="1" ht="14.4" x14ac:dyDescent="0.3">
      <c r="B33" s="5">
        <f>B24+1</f>
        <v>6</v>
      </c>
      <c r="C33" s="6" t="s">
        <v>151</v>
      </c>
      <c r="D33" s="6" t="s">
        <v>41</v>
      </c>
      <c r="E33" s="6"/>
      <c r="F33" s="6">
        <f>29*3</f>
        <v>87</v>
      </c>
      <c r="G33" s="8"/>
      <c r="H33" s="9"/>
      <c r="I33" s="10"/>
      <c r="J33" s="9"/>
      <c r="K33" s="10"/>
      <c r="L33" s="9"/>
      <c r="M33" s="11"/>
    </row>
    <row r="34" spans="1:13" s="27" customFormat="1" ht="13.8" x14ac:dyDescent="0.3">
      <c r="B34" s="12"/>
      <c r="C34" s="13" t="s">
        <v>14</v>
      </c>
      <c r="D34" s="14" t="s">
        <v>19</v>
      </c>
      <c r="E34" s="12">
        <v>0.17</v>
      </c>
      <c r="F34" s="15">
        <f>E34*F33</f>
        <v>14.790000000000001</v>
      </c>
      <c r="G34" s="16"/>
      <c r="H34" s="16"/>
      <c r="I34" s="16"/>
      <c r="J34" s="16">
        <f>I34*F34</f>
        <v>0</v>
      </c>
      <c r="K34" s="16"/>
      <c r="L34" s="16"/>
      <c r="M34" s="16">
        <f t="shared" ref="M34:M44" si="4">L34+J34+H34</f>
        <v>0</v>
      </c>
    </row>
    <row r="35" spans="1:13" s="27" customFormat="1" ht="13.8" x14ac:dyDescent="0.3">
      <c r="B35" s="12"/>
      <c r="C35" s="13" t="s">
        <v>43</v>
      </c>
      <c r="D35" s="14" t="s">
        <v>33</v>
      </c>
      <c r="E35" s="12">
        <v>0.01</v>
      </c>
      <c r="F35" s="15">
        <f>E35*F33</f>
        <v>0.87</v>
      </c>
      <c r="G35" s="16"/>
      <c r="H35" s="16"/>
      <c r="I35" s="16"/>
      <c r="J35" s="16"/>
      <c r="K35" s="16"/>
      <c r="L35" s="16">
        <f>K35*F35</f>
        <v>0</v>
      </c>
      <c r="M35" s="16">
        <f t="shared" si="4"/>
        <v>0</v>
      </c>
    </row>
    <row r="36" spans="1:13" s="27" customFormat="1" ht="13.8" x14ac:dyDescent="0.3">
      <c r="B36" s="12"/>
      <c r="C36" s="13" t="s">
        <v>16</v>
      </c>
      <c r="D36" s="14"/>
      <c r="E36" s="12"/>
      <c r="F36" s="15"/>
      <c r="G36" s="16"/>
      <c r="H36" s="16"/>
      <c r="I36" s="16"/>
      <c r="J36" s="16"/>
      <c r="K36" s="16"/>
      <c r="L36" s="16"/>
      <c r="M36" s="16">
        <f t="shared" si="4"/>
        <v>0</v>
      </c>
    </row>
    <row r="37" spans="1:13" s="27" customFormat="1" ht="13.8" x14ac:dyDescent="0.3">
      <c r="B37" s="12"/>
      <c r="C37" s="13" t="s">
        <v>152</v>
      </c>
      <c r="D37" s="14" t="s">
        <v>41</v>
      </c>
      <c r="E37" s="12">
        <v>1.01</v>
      </c>
      <c r="F37" s="15">
        <f>E37*F33</f>
        <v>87.87</v>
      </c>
      <c r="G37" s="16"/>
      <c r="H37" s="16">
        <f>G37*F37</f>
        <v>0</v>
      </c>
      <c r="I37" s="16"/>
      <c r="J37" s="16"/>
      <c r="K37" s="16"/>
      <c r="L37" s="16"/>
      <c r="M37" s="16">
        <f t="shared" si="4"/>
        <v>0</v>
      </c>
    </row>
    <row r="38" spans="1:13" s="27" customFormat="1" ht="13.8" x14ac:dyDescent="0.3">
      <c r="B38" s="12"/>
      <c r="C38" s="13" t="s">
        <v>32</v>
      </c>
      <c r="D38" s="14" t="s">
        <v>33</v>
      </c>
      <c r="E38" s="12">
        <v>0.04</v>
      </c>
      <c r="F38" s="15">
        <f>E38*F33</f>
        <v>3.48</v>
      </c>
      <c r="G38" s="16"/>
      <c r="H38" s="16">
        <f>G38*F38</f>
        <v>0</v>
      </c>
      <c r="I38" s="16"/>
      <c r="J38" s="16"/>
      <c r="K38" s="16"/>
      <c r="L38" s="16"/>
      <c r="M38" s="16">
        <f t="shared" si="4"/>
        <v>0</v>
      </c>
    </row>
    <row r="39" spans="1:13" s="27" customFormat="1" ht="14.4" x14ac:dyDescent="0.3">
      <c r="B39" s="5">
        <f>B33+1</f>
        <v>7</v>
      </c>
      <c r="C39" s="6" t="s">
        <v>235</v>
      </c>
      <c r="D39" s="6" t="s">
        <v>58</v>
      </c>
      <c r="E39" s="6"/>
      <c r="F39" s="6">
        <v>29</v>
      </c>
      <c r="G39" s="8"/>
      <c r="H39" s="9"/>
      <c r="I39" s="10"/>
      <c r="J39" s="9"/>
      <c r="K39" s="10"/>
      <c r="L39" s="9"/>
      <c r="M39" s="11"/>
    </row>
    <row r="40" spans="1:13" s="27" customFormat="1" ht="13.8" x14ac:dyDescent="0.3">
      <c r="B40" s="12"/>
      <c r="C40" s="13" t="s">
        <v>14</v>
      </c>
      <c r="D40" s="14" t="s">
        <v>19</v>
      </c>
      <c r="E40" s="12">
        <v>0.6</v>
      </c>
      <c r="F40" s="15">
        <f>E40*F39</f>
        <v>17.399999999999999</v>
      </c>
      <c r="G40" s="16"/>
      <c r="H40" s="16"/>
      <c r="I40" s="16"/>
      <c r="J40" s="16">
        <f>I40*F40</f>
        <v>0</v>
      </c>
      <c r="K40" s="16"/>
      <c r="L40" s="16"/>
      <c r="M40" s="16">
        <f t="shared" si="4"/>
        <v>0</v>
      </c>
    </row>
    <row r="41" spans="1:13" s="27" customFormat="1" ht="13.8" x14ac:dyDescent="0.3">
      <c r="B41" s="12"/>
      <c r="C41" s="13" t="s">
        <v>43</v>
      </c>
      <c r="D41" s="14" t="s">
        <v>33</v>
      </c>
      <c r="E41" s="12">
        <v>0.04</v>
      </c>
      <c r="F41" s="15">
        <f>E41*F39</f>
        <v>1.1599999999999999</v>
      </c>
      <c r="G41" s="16"/>
      <c r="H41" s="16"/>
      <c r="I41" s="16"/>
      <c r="J41" s="16"/>
      <c r="K41" s="16"/>
      <c r="L41" s="16">
        <f>K41*F41</f>
        <v>0</v>
      </c>
      <c r="M41" s="16">
        <f t="shared" si="4"/>
        <v>0</v>
      </c>
    </row>
    <row r="42" spans="1:13" s="27" customFormat="1" ht="13.8" x14ac:dyDescent="0.3">
      <c r="B42" s="12"/>
      <c r="C42" s="13" t="s">
        <v>16</v>
      </c>
      <c r="D42" s="14"/>
      <c r="E42" s="12"/>
      <c r="F42" s="15"/>
      <c r="G42" s="16"/>
      <c r="H42" s="16"/>
      <c r="I42" s="16"/>
      <c r="J42" s="16"/>
      <c r="K42" s="16"/>
      <c r="L42" s="16"/>
      <c r="M42" s="16">
        <f t="shared" si="4"/>
        <v>0</v>
      </c>
    </row>
    <row r="43" spans="1:13" s="27" customFormat="1" ht="13.8" x14ac:dyDescent="0.3">
      <c r="B43" s="12"/>
      <c r="C43" s="13" t="s">
        <v>153</v>
      </c>
      <c r="D43" s="14" t="s">
        <v>58</v>
      </c>
      <c r="E43" s="12">
        <v>1</v>
      </c>
      <c r="F43" s="15">
        <f>E43*F39</f>
        <v>29</v>
      </c>
      <c r="G43" s="16"/>
      <c r="H43" s="16">
        <f>G43*F43</f>
        <v>0</v>
      </c>
      <c r="I43" s="16"/>
      <c r="J43" s="16"/>
      <c r="K43" s="16"/>
      <c r="L43" s="16"/>
      <c r="M43" s="16">
        <f t="shared" si="4"/>
        <v>0</v>
      </c>
    </row>
    <row r="44" spans="1:13" s="27" customFormat="1" ht="13.8" x14ac:dyDescent="0.3">
      <c r="B44" s="12"/>
      <c r="C44" s="13" t="s">
        <v>32</v>
      </c>
      <c r="D44" s="14" t="s">
        <v>33</v>
      </c>
      <c r="E44" s="12">
        <v>1</v>
      </c>
      <c r="F44" s="15">
        <f>E44*F39</f>
        <v>29</v>
      </c>
      <c r="G44" s="16"/>
      <c r="H44" s="16">
        <f>G44*F44</f>
        <v>0</v>
      </c>
      <c r="I44" s="16"/>
      <c r="J44" s="16"/>
      <c r="K44" s="16"/>
      <c r="L44" s="16"/>
      <c r="M44" s="16">
        <f t="shared" si="4"/>
        <v>0</v>
      </c>
    </row>
    <row r="45" spans="1:13" s="26" customFormat="1" ht="14.4" x14ac:dyDescent="0.3">
      <c r="B45" s="33"/>
      <c r="C45" s="34" t="s">
        <v>10</v>
      </c>
      <c r="D45" s="33"/>
      <c r="E45" s="34"/>
      <c r="F45" s="33"/>
      <c r="G45" s="33"/>
      <c r="H45" s="35">
        <f>SUM(H5:H44)</f>
        <v>0</v>
      </c>
      <c r="I45" s="35"/>
      <c r="J45" s="35">
        <f>SUM(J5:J44)</f>
        <v>0</v>
      </c>
      <c r="K45" s="35"/>
      <c r="L45" s="35">
        <f>SUM(L5:L44)</f>
        <v>0</v>
      </c>
      <c r="M45" s="35">
        <f>SUM(M5:M44)</f>
        <v>0</v>
      </c>
    </row>
    <row r="46" spans="1:13" s="52" customFormat="1" ht="14.4" x14ac:dyDescent="0.3">
      <c r="A46" s="26"/>
      <c r="B46" s="12"/>
      <c r="C46" s="12" t="s">
        <v>53</v>
      </c>
      <c r="D46" s="18"/>
      <c r="E46" s="12"/>
      <c r="F46" s="12"/>
      <c r="G46" s="12"/>
      <c r="H46" s="12"/>
      <c r="I46" s="12"/>
      <c r="J46" s="12"/>
      <c r="K46" s="12"/>
      <c r="L46" s="12"/>
      <c r="M46" s="21">
        <f>H45*D46</f>
        <v>0</v>
      </c>
    </row>
    <row r="47" spans="1:13" s="52" customFormat="1" ht="14.4" x14ac:dyDescent="0.3">
      <c r="A47" s="26"/>
      <c r="B47" s="12"/>
      <c r="C47" s="19" t="s">
        <v>10</v>
      </c>
      <c r="D47" s="20"/>
      <c r="E47" s="19"/>
      <c r="F47" s="19"/>
      <c r="G47" s="19"/>
      <c r="H47" s="19"/>
      <c r="I47" s="19"/>
      <c r="J47" s="19"/>
      <c r="K47" s="19"/>
      <c r="L47" s="19"/>
      <c r="M47" s="22">
        <f>M46+M45</f>
        <v>0</v>
      </c>
    </row>
    <row r="48" spans="1:13" s="52" customFormat="1" ht="14.4" x14ac:dyDescent="0.3">
      <c r="A48" s="26"/>
      <c r="B48" s="12"/>
      <c r="C48" s="12" t="s">
        <v>52</v>
      </c>
      <c r="D48" s="18"/>
      <c r="E48" s="12"/>
      <c r="F48" s="12"/>
      <c r="G48" s="12"/>
      <c r="H48" s="12"/>
      <c r="I48" s="12"/>
      <c r="J48" s="12"/>
      <c r="K48" s="12"/>
      <c r="L48" s="12"/>
      <c r="M48" s="21">
        <f>M47*D48</f>
        <v>0</v>
      </c>
    </row>
    <row r="49" spans="1:13" s="52" customFormat="1" ht="14.4" x14ac:dyDescent="0.3">
      <c r="A49" s="26"/>
      <c r="B49" s="12"/>
      <c r="C49" s="19" t="s">
        <v>10</v>
      </c>
      <c r="D49" s="20"/>
      <c r="E49" s="19"/>
      <c r="F49" s="19"/>
      <c r="G49" s="19"/>
      <c r="H49" s="19"/>
      <c r="I49" s="19"/>
      <c r="J49" s="19"/>
      <c r="K49" s="19"/>
      <c r="L49" s="19"/>
      <c r="M49" s="22">
        <f>M47+M48</f>
        <v>0</v>
      </c>
    </row>
    <row r="50" spans="1:13" s="52" customFormat="1" ht="14.4" x14ac:dyDescent="0.3">
      <c r="A50" s="26"/>
      <c r="B50" s="12"/>
      <c r="C50" s="12" t="s">
        <v>54</v>
      </c>
      <c r="D50" s="18"/>
      <c r="E50" s="12"/>
      <c r="F50" s="12"/>
      <c r="G50" s="12"/>
      <c r="H50" s="12"/>
      <c r="I50" s="12"/>
      <c r="J50" s="12"/>
      <c r="K50" s="12"/>
      <c r="L50" s="12"/>
      <c r="M50" s="21">
        <f>M49*D50</f>
        <v>0</v>
      </c>
    </row>
    <row r="51" spans="1:13" s="52" customFormat="1" ht="14.4" x14ac:dyDescent="0.3">
      <c r="A51" s="26"/>
      <c r="B51" s="12"/>
      <c r="C51" s="19" t="s">
        <v>10</v>
      </c>
      <c r="D51" s="20"/>
      <c r="E51" s="19"/>
      <c r="F51" s="19"/>
      <c r="G51" s="19"/>
      <c r="H51" s="19"/>
      <c r="I51" s="19"/>
      <c r="J51" s="19"/>
      <c r="K51" s="19"/>
      <c r="L51" s="19"/>
      <c r="M51" s="22">
        <f>M49+M50</f>
        <v>0</v>
      </c>
    </row>
    <row r="52" spans="1:13" s="52" customFormat="1" ht="14.4" x14ac:dyDescent="0.3">
      <c r="A52" s="26"/>
      <c r="B52" s="12"/>
      <c r="C52" s="12" t="s">
        <v>55</v>
      </c>
      <c r="D52" s="18">
        <v>0.18</v>
      </c>
      <c r="E52" s="12"/>
      <c r="F52" s="12"/>
      <c r="G52" s="12"/>
      <c r="H52" s="12"/>
      <c r="I52" s="12"/>
      <c r="J52" s="12"/>
      <c r="K52" s="12"/>
      <c r="L52" s="12"/>
      <c r="M52" s="21">
        <f>M51*D52</f>
        <v>0</v>
      </c>
    </row>
    <row r="53" spans="1:13" s="52" customFormat="1" ht="14.4" x14ac:dyDescent="0.3">
      <c r="A53" s="26"/>
      <c r="B53" s="36"/>
      <c r="C53" s="37" t="s">
        <v>10</v>
      </c>
      <c r="D53" s="36"/>
      <c r="E53" s="37"/>
      <c r="F53" s="36"/>
      <c r="G53" s="36"/>
      <c r="H53" s="38"/>
      <c r="I53" s="39"/>
      <c r="J53" s="39"/>
      <c r="K53" s="39"/>
      <c r="L53" s="39"/>
      <c r="M53" s="40">
        <f>M52+M51</f>
        <v>0</v>
      </c>
    </row>
    <row r="54" spans="1:13" s="61" customFormat="1" x14ac:dyDescent="0.3">
      <c r="B54" s="62"/>
      <c r="C54" s="63"/>
      <c r="D54" s="64"/>
      <c r="E54" s="65"/>
      <c r="F54" s="66"/>
      <c r="G54" s="62"/>
      <c r="H54" s="64"/>
      <c r="I54" s="62"/>
      <c r="J54" s="64"/>
    </row>
    <row r="55" spans="1:13" s="61" customFormat="1" x14ac:dyDescent="0.3">
      <c r="B55" s="67"/>
      <c r="C55" s="63"/>
      <c r="D55" s="64"/>
      <c r="E55" s="65"/>
      <c r="F55" s="66"/>
      <c r="G55" s="62"/>
      <c r="H55" s="64"/>
      <c r="I55" s="62"/>
      <c r="J55" s="64"/>
    </row>
    <row r="56" spans="1:13" s="61" customFormat="1" ht="14.4" x14ac:dyDescent="0.3">
      <c r="B56" s="67"/>
      <c r="D56" s="64"/>
      <c r="E56" s="65"/>
      <c r="F56" s="66"/>
      <c r="G56" s="62"/>
      <c r="H56" s="64"/>
      <c r="I56" s="62"/>
      <c r="J56" s="64"/>
    </row>
    <row r="57" spans="1:13" s="61" customFormat="1" x14ac:dyDescent="0.3">
      <c r="B57" s="67"/>
      <c r="C57" s="63"/>
      <c r="D57" s="64"/>
      <c r="E57" s="65"/>
      <c r="F57" s="66"/>
      <c r="G57" s="62"/>
      <c r="H57" s="64"/>
      <c r="I57" s="62"/>
      <c r="J57" s="64"/>
    </row>
    <row r="58" spans="1:13" s="61" customFormat="1" x14ac:dyDescent="0.3">
      <c r="B58" s="67"/>
      <c r="C58" s="63"/>
      <c r="D58" s="64"/>
      <c r="E58" s="65"/>
      <c r="F58" s="66"/>
      <c r="G58" s="62"/>
      <c r="H58" s="64"/>
      <c r="I58" s="62"/>
      <c r="J58" s="64"/>
    </row>
    <row r="59" spans="1:13" s="61" customFormat="1" x14ac:dyDescent="0.3">
      <c r="B59" s="67"/>
      <c r="C59" s="63"/>
      <c r="D59" s="64"/>
      <c r="E59" s="65"/>
      <c r="F59" s="66"/>
      <c r="G59" s="62"/>
      <c r="H59" s="64"/>
      <c r="I59" s="62"/>
      <c r="J59" s="64"/>
    </row>
    <row r="60" spans="1:13" s="61" customFormat="1" x14ac:dyDescent="0.3">
      <c r="B60" s="67"/>
      <c r="C60" s="63"/>
      <c r="D60" s="64"/>
      <c r="E60" s="65"/>
      <c r="F60" s="66"/>
      <c r="G60" s="62"/>
      <c r="H60" s="64"/>
      <c r="I60" s="62"/>
      <c r="J60" s="64"/>
    </row>
    <row r="61" spans="1:13" s="61" customFormat="1" x14ac:dyDescent="0.3">
      <c r="B61" s="67"/>
      <c r="C61" s="63"/>
      <c r="D61" s="64"/>
      <c r="E61" s="65"/>
      <c r="F61" s="66"/>
      <c r="G61" s="62"/>
      <c r="H61" s="64"/>
      <c r="I61" s="62"/>
      <c r="J61" s="64"/>
    </row>
    <row r="62" spans="1:13" s="61" customFormat="1" x14ac:dyDescent="0.3">
      <c r="B62" s="67"/>
      <c r="C62" s="63"/>
      <c r="D62" s="64"/>
      <c r="E62" s="65"/>
      <c r="F62" s="66"/>
      <c r="G62" s="62"/>
      <c r="H62" s="64"/>
      <c r="I62" s="62"/>
      <c r="J62" s="64"/>
    </row>
    <row r="63" spans="1:13" s="61" customFormat="1" x14ac:dyDescent="0.3">
      <c r="B63" s="67"/>
      <c r="C63" s="63"/>
      <c r="D63" s="64"/>
      <c r="E63" s="65"/>
      <c r="F63" s="66"/>
      <c r="G63" s="62"/>
      <c r="H63" s="64"/>
      <c r="I63" s="62"/>
      <c r="J63" s="64"/>
    </row>
    <row r="64" spans="1:13" s="61" customFormat="1" x14ac:dyDescent="0.3">
      <c r="B64" s="67"/>
      <c r="C64" s="63"/>
      <c r="D64" s="64"/>
      <c r="E64" s="65"/>
      <c r="F64" s="66"/>
      <c r="G64" s="62"/>
      <c r="H64" s="64"/>
      <c r="I64" s="62"/>
      <c r="J64" s="64"/>
    </row>
    <row r="65" spans="2:10" s="61" customFormat="1" x14ac:dyDescent="0.3">
      <c r="B65" s="67"/>
      <c r="C65" s="63"/>
      <c r="D65" s="64"/>
      <c r="E65" s="65"/>
      <c r="F65" s="66"/>
      <c r="G65" s="62"/>
      <c r="H65" s="64"/>
      <c r="I65" s="62"/>
      <c r="J65" s="64"/>
    </row>
    <row r="66" spans="2:10" s="61" customFormat="1" x14ac:dyDescent="0.3">
      <c r="B66" s="67"/>
      <c r="C66" s="63"/>
      <c r="D66" s="64"/>
      <c r="E66" s="65"/>
      <c r="F66" s="66"/>
      <c r="G66" s="62"/>
      <c r="H66" s="64"/>
      <c r="I66" s="62"/>
      <c r="J66" s="64"/>
    </row>
    <row r="67" spans="2:10" s="61" customFormat="1" x14ac:dyDescent="0.3">
      <c r="B67" s="67"/>
      <c r="C67" s="63"/>
      <c r="D67" s="64"/>
      <c r="E67" s="65"/>
      <c r="F67" s="66"/>
      <c r="G67" s="62"/>
      <c r="H67" s="64"/>
      <c r="I67" s="62"/>
      <c r="J67" s="64"/>
    </row>
    <row r="68" spans="2:10" s="61" customFormat="1" x14ac:dyDescent="0.3">
      <c r="B68" s="67"/>
      <c r="C68" s="63"/>
      <c r="D68" s="64"/>
      <c r="E68" s="65"/>
      <c r="F68" s="66"/>
      <c r="G68" s="62"/>
      <c r="H68" s="64"/>
      <c r="I68" s="62"/>
      <c r="J68" s="64"/>
    </row>
    <row r="69" spans="2:10" s="61" customFormat="1" x14ac:dyDescent="0.3">
      <c r="B69" s="67"/>
      <c r="C69" s="63"/>
      <c r="D69" s="64"/>
      <c r="E69" s="65"/>
      <c r="F69" s="66"/>
      <c r="G69" s="62"/>
      <c r="H69" s="64"/>
      <c r="I69" s="62"/>
      <c r="J69" s="64"/>
    </row>
    <row r="70" spans="2:10" s="61" customFormat="1" x14ac:dyDescent="0.3">
      <c r="B70" s="67"/>
      <c r="C70" s="63"/>
      <c r="D70" s="64"/>
      <c r="E70" s="65"/>
      <c r="F70" s="66"/>
      <c r="G70" s="62"/>
      <c r="H70" s="64"/>
      <c r="I70" s="62"/>
      <c r="J70" s="64"/>
    </row>
    <row r="71" spans="2:10" s="61" customFormat="1" x14ac:dyDescent="0.3">
      <c r="B71" s="67"/>
      <c r="C71" s="63"/>
      <c r="D71" s="64"/>
      <c r="E71" s="65"/>
      <c r="F71" s="66"/>
      <c r="G71" s="62"/>
      <c r="H71" s="64"/>
      <c r="I71" s="62"/>
      <c r="J71" s="64"/>
    </row>
    <row r="72" spans="2:10" s="61" customFormat="1" x14ac:dyDescent="0.3">
      <c r="B72" s="67"/>
      <c r="C72" s="63"/>
      <c r="D72" s="64"/>
      <c r="E72" s="65"/>
      <c r="F72" s="66"/>
      <c r="G72" s="62"/>
      <c r="H72" s="64"/>
      <c r="I72" s="62"/>
      <c r="J72" s="64"/>
    </row>
    <row r="73" spans="2:10" s="61" customFormat="1" x14ac:dyDescent="0.3">
      <c r="B73" s="67"/>
      <c r="C73" s="63"/>
      <c r="D73" s="64"/>
      <c r="E73" s="65"/>
      <c r="F73" s="66"/>
      <c r="G73" s="62"/>
      <c r="H73" s="64"/>
      <c r="I73" s="62"/>
      <c r="J73" s="64"/>
    </row>
    <row r="74" spans="2:10" s="61" customFormat="1" x14ac:dyDescent="0.3">
      <c r="B74" s="67"/>
      <c r="C74" s="63"/>
      <c r="D74" s="64"/>
      <c r="E74" s="65"/>
      <c r="F74" s="66"/>
      <c r="G74" s="62"/>
      <c r="H74" s="64"/>
      <c r="I74" s="62"/>
      <c r="J74" s="64"/>
    </row>
    <row r="75" spans="2:10" s="61" customFormat="1" x14ac:dyDescent="0.3">
      <c r="B75" s="67"/>
      <c r="C75" s="63"/>
      <c r="D75" s="64"/>
      <c r="E75" s="65"/>
      <c r="F75" s="66"/>
      <c r="G75" s="62"/>
      <c r="H75" s="64"/>
      <c r="I75" s="62"/>
      <c r="J75" s="64"/>
    </row>
    <row r="76" spans="2:10" s="61" customFormat="1" x14ac:dyDescent="0.3">
      <c r="B76" s="67"/>
      <c r="C76" s="63"/>
      <c r="D76" s="64"/>
      <c r="E76" s="65"/>
      <c r="F76" s="66"/>
      <c r="G76" s="62"/>
      <c r="H76" s="64"/>
      <c r="I76" s="62"/>
      <c r="J76" s="64"/>
    </row>
    <row r="77" spans="2:10" s="61" customFormat="1" x14ac:dyDescent="0.3">
      <c r="B77" s="67"/>
      <c r="C77" s="63"/>
      <c r="D77" s="64"/>
      <c r="E77" s="65"/>
      <c r="F77" s="66"/>
      <c r="G77" s="62"/>
      <c r="H77" s="64"/>
      <c r="I77" s="62"/>
      <c r="J77" s="64"/>
    </row>
    <row r="78" spans="2:10" s="61" customFormat="1" x14ac:dyDescent="0.3">
      <c r="B78" s="67"/>
      <c r="C78" s="63"/>
      <c r="D78" s="64"/>
      <c r="E78" s="65"/>
      <c r="F78" s="66"/>
      <c r="G78" s="62"/>
      <c r="H78" s="64"/>
      <c r="I78" s="62"/>
      <c r="J78" s="64"/>
    </row>
    <row r="79" spans="2:10" s="61" customFormat="1" x14ac:dyDescent="0.3">
      <c r="B79" s="67"/>
      <c r="C79" s="63"/>
      <c r="D79" s="64"/>
      <c r="E79" s="65"/>
      <c r="F79" s="66"/>
      <c r="G79" s="62"/>
      <c r="H79" s="64"/>
      <c r="I79" s="62"/>
      <c r="J79" s="64"/>
    </row>
    <row r="80" spans="2:10" s="61" customFormat="1" x14ac:dyDescent="0.3">
      <c r="B80" s="67"/>
      <c r="C80" s="63"/>
      <c r="D80" s="64"/>
      <c r="E80" s="65"/>
      <c r="F80" s="66"/>
      <c r="G80" s="62"/>
      <c r="H80" s="64"/>
      <c r="I80" s="62"/>
      <c r="J80" s="64"/>
    </row>
    <row r="81" spans="2:10" s="61" customFormat="1" x14ac:dyDescent="0.3">
      <c r="B81" s="67"/>
      <c r="C81" s="63"/>
      <c r="D81" s="64"/>
      <c r="E81" s="65"/>
      <c r="F81" s="66"/>
      <c r="G81" s="62"/>
      <c r="H81" s="64"/>
      <c r="I81" s="62"/>
      <c r="J81" s="64"/>
    </row>
    <row r="82" spans="2:10" s="61" customFormat="1" x14ac:dyDescent="0.3">
      <c r="B82" s="67"/>
      <c r="C82" s="63"/>
      <c r="D82" s="64"/>
      <c r="E82" s="65"/>
      <c r="F82" s="66"/>
      <c r="G82" s="62"/>
      <c r="H82" s="64"/>
      <c r="I82" s="62"/>
      <c r="J82" s="64"/>
    </row>
    <row r="83" spans="2:10" s="61" customFormat="1" x14ac:dyDescent="0.3">
      <c r="B83" s="67"/>
      <c r="C83" s="63"/>
      <c r="D83" s="64"/>
      <c r="E83" s="65"/>
      <c r="F83" s="66"/>
      <c r="G83" s="62"/>
      <c r="H83" s="64"/>
      <c r="I83" s="62"/>
      <c r="J83" s="64"/>
    </row>
    <row r="84" spans="2:10" s="61" customFormat="1" x14ac:dyDescent="0.3">
      <c r="B84" s="67"/>
      <c r="C84" s="63"/>
      <c r="D84" s="64"/>
      <c r="E84" s="65"/>
      <c r="F84" s="66"/>
      <c r="G84" s="62"/>
      <c r="H84" s="64"/>
      <c r="I84" s="62"/>
      <c r="J84" s="64"/>
    </row>
    <row r="85" spans="2:10" s="61" customFormat="1" x14ac:dyDescent="0.3">
      <c r="B85" s="67"/>
      <c r="C85" s="63"/>
      <c r="D85" s="64"/>
      <c r="E85" s="65"/>
      <c r="F85" s="66"/>
      <c r="G85" s="62"/>
      <c r="H85" s="64"/>
      <c r="I85" s="62"/>
      <c r="J85" s="64"/>
    </row>
    <row r="86" spans="2:10" s="61" customFormat="1" x14ac:dyDescent="0.3">
      <c r="B86" s="67"/>
      <c r="C86" s="63"/>
      <c r="D86" s="64"/>
      <c r="E86" s="65"/>
      <c r="F86" s="66"/>
      <c r="G86" s="62"/>
      <c r="H86" s="64"/>
      <c r="I86" s="62"/>
      <c r="J86" s="64"/>
    </row>
    <row r="87" spans="2:10" s="61" customFormat="1" x14ac:dyDescent="0.3">
      <c r="B87" s="67"/>
      <c r="C87" s="63"/>
      <c r="D87" s="64"/>
      <c r="E87" s="65"/>
      <c r="F87" s="66"/>
      <c r="G87" s="62"/>
      <c r="H87" s="64"/>
      <c r="I87" s="62"/>
      <c r="J87" s="64"/>
    </row>
    <row r="88" spans="2:10" s="61" customFormat="1" x14ac:dyDescent="0.3">
      <c r="B88" s="67"/>
      <c r="C88" s="63"/>
      <c r="D88" s="64"/>
      <c r="E88" s="65"/>
      <c r="F88" s="66"/>
      <c r="G88" s="62"/>
      <c r="H88" s="64"/>
      <c r="I88" s="62"/>
      <c r="J88" s="64"/>
    </row>
    <row r="89" spans="2:10" s="61" customFormat="1" x14ac:dyDescent="0.3">
      <c r="B89" s="67"/>
      <c r="C89" s="63"/>
      <c r="D89" s="64"/>
      <c r="E89" s="65"/>
      <c r="F89" s="66"/>
      <c r="G89" s="62"/>
      <c r="H89" s="64"/>
      <c r="I89" s="62"/>
      <c r="J89" s="64"/>
    </row>
    <row r="90" spans="2:10" s="61" customFormat="1" x14ac:dyDescent="0.3">
      <c r="B90" s="67"/>
      <c r="C90" s="63"/>
      <c r="D90" s="64"/>
      <c r="E90" s="65"/>
      <c r="F90" s="66"/>
      <c r="G90" s="62"/>
      <c r="H90" s="64"/>
      <c r="I90" s="62"/>
      <c r="J90" s="64"/>
    </row>
    <row r="91" spans="2:10" s="61" customFormat="1" x14ac:dyDescent="0.3">
      <c r="B91" s="67"/>
      <c r="C91" s="63"/>
      <c r="D91" s="64"/>
      <c r="E91" s="65"/>
      <c r="F91" s="66"/>
      <c r="G91" s="62"/>
      <c r="H91" s="64"/>
      <c r="I91" s="62"/>
      <c r="J91" s="64"/>
    </row>
    <row r="92" spans="2:10" s="61" customFormat="1" x14ac:dyDescent="0.3">
      <c r="B92" s="67"/>
      <c r="C92" s="63"/>
      <c r="D92" s="64"/>
      <c r="E92" s="65"/>
      <c r="F92" s="66"/>
      <c r="G92" s="62"/>
      <c r="H92" s="64"/>
      <c r="I92" s="62"/>
      <c r="J92" s="64"/>
    </row>
    <row r="93" spans="2:10" s="61" customFormat="1" x14ac:dyDescent="0.3">
      <c r="B93" s="67"/>
      <c r="C93" s="63"/>
      <c r="D93" s="64"/>
      <c r="E93" s="65"/>
      <c r="F93" s="66"/>
      <c r="G93" s="62"/>
      <c r="H93" s="64"/>
      <c r="I93" s="62"/>
      <c r="J93" s="64"/>
    </row>
    <row r="94" spans="2:10" s="61" customFormat="1" x14ac:dyDescent="0.3">
      <c r="B94" s="67"/>
      <c r="C94" s="63"/>
      <c r="D94" s="64"/>
      <c r="E94" s="65"/>
      <c r="F94" s="66"/>
      <c r="G94" s="62"/>
      <c r="H94" s="64"/>
      <c r="I94" s="62"/>
      <c r="J94" s="64"/>
    </row>
    <row r="95" spans="2:10" s="61" customFormat="1" x14ac:dyDescent="0.3">
      <c r="B95" s="67"/>
      <c r="C95" s="63"/>
      <c r="D95" s="64"/>
      <c r="E95" s="65"/>
      <c r="F95" s="66"/>
      <c r="G95" s="62"/>
      <c r="H95" s="64"/>
      <c r="I95" s="62"/>
      <c r="J95" s="64"/>
    </row>
    <row r="96" spans="2:10" s="61" customFormat="1" x14ac:dyDescent="0.3">
      <c r="B96" s="67"/>
      <c r="C96" s="63"/>
      <c r="D96" s="64"/>
      <c r="E96" s="65"/>
      <c r="F96" s="66"/>
      <c r="G96" s="62"/>
      <c r="H96" s="64"/>
      <c r="I96" s="62"/>
      <c r="J96" s="64"/>
    </row>
    <row r="97" spans="2:10" s="61" customFormat="1" x14ac:dyDescent="0.3">
      <c r="B97" s="67"/>
      <c r="C97" s="63"/>
      <c r="D97" s="64"/>
      <c r="E97" s="65"/>
      <c r="F97" s="66"/>
      <c r="G97" s="62"/>
      <c r="H97" s="64"/>
      <c r="I97" s="62"/>
      <c r="J97" s="64"/>
    </row>
    <row r="98" spans="2:10" s="61" customFormat="1" x14ac:dyDescent="0.3">
      <c r="B98" s="67"/>
      <c r="C98" s="63"/>
      <c r="D98" s="64"/>
      <c r="E98" s="65"/>
      <c r="F98" s="66"/>
      <c r="G98" s="62"/>
      <c r="H98" s="64"/>
      <c r="I98" s="62"/>
      <c r="J98" s="64"/>
    </row>
    <row r="99" spans="2:10" s="61" customFormat="1" x14ac:dyDescent="0.3">
      <c r="B99" s="67"/>
      <c r="C99" s="63"/>
      <c r="D99" s="64"/>
      <c r="E99" s="65"/>
      <c r="F99" s="66"/>
      <c r="G99" s="62"/>
      <c r="H99" s="64"/>
      <c r="I99" s="62"/>
      <c r="J99" s="64"/>
    </row>
    <row r="100" spans="2:10" s="61" customFormat="1" x14ac:dyDescent="0.3">
      <c r="B100" s="67"/>
      <c r="C100" s="63"/>
      <c r="D100" s="64"/>
      <c r="E100" s="65"/>
      <c r="F100" s="66"/>
      <c r="G100" s="62"/>
      <c r="H100" s="64"/>
      <c r="I100" s="62"/>
      <c r="J100" s="64"/>
    </row>
    <row r="101" spans="2:10" s="61" customFormat="1" x14ac:dyDescent="0.3">
      <c r="B101" s="67"/>
      <c r="C101" s="63"/>
      <c r="D101" s="64"/>
      <c r="E101" s="65"/>
      <c r="F101" s="66"/>
      <c r="G101" s="62"/>
      <c r="H101" s="64"/>
      <c r="I101" s="62"/>
      <c r="J101" s="64"/>
    </row>
    <row r="102" spans="2:10" s="61" customFormat="1" x14ac:dyDescent="0.3">
      <c r="B102" s="67"/>
      <c r="C102" s="63"/>
      <c r="D102" s="64"/>
      <c r="E102" s="65"/>
      <c r="F102" s="66"/>
      <c r="G102" s="62"/>
      <c r="H102" s="64"/>
      <c r="I102" s="62"/>
      <c r="J102" s="64"/>
    </row>
    <row r="103" spans="2:10" s="61" customFormat="1" x14ac:dyDescent="0.3">
      <c r="B103" s="67"/>
      <c r="C103" s="63"/>
      <c r="D103" s="64"/>
      <c r="E103" s="65"/>
      <c r="F103" s="66"/>
      <c r="G103" s="62"/>
      <c r="H103" s="64"/>
      <c r="I103" s="62"/>
      <c r="J103" s="64"/>
    </row>
    <row r="104" spans="2:10" s="61" customFormat="1" x14ac:dyDescent="0.3">
      <c r="B104" s="67"/>
      <c r="C104" s="63"/>
      <c r="D104" s="64"/>
      <c r="E104" s="65"/>
      <c r="F104" s="66"/>
      <c r="G104" s="62"/>
      <c r="H104" s="64"/>
      <c r="I104" s="62"/>
      <c r="J104" s="64"/>
    </row>
    <row r="105" spans="2:10" s="61" customFormat="1" x14ac:dyDescent="0.3">
      <c r="B105" s="67"/>
      <c r="C105" s="63"/>
      <c r="D105" s="64"/>
      <c r="E105" s="65"/>
      <c r="F105" s="66"/>
      <c r="G105" s="62"/>
      <c r="H105" s="64"/>
      <c r="I105" s="62"/>
      <c r="J105" s="64"/>
    </row>
    <row r="106" spans="2:10" s="61" customFormat="1" x14ac:dyDescent="0.3">
      <c r="B106" s="67"/>
      <c r="C106" s="63"/>
      <c r="D106" s="64"/>
      <c r="E106" s="65"/>
      <c r="F106" s="66"/>
      <c r="G106" s="62"/>
      <c r="H106" s="64"/>
      <c r="I106" s="62"/>
      <c r="J106" s="64"/>
    </row>
    <row r="107" spans="2:10" s="61" customFormat="1" x14ac:dyDescent="0.3">
      <c r="B107" s="67"/>
      <c r="C107" s="63"/>
      <c r="D107" s="64"/>
      <c r="E107" s="65"/>
      <c r="F107" s="66"/>
      <c r="G107" s="62"/>
      <c r="H107" s="64"/>
      <c r="I107" s="62"/>
      <c r="J107" s="64"/>
    </row>
    <row r="108" spans="2:10" s="61" customFormat="1" x14ac:dyDescent="0.3">
      <c r="B108" s="67"/>
      <c r="C108" s="63"/>
      <c r="D108" s="64"/>
      <c r="E108" s="65"/>
      <c r="F108" s="66"/>
      <c r="G108" s="62"/>
      <c r="H108" s="64"/>
      <c r="I108" s="62"/>
      <c r="J108" s="64"/>
    </row>
    <row r="109" spans="2:10" s="61" customFormat="1" x14ac:dyDescent="0.3">
      <c r="B109" s="67"/>
      <c r="C109" s="63"/>
      <c r="D109" s="64"/>
      <c r="E109" s="65"/>
      <c r="F109" s="66"/>
      <c r="G109" s="62"/>
      <c r="H109" s="64"/>
      <c r="I109" s="62"/>
      <c r="J109" s="64"/>
    </row>
    <row r="110" spans="2:10" s="61" customFormat="1" x14ac:dyDescent="0.3">
      <c r="B110" s="67"/>
      <c r="C110" s="63"/>
      <c r="D110" s="64"/>
      <c r="E110" s="65"/>
      <c r="F110" s="66"/>
      <c r="G110" s="62"/>
      <c r="H110" s="64"/>
      <c r="I110" s="62"/>
      <c r="J110" s="64"/>
    </row>
    <row r="111" spans="2:10" s="61" customFormat="1" x14ac:dyDescent="0.3">
      <c r="B111" s="67"/>
      <c r="C111" s="63"/>
      <c r="D111" s="64"/>
      <c r="E111" s="65"/>
      <c r="F111" s="66"/>
      <c r="G111" s="62"/>
      <c r="H111" s="64"/>
      <c r="I111" s="62"/>
      <c r="J111" s="64"/>
    </row>
    <row r="112" spans="2:10" s="61" customFormat="1" x14ac:dyDescent="0.3">
      <c r="B112" s="67"/>
      <c r="C112" s="63"/>
      <c r="D112" s="64"/>
      <c r="E112" s="65"/>
      <c r="F112" s="66"/>
      <c r="G112" s="62"/>
      <c r="H112" s="64"/>
      <c r="I112" s="62"/>
      <c r="J112" s="64"/>
    </row>
    <row r="113" spans="2:10" s="61" customFormat="1" x14ac:dyDescent="0.3">
      <c r="B113" s="67"/>
      <c r="C113" s="63"/>
      <c r="D113" s="64"/>
      <c r="E113" s="65"/>
      <c r="F113" s="66"/>
      <c r="G113" s="62"/>
      <c r="H113" s="64"/>
      <c r="I113" s="62"/>
      <c r="J113" s="64"/>
    </row>
    <row r="114" spans="2:10" s="61" customFormat="1" x14ac:dyDescent="0.3">
      <c r="B114" s="67"/>
      <c r="C114" s="63"/>
      <c r="D114" s="64"/>
      <c r="E114" s="65"/>
      <c r="F114" s="66"/>
      <c r="G114" s="62"/>
      <c r="H114" s="64"/>
      <c r="I114" s="62"/>
      <c r="J114" s="64"/>
    </row>
    <row r="115" spans="2:10" s="61" customFormat="1" x14ac:dyDescent="0.3">
      <c r="B115" s="67"/>
      <c r="C115" s="63"/>
      <c r="D115" s="64"/>
      <c r="E115" s="65"/>
      <c r="F115" s="66"/>
      <c r="G115" s="62"/>
      <c r="H115" s="64"/>
      <c r="I115" s="62"/>
      <c r="J115" s="64"/>
    </row>
    <row r="116" spans="2:10" s="61" customFormat="1" x14ac:dyDescent="0.3">
      <c r="B116" s="67"/>
      <c r="C116" s="63"/>
      <c r="D116" s="64"/>
      <c r="E116" s="65"/>
      <c r="F116" s="66"/>
      <c r="G116" s="62"/>
      <c r="H116" s="64"/>
      <c r="I116" s="62"/>
      <c r="J116" s="64"/>
    </row>
    <row r="117" spans="2:10" s="61" customFormat="1" x14ac:dyDescent="0.3">
      <c r="B117" s="67"/>
      <c r="C117" s="63"/>
      <c r="D117" s="64"/>
      <c r="E117" s="65"/>
      <c r="F117" s="66"/>
      <c r="G117" s="62"/>
      <c r="H117" s="64"/>
      <c r="I117" s="62"/>
      <c r="J117" s="64"/>
    </row>
    <row r="118" spans="2:10" s="61" customFormat="1" x14ac:dyDescent="0.3">
      <c r="B118" s="67"/>
      <c r="C118" s="63"/>
      <c r="D118" s="64"/>
      <c r="E118" s="65"/>
      <c r="F118" s="66"/>
      <c r="G118" s="62"/>
      <c r="H118" s="64"/>
      <c r="I118" s="62"/>
      <c r="J118" s="64"/>
    </row>
    <row r="119" spans="2:10" s="61" customFormat="1" x14ac:dyDescent="0.3">
      <c r="B119" s="67"/>
      <c r="C119" s="63"/>
      <c r="D119" s="64"/>
      <c r="E119" s="65"/>
      <c r="F119" s="66"/>
      <c r="G119" s="62"/>
      <c r="H119" s="64"/>
      <c r="I119" s="62"/>
      <c r="J119" s="64"/>
    </row>
    <row r="120" spans="2:10" s="61" customFormat="1" x14ac:dyDescent="0.3">
      <c r="B120" s="67"/>
      <c r="C120" s="63"/>
      <c r="D120" s="64"/>
      <c r="E120" s="65"/>
      <c r="F120" s="66"/>
      <c r="G120" s="62"/>
      <c r="H120" s="64"/>
      <c r="I120" s="62"/>
      <c r="J120" s="64"/>
    </row>
    <row r="121" spans="2:10" s="61" customFormat="1" x14ac:dyDescent="0.3">
      <c r="B121" s="67"/>
      <c r="C121" s="63"/>
      <c r="D121" s="64"/>
      <c r="E121" s="65"/>
      <c r="F121" s="66"/>
      <c r="G121" s="62"/>
      <c r="H121" s="64"/>
      <c r="I121" s="62"/>
      <c r="J121" s="64"/>
    </row>
    <row r="122" spans="2:10" s="61" customFormat="1" x14ac:dyDescent="0.3">
      <c r="B122" s="67"/>
      <c r="C122" s="63"/>
      <c r="D122" s="64"/>
      <c r="E122" s="65"/>
      <c r="F122" s="66"/>
      <c r="G122" s="62"/>
      <c r="H122" s="64"/>
      <c r="I122" s="62"/>
      <c r="J122" s="64"/>
    </row>
    <row r="123" spans="2:10" s="61" customFormat="1" x14ac:dyDescent="0.3">
      <c r="B123" s="67"/>
      <c r="C123" s="63"/>
      <c r="D123" s="64"/>
      <c r="E123" s="65"/>
      <c r="F123" s="66"/>
      <c r="G123" s="62"/>
      <c r="H123" s="64"/>
      <c r="I123" s="62"/>
      <c r="J123" s="64"/>
    </row>
    <row r="124" spans="2:10" s="61" customFormat="1" x14ac:dyDescent="0.3">
      <c r="B124" s="67"/>
      <c r="C124" s="63"/>
      <c r="D124" s="64"/>
      <c r="E124" s="65"/>
      <c r="F124" s="66"/>
      <c r="G124" s="62"/>
      <c r="H124" s="64"/>
      <c r="I124" s="62"/>
      <c r="J124" s="64"/>
    </row>
    <row r="125" spans="2:10" s="61" customFormat="1" x14ac:dyDescent="0.3">
      <c r="B125" s="67"/>
      <c r="C125" s="63"/>
      <c r="D125" s="64"/>
      <c r="E125" s="65"/>
      <c r="F125" s="66"/>
      <c r="G125" s="62"/>
      <c r="H125" s="64"/>
      <c r="I125" s="62"/>
      <c r="J125" s="64"/>
    </row>
    <row r="126" spans="2:10" s="61" customFormat="1" x14ac:dyDescent="0.3">
      <c r="B126" s="67"/>
      <c r="C126" s="63"/>
      <c r="D126" s="64"/>
      <c r="E126" s="65"/>
      <c r="F126" s="66"/>
      <c r="G126" s="62"/>
      <c r="H126" s="64"/>
      <c r="I126" s="62"/>
      <c r="J126" s="64"/>
    </row>
    <row r="127" spans="2:10" s="61" customFormat="1" x14ac:dyDescent="0.3">
      <c r="B127" s="67"/>
      <c r="C127" s="63"/>
      <c r="D127" s="64"/>
      <c r="E127" s="65"/>
      <c r="F127" s="66"/>
      <c r="G127" s="62"/>
      <c r="H127" s="64"/>
      <c r="I127" s="62"/>
      <c r="J127" s="64"/>
    </row>
    <row r="128" spans="2:10" s="61" customFormat="1" x14ac:dyDescent="0.3">
      <c r="B128" s="67"/>
      <c r="C128" s="63"/>
      <c r="D128" s="64"/>
      <c r="E128" s="65"/>
      <c r="F128" s="66"/>
      <c r="G128" s="62"/>
      <c r="H128" s="64"/>
      <c r="I128" s="62"/>
      <c r="J128" s="64"/>
    </row>
    <row r="129" spans="2:10" s="61" customFormat="1" x14ac:dyDescent="0.3">
      <c r="B129" s="67"/>
      <c r="C129" s="63"/>
      <c r="D129" s="64"/>
      <c r="E129" s="65"/>
      <c r="F129" s="66"/>
      <c r="G129" s="62"/>
      <c r="H129" s="64"/>
      <c r="I129" s="62"/>
      <c r="J129" s="64"/>
    </row>
    <row r="130" spans="2:10" s="61" customFormat="1" x14ac:dyDescent="0.3">
      <c r="B130" s="67"/>
      <c r="C130" s="63"/>
      <c r="D130" s="64"/>
      <c r="E130" s="65"/>
      <c r="F130" s="66"/>
      <c r="G130" s="62"/>
      <c r="H130" s="64"/>
      <c r="I130" s="62"/>
      <c r="J130" s="64"/>
    </row>
    <row r="131" spans="2:10" s="61" customFormat="1" x14ac:dyDescent="0.3">
      <c r="B131" s="67"/>
      <c r="C131" s="63"/>
      <c r="D131" s="64"/>
      <c r="E131" s="65"/>
      <c r="F131" s="66"/>
      <c r="G131" s="62"/>
      <c r="H131" s="64"/>
      <c r="I131" s="62"/>
      <c r="J131" s="64"/>
    </row>
    <row r="132" spans="2:10" s="61" customFormat="1" x14ac:dyDescent="0.3">
      <c r="B132" s="67"/>
      <c r="C132" s="63"/>
      <c r="D132" s="64"/>
      <c r="E132" s="65"/>
      <c r="F132" s="66"/>
      <c r="G132" s="62"/>
      <c r="H132" s="64"/>
      <c r="I132" s="62"/>
      <c r="J132" s="64"/>
    </row>
    <row r="133" spans="2:10" s="61" customFormat="1" x14ac:dyDescent="0.3">
      <c r="B133" s="67"/>
      <c r="C133" s="63"/>
      <c r="D133" s="64"/>
      <c r="E133" s="65"/>
      <c r="F133" s="66"/>
      <c r="G133" s="62"/>
      <c r="H133" s="64"/>
      <c r="I133" s="62"/>
      <c r="J133" s="64"/>
    </row>
    <row r="134" spans="2:10" s="61" customFormat="1" x14ac:dyDescent="0.3">
      <c r="B134" s="67"/>
      <c r="C134" s="63"/>
      <c r="D134" s="64"/>
      <c r="E134" s="65"/>
      <c r="F134" s="66"/>
      <c r="G134" s="62"/>
      <c r="H134" s="64"/>
      <c r="I134" s="62"/>
      <c r="J134" s="64"/>
    </row>
    <row r="135" spans="2:10" s="61" customFormat="1" x14ac:dyDescent="0.3">
      <c r="B135" s="67"/>
      <c r="C135" s="63"/>
      <c r="D135" s="64"/>
      <c r="E135" s="65"/>
      <c r="F135" s="66"/>
      <c r="G135" s="62"/>
      <c r="H135" s="64"/>
      <c r="I135" s="62"/>
      <c r="J135" s="64"/>
    </row>
    <row r="136" spans="2:10" s="61" customFormat="1" x14ac:dyDescent="0.3">
      <c r="B136" s="67"/>
      <c r="C136" s="63"/>
      <c r="D136" s="64"/>
      <c r="E136" s="65"/>
      <c r="F136" s="66"/>
      <c r="G136" s="62"/>
      <c r="H136" s="64"/>
      <c r="I136" s="62"/>
      <c r="J136" s="64"/>
    </row>
    <row r="137" spans="2:10" s="61" customFormat="1" x14ac:dyDescent="0.3">
      <c r="B137" s="67"/>
      <c r="C137" s="63"/>
      <c r="D137" s="64"/>
      <c r="E137" s="65"/>
      <c r="F137" s="66"/>
      <c r="G137" s="62"/>
      <c r="H137" s="64"/>
      <c r="I137" s="62"/>
      <c r="J137" s="64"/>
    </row>
    <row r="138" spans="2:10" s="61" customFormat="1" x14ac:dyDescent="0.3">
      <c r="B138" s="67"/>
      <c r="C138" s="63"/>
      <c r="D138" s="64"/>
      <c r="E138" s="65"/>
      <c r="F138" s="66"/>
      <c r="G138" s="62"/>
      <c r="H138" s="64"/>
      <c r="I138" s="62"/>
      <c r="J138" s="64"/>
    </row>
    <row r="139" spans="2:10" s="61" customFormat="1" x14ac:dyDescent="0.3">
      <c r="B139" s="67"/>
      <c r="C139" s="63"/>
      <c r="D139" s="64"/>
      <c r="E139" s="65"/>
      <c r="F139" s="66"/>
      <c r="G139" s="62"/>
      <c r="H139" s="64"/>
      <c r="I139" s="62"/>
      <c r="J139" s="64"/>
    </row>
    <row r="140" spans="2:10" s="61" customFormat="1" x14ac:dyDescent="0.3">
      <c r="B140" s="67"/>
      <c r="C140" s="63"/>
      <c r="D140" s="64"/>
      <c r="E140" s="65"/>
      <c r="F140" s="66"/>
      <c r="G140" s="62"/>
      <c r="H140" s="64"/>
      <c r="I140" s="62"/>
      <c r="J140" s="64"/>
    </row>
    <row r="141" spans="2:10" s="61" customFormat="1" x14ac:dyDescent="0.3">
      <c r="B141" s="67"/>
      <c r="C141" s="63"/>
      <c r="D141" s="64"/>
      <c r="E141" s="65"/>
      <c r="F141" s="66"/>
      <c r="G141" s="62"/>
      <c r="H141" s="64"/>
      <c r="I141" s="62"/>
      <c r="J141" s="64"/>
    </row>
    <row r="142" spans="2:10" s="61" customFormat="1" x14ac:dyDescent="0.3">
      <c r="B142" s="67"/>
      <c r="C142" s="63"/>
      <c r="D142" s="64"/>
      <c r="E142" s="65"/>
      <c r="F142" s="66"/>
      <c r="G142" s="62"/>
      <c r="H142" s="64"/>
      <c r="I142" s="62"/>
      <c r="J142" s="64"/>
    </row>
    <row r="143" spans="2:10" s="61" customFormat="1" x14ac:dyDescent="0.3">
      <c r="B143" s="67"/>
      <c r="C143" s="63"/>
      <c r="D143" s="64"/>
      <c r="E143" s="65"/>
      <c r="F143" s="66"/>
      <c r="G143" s="62"/>
      <c r="H143" s="64"/>
      <c r="I143" s="62"/>
      <c r="J143" s="64"/>
    </row>
    <row r="144" spans="2:10" s="61" customFormat="1" x14ac:dyDescent="0.3">
      <c r="B144" s="67"/>
      <c r="C144" s="63"/>
      <c r="D144" s="64"/>
      <c r="E144" s="65"/>
      <c r="F144" s="66"/>
      <c r="G144" s="62"/>
      <c r="H144" s="64"/>
      <c r="I144" s="62"/>
      <c r="J144" s="64"/>
    </row>
    <row r="145" spans="2:10" s="61" customFormat="1" x14ac:dyDescent="0.3">
      <c r="B145" s="67"/>
      <c r="C145" s="63"/>
      <c r="D145" s="64"/>
      <c r="E145" s="65"/>
      <c r="F145" s="66"/>
      <c r="G145" s="62"/>
      <c r="H145" s="64"/>
      <c r="I145" s="62"/>
      <c r="J145" s="64"/>
    </row>
    <row r="146" spans="2:10" s="61" customFormat="1" x14ac:dyDescent="0.3">
      <c r="B146" s="67"/>
      <c r="C146" s="63"/>
      <c r="D146" s="64"/>
      <c r="E146" s="65"/>
      <c r="F146" s="66"/>
      <c r="G146" s="62"/>
      <c r="H146" s="64"/>
      <c r="I146" s="62"/>
      <c r="J146" s="64"/>
    </row>
    <row r="147" spans="2:10" s="61" customFormat="1" x14ac:dyDescent="0.3">
      <c r="B147" s="67"/>
      <c r="C147" s="63"/>
      <c r="D147" s="64"/>
      <c r="E147" s="65"/>
      <c r="F147" s="66"/>
      <c r="G147" s="62"/>
      <c r="H147" s="64"/>
      <c r="I147" s="62"/>
      <c r="J147" s="64"/>
    </row>
    <row r="148" spans="2:10" s="61" customFormat="1" x14ac:dyDescent="0.3">
      <c r="B148" s="67"/>
      <c r="C148" s="63"/>
      <c r="D148" s="64"/>
      <c r="E148" s="65"/>
      <c r="F148" s="66"/>
      <c r="G148" s="62"/>
      <c r="H148" s="64"/>
      <c r="I148" s="62"/>
      <c r="J148" s="64"/>
    </row>
    <row r="149" spans="2:10" s="61" customFormat="1" x14ac:dyDescent="0.3">
      <c r="B149" s="67"/>
      <c r="C149" s="63"/>
      <c r="D149" s="64"/>
      <c r="E149" s="65"/>
      <c r="F149" s="66"/>
      <c r="G149" s="62"/>
      <c r="H149" s="64"/>
      <c r="I149" s="62"/>
      <c r="J149" s="64"/>
    </row>
    <row r="150" spans="2:10" s="61" customFormat="1" x14ac:dyDescent="0.3">
      <c r="B150" s="67"/>
      <c r="C150" s="63"/>
      <c r="D150" s="64"/>
      <c r="E150" s="65"/>
      <c r="F150" s="66"/>
      <c r="G150" s="62"/>
      <c r="H150" s="64"/>
      <c r="I150" s="62"/>
      <c r="J150" s="64"/>
    </row>
    <row r="151" spans="2:10" s="61" customFormat="1" x14ac:dyDescent="0.3">
      <c r="B151" s="67"/>
      <c r="C151" s="63"/>
      <c r="D151" s="64"/>
      <c r="E151" s="65"/>
      <c r="F151" s="66"/>
      <c r="G151" s="62"/>
      <c r="H151" s="64"/>
      <c r="I151" s="62"/>
      <c r="J151" s="64"/>
    </row>
    <row r="152" spans="2:10" s="61" customFormat="1" x14ac:dyDescent="0.3">
      <c r="B152" s="67"/>
      <c r="C152" s="63"/>
      <c r="D152" s="64"/>
      <c r="E152" s="65"/>
      <c r="F152" s="66"/>
      <c r="G152" s="62"/>
      <c r="H152" s="64"/>
      <c r="I152" s="62"/>
      <c r="J152" s="64"/>
    </row>
    <row r="153" spans="2:10" s="61" customFormat="1" x14ac:dyDescent="0.3">
      <c r="B153" s="67"/>
      <c r="C153" s="63"/>
      <c r="D153" s="64"/>
      <c r="E153" s="65"/>
      <c r="F153" s="66"/>
      <c r="G153" s="62"/>
      <c r="H153" s="64"/>
      <c r="I153" s="62"/>
      <c r="J153" s="64"/>
    </row>
    <row r="154" spans="2:10" s="61" customFormat="1" x14ac:dyDescent="0.3">
      <c r="B154" s="67"/>
      <c r="C154" s="63"/>
      <c r="D154" s="64"/>
      <c r="E154" s="65"/>
      <c r="F154" s="66"/>
      <c r="G154" s="62"/>
      <c r="H154" s="64"/>
      <c r="I154" s="62"/>
      <c r="J154" s="64"/>
    </row>
    <row r="155" spans="2:10" s="61" customFormat="1" x14ac:dyDescent="0.3">
      <c r="B155" s="67"/>
      <c r="C155" s="63"/>
      <c r="D155" s="64"/>
      <c r="E155" s="65"/>
      <c r="F155" s="66"/>
      <c r="G155" s="62"/>
      <c r="H155" s="64"/>
      <c r="I155" s="62"/>
      <c r="J155" s="64"/>
    </row>
    <row r="156" spans="2:10" s="61" customFormat="1" x14ac:dyDescent="0.3">
      <c r="B156" s="67"/>
      <c r="C156" s="63"/>
      <c r="D156" s="64"/>
      <c r="E156" s="65"/>
      <c r="F156" s="66"/>
      <c r="G156" s="62"/>
      <c r="H156" s="64"/>
      <c r="I156" s="62"/>
      <c r="J156" s="64"/>
    </row>
    <row r="157" spans="2:10" s="61" customFormat="1" x14ac:dyDescent="0.3">
      <c r="B157" s="67"/>
      <c r="C157" s="63"/>
      <c r="D157" s="64"/>
      <c r="E157" s="65"/>
      <c r="F157" s="66"/>
      <c r="G157" s="62"/>
      <c r="H157" s="64"/>
      <c r="I157" s="62"/>
      <c r="J157" s="64"/>
    </row>
    <row r="158" spans="2:10" s="61" customFormat="1" x14ac:dyDescent="0.3">
      <c r="B158" s="67"/>
      <c r="C158" s="63"/>
      <c r="D158" s="64"/>
      <c r="E158" s="65"/>
      <c r="F158" s="66"/>
      <c r="G158" s="62"/>
      <c r="H158" s="64"/>
      <c r="I158" s="62"/>
      <c r="J158" s="64"/>
    </row>
    <row r="159" spans="2:10" s="61" customFormat="1" x14ac:dyDescent="0.3">
      <c r="B159" s="67"/>
      <c r="C159" s="63"/>
      <c r="D159" s="64"/>
      <c r="E159" s="65"/>
      <c r="F159" s="66"/>
      <c r="G159" s="62"/>
      <c r="H159" s="64"/>
      <c r="I159" s="62"/>
      <c r="J159" s="64"/>
    </row>
    <row r="160" spans="2:10" s="61" customFormat="1" x14ac:dyDescent="0.3">
      <c r="B160" s="67"/>
      <c r="C160" s="63"/>
      <c r="D160" s="64"/>
      <c r="E160" s="65"/>
      <c r="F160" s="66"/>
      <c r="G160" s="62"/>
      <c r="H160" s="64"/>
      <c r="I160" s="62"/>
      <c r="J160" s="64"/>
    </row>
    <row r="161" spans="2:10" s="61" customFormat="1" x14ac:dyDescent="0.3">
      <c r="B161" s="67"/>
      <c r="C161" s="63"/>
      <c r="D161" s="64"/>
      <c r="E161" s="65"/>
      <c r="F161" s="66"/>
      <c r="G161" s="62"/>
      <c r="H161" s="64"/>
      <c r="I161" s="62"/>
      <c r="J161" s="64"/>
    </row>
    <row r="162" spans="2:10" s="61" customFormat="1" x14ac:dyDescent="0.3">
      <c r="B162" s="67"/>
      <c r="C162" s="63"/>
      <c r="D162" s="64"/>
      <c r="E162" s="65"/>
      <c r="F162" s="66"/>
      <c r="G162" s="62"/>
      <c r="H162" s="64"/>
      <c r="I162" s="62"/>
      <c r="J162" s="64"/>
    </row>
    <row r="163" spans="2:10" s="61" customFormat="1" x14ac:dyDescent="0.3">
      <c r="B163" s="67"/>
      <c r="C163" s="63"/>
      <c r="D163" s="64"/>
      <c r="E163" s="65"/>
      <c r="F163" s="66"/>
      <c r="G163" s="62"/>
      <c r="H163" s="64"/>
      <c r="I163" s="62"/>
      <c r="J163" s="64"/>
    </row>
    <row r="164" spans="2:10" s="61" customFormat="1" x14ac:dyDescent="0.3">
      <c r="B164" s="67"/>
      <c r="C164" s="63"/>
      <c r="D164" s="64"/>
      <c r="E164" s="65"/>
      <c r="F164" s="66"/>
      <c r="G164" s="62"/>
      <c r="H164" s="64"/>
      <c r="I164" s="62"/>
      <c r="J164" s="64"/>
    </row>
    <row r="165" spans="2:10" s="61" customFormat="1" x14ac:dyDescent="0.3">
      <c r="B165" s="67"/>
      <c r="C165" s="63"/>
      <c r="D165" s="64"/>
      <c r="E165" s="65"/>
      <c r="F165" s="66"/>
      <c r="G165" s="62"/>
      <c r="H165" s="64"/>
      <c r="I165" s="62"/>
      <c r="J165" s="64"/>
    </row>
    <row r="166" spans="2:10" s="61" customFormat="1" x14ac:dyDescent="0.3">
      <c r="B166" s="67"/>
      <c r="C166" s="63"/>
      <c r="D166" s="64"/>
      <c r="E166" s="65"/>
      <c r="F166" s="66"/>
      <c r="G166" s="62"/>
      <c r="H166" s="64"/>
      <c r="I166" s="62"/>
      <c r="J166" s="64"/>
    </row>
    <row r="167" spans="2:10" s="61" customFormat="1" x14ac:dyDescent="0.3">
      <c r="B167" s="67"/>
      <c r="C167" s="63"/>
      <c r="D167" s="64"/>
      <c r="E167" s="65"/>
      <c r="F167" s="66"/>
      <c r="G167" s="62"/>
      <c r="H167" s="64"/>
      <c r="I167" s="62"/>
      <c r="J167" s="64"/>
    </row>
    <row r="168" spans="2:10" s="61" customFormat="1" x14ac:dyDescent="0.3">
      <c r="B168" s="67"/>
      <c r="C168" s="63"/>
      <c r="D168" s="64"/>
      <c r="E168" s="65"/>
      <c r="F168" s="66"/>
      <c r="G168" s="62"/>
      <c r="H168" s="64"/>
      <c r="I168" s="62"/>
      <c r="J168" s="64"/>
    </row>
    <row r="169" spans="2:10" s="61" customFormat="1" x14ac:dyDescent="0.3">
      <c r="B169" s="67"/>
      <c r="C169" s="63"/>
      <c r="D169" s="64"/>
      <c r="E169" s="65"/>
      <c r="F169" s="66"/>
      <c r="G169" s="62"/>
      <c r="H169" s="64"/>
      <c r="I169" s="62"/>
      <c r="J169" s="64"/>
    </row>
    <row r="170" spans="2:10" s="61" customFormat="1" x14ac:dyDescent="0.3">
      <c r="B170" s="67"/>
      <c r="C170" s="63"/>
      <c r="D170" s="64"/>
      <c r="E170" s="65"/>
      <c r="F170" s="66"/>
      <c r="G170" s="62"/>
      <c r="H170" s="64"/>
      <c r="I170" s="62"/>
      <c r="J170" s="64"/>
    </row>
    <row r="171" spans="2:10" s="61" customFormat="1" x14ac:dyDescent="0.3">
      <c r="B171" s="67"/>
      <c r="C171" s="63"/>
      <c r="D171" s="64"/>
      <c r="E171" s="65"/>
      <c r="F171" s="66"/>
      <c r="G171" s="62"/>
      <c r="H171" s="64"/>
      <c r="I171" s="62"/>
      <c r="J171" s="64"/>
    </row>
    <row r="172" spans="2:10" s="61" customFormat="1" x14ac:dyDescent="0.3">
      <c r="B172" s="67"/>
      <c r="C172" s="63"/>
      <c r="D172" s="64"/>
      <c r="E172" s="65"/>
      <c r="F172" s="66"/>
      <c r="G172" s="62"/>
      <c r="H172" s="64"/>
      <c r="I172" s="62"/>
      <c r="J172" s="64"/>
    </row>
    <row r="173" spans="2:10" s="61" customFormat="1" x14ac:dyDescent="0.3">
      <c r="B173" s="67"/>
      <c r="C173" s="63"/>
      <c r="D173" s="64"/>
      <c r="E173" s="65"/>
      <c r="F173" s="66"/>
      <c r="G173" s="62"/>
      <c r="H173" s="64"/>
      <c r="I173" s="62"/>
      <c r="J173" s="64"/>
    </row>
    <row r="174" spans="2:10" s="61" customFormat="1" x14ac:dyDescent="0.3">
      <c r="B174" s="67"/>
      <c r="C174" s="63"/>
      <c r="D174" s="64"/>
      <c r="E174" s="65"/>
      <c r="F174" s="66"/>
      <c r="G174" s="62"/>
      <c r="H174" s="64"/>
      <c r="I174" s="62"/>
      <c r="J174" s="64"/>
    </row>
    <row r="175" spans="2:10" s="61" customFormat="1" x14ac:dyDescent="0.3">
      <c r="B175" s="67"/>
      <c r="C175" s="63"/>
      <c r="D175" s="64"/>
      <c r="E175" s="65"/>
      <c r="F175" s="66"/>
      <c r="G175" s="62"/>
      <c r="H175" s="64"/>
      <c r="I175" s="62"/>
      <c r="J175" s="64"/>
    </row>
    <row r="176" spans="2:10" s="61" customFormat="1" x14ac:dyDescent="0.3">
      <c r="B176" s="67"/>
      <c r="C176" s="63"/>
      <c r="D176" s="64"/>
      <c r="E176" s="65"/>
      <c r="F176" s="66"/>
      <c r="G176" s="62"/>
      <c r="H176" s="64"/>
      <c r="I176" s="62"/>
      <c r="J176" s="64"/>
    </row>
    <row r="177" spans="2:10" s="61" customFormat="1" x14ac:dyDescent="0.3">
      <c r="B177" s="67"/>
      <c r="C177" s="63"/>
      <c r="D177" s="64"/>
      <c r="E177" s="65"/>
      <c r="F177" s="66"/>
      <c r="G177" s="62"/>
      <c r="H177" s="64"/>
      <c r="I177" s="62"/>
      <c r="J177" s="64"/>
    </row>
    <row r="178" spans="2:10" s="61" customFormat="1" x14ac:dyDescent="0.3">
      <c r="B178" s="67"/>
      <c r="C178" s="63"/>
      <c r="D178" s="64"/>
      <c r="E178" s="65"/>
      <c r="F178" s="66"/>
      <c r="G178" s="62"/>
      <c r="H178" s="64"/>
      <c r="I178" s="62"/>
      <c r="J178" s="64"/>
    </row>
    <row r="179" spans="2:10" s="61" customFormat="1" x14ac:dyDescent="0.3">
      <c r="B179" s="67"/>
      <c r="C179" s="63"/>
      <c r="D179" s="64"/>
      <c r="E179" s="65"/>
      <c r="F179" s="66"/>
      <c r="G179" s="62"/>
      <c r="H179" s="64"/>
      <c r="I179" s="62"/>
      <c r="J179" s="64"/>
    </row>
    <row r="180" spans="2:10" s="61" customFormat="1" x14ac:dyDescent="0.3">
      <c r="B180" s="67"/>
      <c r="C180" s="63"/>
      <c r="D180" s="64"/>
      <c r="E180" s="65"/>
      <c r="F180" s="66"/>
      <c r="G180" s="62"/>
      <c r="H180" s="64"/>
      <c r="I180" s="62"/>
      <c r="J180" s="64"/>
    </row>
    <row r="181" spans="2:10" s="61" customFormat="1" x14ac:dyDescent="0.3">
      <c r="B181" s="67"/>
      <c r="C181" s="63"/>
      <c r="D181" s="64"/>
      <c r="E181" s="65"/>
      <c r="F181" s="66"/>
      <c r="G181" s="62"/>
      <c r="H181" s="64"/>
      <c r="I181" s="62"/>
      <c r="J181" s="64"/>
    </row>
    <row r="182" spans="2:10" s="61" customFormat="1" x14ac:dyDescent="0.3">
      <c r="B182" s="67"/>
      <c r="C182" s="63"/>
      <c r="D182" s="64"/>
      <c r="E182" s="65"/>
      <c r="F182" s="66"/>
      <c r="G182" s="62"/>
      <c r="H182" s="64"/>
      <c r="I182" s="62"/>
      <c r="J182" s="64"/>
    </row>
    <row r="183" spans="2:10" s="61" customFormat="1" x14ac:dyDescent="0.3">
      <c r="B183" s="67"/>
      <c r="C183" s="63"/>
      <c r="D183" s="64"/>
      <c r="E183" s="65"/>
      <c r="F183" s="66"/>
      <c r="G183" s="62"/>
      <c r="H183" s="64"/>
      <c r="I183" s="62"/>
      <c r="J183" s="64"/>
    </row>
    <row r="184" spans="2:10" s="61" customFormat="1" x14ac:dyDescent="0.3">
      <c r="B184" s="67"/>
      <c r="C184" s="63"/>
      <c r="D184" s="64"/>
      <c r="E184" s="65"/>
      <c r="F184" s="66"/>
      <c r="G184" s="62"/>
      <c r="H184" s="64"/>
      <c r="I184" s="62"/>
      <c r="J184" s="64"/>
    </row>
    <row r="185" spans="2:10" s="61" customFormat="1" x14ac:dyDescent="0.3">
      <c r="B185" s="67"/>
      <c r="C185" s="63"/>
      <c r="D185" s="64"/>
      <c r="E185" s="65"/>
      <c r="F185" s="66"/>
      <c r="G185" s="62"/>
      <c r="H185" s="64"/>
      <c r="I185" s="62"/>
      <c r="J185" s="64"/>
    </row>
    <row r="186" spans="2:10" s="61" customFormat="1" x14ac:dyDescent="0.3">
      <c r="B186" s="67"/>
      <c r="C186" s="63"/>
      <c r="D186" s="64"/>
      <c r="E186" s="65"/>
      <c r="F186" s="66"/>
      <c r="G186" s="62"/>
      <c r="H186" s="64"/>
      <c r="I186" s="62"/>
      <c r="J186" s="64"/>
    </row>
    <row r="187" spans="2:10" s="61" customFormat="1" x14ac:dyDescent="0.3">
      <c r="B187" s="67"/>
      <c r="C187" s="63"/>
      <c r="D187" s="64"/>
      <c r="E187" s="65"/>
      <c r="F187" s="66"/>
      <c r="G187" s="62"/>
      <c r="H187" s="64"/>
      <c r="I187" s="62"/>
      <c r="J187" s="64"/>
    </row>
    <row r="188" spans="2:10" s="61" customFormat="1" x14ac:dyDescent="0.3">
      <c r="B188" s="67"/>
      <c r="C188" s="63"/>
      <c r="D188" s="64"/>
      <c r="E188" s="65"/>
      <c r="F188" s="66"/>
      <c r="G188" s="62"/>
      <c r="H188" s="64"/>
      <c r="I188" s="62"/>
      <c r="J188" s="64"/>
    </row>
    <row r="189" spans="2:10" s="61" customFormat="1" x14ac:dyDescent="0.3">
      <c r="B189" s="67"/>
      <c r="C189" s="63"/>
      <c r="D189" s="64"/>
      <c r="E189" s="65"/>
      <c r="F189" s="66"/>
      <c r="G189" s="62"/>
      <c r="H189" s="64"/>
      <c r="I189" s="62"/>
      <c r="J189" s="64"/>
    </row>
    <row r="190" spans="2:10" s="61" customFormat="1" x14ac:dyDescent="0.3">
      <c r="B190" s="67"/>
      <c r="C190" s="63"/>
      <c r="D190" s="64"/>
      <c r="E190" s="65"/>
      <c r="F190" s="66"/>
      <c r="G190" s="62"/>
      <c r="H190" s="64"/>
      <c r="I190" s="62"/>
      <c r="J190" s="64"/>
    </row>
    <row r="191" spans="2:10" s="61" customFormat="1" x14ac:dyDescent="0.3">
      <c r="B191" s="67"/>
      <c r="C191" s="63"/>
      <c r="D191" s="64"/>
      <c r="E191" s="65"/>
      <c r="F191" s="66"/>
      <c r="G191" s="62"/>
      <c r="H191" s="64"/>
      <c r="I191" s="62"/>
      <c r="J191" s="64"/>
    </row>
    <row r="192" spans="2:10" s="61" customFormat="1" x14ac:dyDescent="0.3">
      <c r="B192" s="67"/>
      <c r="C192" s="63"/>
      <c r="D192" s="64"/>
      <c r="E192" s="65"/>
      <c r="F192" s="66"/>
      <c r="G192" s="62"/>
      <c r="H192" s="64"/>
      <c r="I192" s="62"/>
      <c r="J192" s="64"/>
    </row>
    <row r="193" spans="2:10" s="61" customFormat="1" x14ac:dyDescent="0.3">
      <c r="B193" s="67"/>
      <c r="C193" s="63"/>
      <c r="D193" s="64"/>
      <c r="E193" s="65"/>
      <c r="F193" s="66"/>
      <c r="G193" s="62"/>
      <c r="H193" s="64"/>
      <c r="I193" s="62"/>
      <c r="J193" s="64"/>
    </row>
    <row r="194" spans="2:10" s="61" customFormat="1" x14ac:dyDescent="0.3">
      <c r="B194" s="67"/>
      <c r="C194" s="63"/>
      <c r="D194" s="64"/>
      <c r="E194" s="65"/>
      <c r="F194" s="66"/>
      <c r="G194" s="62"/>
      <c r="H194" s="64"/>
      <c r="I194" s="62"/>
      <c r="J194" s="64"/>
    </row>
    <row r="195" spans="2:10" s="61" customFormat="1" x14ac:dyDescent="0.3">
      <c r="B195" s="67"/>
      <c r="C195" s="63"/>
      <c r="D195" s="64"/>
      <c r="E195" s="65"/>
      <c r="F195" s="66"/>
      <c r="G195" s="62"/>
      <c r="H195" s="64"/>
      <c r="I195" s="62"/>
      <c r="J195" s="64"/>
    </row>
    <row r="196" spans="2:10" s="61" customFormat="1" x14ac:dyDescent="0.3">
      <c r="B196" s="67"/>
      <c r="C196" s="63"/>
      <c r="D196" s="64"/>
      <c r="E196" s="65"/>
      <c r="F196" s="66"/>
      <c r="G196" s="62"/>
      <c r="H196" s="64"/>
      <c r="I196" s="62"/>
      <c r="J196" s="64"/>
    </row>
    <row r="197" spans="2:10" s="61" customFormat="1" x14ac:dyDescent="0.3">
      <c r="B197" s="67"/>
      <c r="C197" s="63"/>
      <c r="D197" s="64"/>
      <c r="E197" s="65"/>
      <c r="F197" s="66"/>
      <c r="G197" s="62"/>
      <c r="H197" s="64"/>
      <c r="I197" s="62"/>
      <c r="J197" s="64"/>
    </row>
    <row r="198" spans="2:10" s="61" customFormat="1" x14ac:dyDescent="0.3">
      <c r="B198" s="67"/>
      <c r="C198" s="63"/>
      <c r="D198" s="64"/>
      <c r="E198" s="65"/>
      <c r="F198" s="66"/>
      <c r="G198" s="62"/>
      <c r="H198" s="64"/>
      <c r="I198" s="62"/>
      <c r="J198" s="64"/>
    </row>
    <row r="199" spans="2:10" s="61" customFormat="1" x14ac:dyDescent="0.3">
      <c r="B199" s="67"/>
      <c r="C199" s="63"/>
      <c r="D199" s="64"/>
      <c r="E199" s="65"/>
      <c r="F199" s="66"/>
      <c r="G199" s="62"/>
      <c r="H199" s="64"/>
      <c r="I199" s="62"/>
      <c r="J199" s="64"/>
    </row>
    <row r="200" spans="2:10" s="61" customFormat="1" x14ac:dyDescent="0.3">
      <c r="B200" s="67"/>
      <c r="C200" s="63"/>
      <c r="D200" s="64"/>
      <c r="E200" s="65"/>
      <c r="F200" s="66"/>
      <c r="G200" s="62"/>
      <c r="H200" s="64"/>
      <c r="I200" s="62"/>
      <c r="J200" s="64"/>
    </row>
    <row r="201" spans="2:10" s="61" customFormat="1" x14ac:dyDescent="0.3">
      <c r="B201" s="67"/>
      <c r="C201" s="63"/>
      <c r="D201" s="64"/>
      <c r="E201" s="65"/>
      <c r="F201" s="66"/>
      <c r="G201" s="62"/>
      <c r="H201" s="64"/>
      <c r="I201" s="62"/>
      <c r="J201" s="64"/>
    </row>
    <row r="202" spans="2:10" s="61" customFormat="1" x14ac:dyDescent="0.3">
      <c r="B202" s="67"/>
      <c r="C202" s="63"/>
      <c r="D202" s="64"/>
      <c r="E202" s="65"/>
      <c r="F202" s="66"/>
      <c r="G202" s="62"/>
      <c r="H202" s="64"/>
      <c r="I202" s="62"/>
      <c r="J202" s="64"/>
    </row>
    <row r="203" spans="2:10" s="61" customFormat="1" x14ac:dyDescent="0.3">
      <c r="B203" s="67"/>
      <c r="C203" s="63"/>
      <c r="D203" s="64"/>
      <c r="E203" s="65"/>
      <c r="F203" s="66"/>
      <c r="G203" s="62"/>
      <c r="H203" s="64"/>
      <c r="I203" s="62"/>
      <c r="J203" s="64"/>
    </row>
    <row r="204" spans="2:10" s="61" customFormat="1" x14ac:dyDescent="0.3">
      <c r="B204" s="67"/>
      <c r="C204" s="63"/>
      <c r="D204" s="64"/>
      <c r="E204" s="65"/>
      <c r="F204" s="66"/>
      <c r="G204" s="62"/>
      <c r="H204" s="64"/>
      <c r="I204" s="62"/>
      <c r="J204" s="64"/>
    </row>
    <row r="205" spans="2:10" s="61" customFormat="1" x14ac:dyDescent="0.3">
      <c r="B205" s="67"/>
      <c r="C205" s="63"/>
      <c r="D205" s="64"/>
      <c r="E205" s="65"/>
      <c r="F205" s="66"/>
      <c r="G205" s="62"/>
      <c r="H205" s="64"/>
      <c r="I205" s="62"/>
      <c r="J205" s="64"/>
    </row>
    <row r="206" spans="2:10" s="61" customFormat="1" x14ac:dyDescent="0.3">
      <c r="B206" s="67"/>
      <c r="C206" s="63"/>
      <c r="D206" s="64"/>
      <c r="E206" s="65"/>
      <c r="F206" s="66"/>
      <c r="G206" s="62"/>
      <c r="H206" s="64"/>
      <c r="I206" s="62"/>
      <c r="J206" s="64"/>
    </row>
    <row r="207" spans="2:10" s="61" customFormat="1" x14ac:dyDescent="0.3">
      <c r="B207" s="67"/>
      <c r="C207" s="63"/>
      <c r="D207" s="64"/>
      <c r="E207" s="65"/>
      <c r="F207" s="66"/>
      <c r="G207" s="62"/>
      <c r="H207" s="64"/>
      <c r="I207" s="62"/>
      <c r="J207" s="64"/>
    </row>
    <row r="208" spans="2:10" s="61" customFormat="1" x14ac:dyDescent="0.3">
      <c r="B208" s="67"/>
      <c r="C208" s="63"/>
      <c r="D208" s="64"/>
      <c r="E208" s="65"/>
      <c r="F208" s="66"/>
      <c r="G208" s="62"/>
      <c r="H208" s="64"/>
      <c r="I208" s="62"/>
      <c r="J208" s="64"/>
    </row>
    <row r="209" spans="2:10" s="61" customFormat="1" x14ac:dyDescent="0.3">
      <c r="B209" s="67"/>
      <c r="C209" s="63"/>
      <c r="D209" s="64"/>
      <c r="E209" s="65"/>
      <c r="F209" s="66"/>
      <c r="G209" s="62"/>
      <c r="H209" s="64"/>
      <c r="I209" s="62"/>
      <c r="J209" s="64"/>
    </row>
    <row r="210" spans="2:10" s="61" customFormat="1" x14ac:dyDescent="0.3">
      <c r="B210" s="67"/>
      <c r="C210" s="63"/>
      <c r="D210" s="64"/>
      <c r="E210" s="65"/>
      <c r="F210" s="66"/>
      <c r="G210" s="62"/>
      <c r="H210" s="64"/>
      <c r="I210" s="62"/>
      <c r="J210" s="64"/>
    </row>
    <row r="211" spans="2:10" s="61" customFormat="1" x14ac:dyDescent="0.3">
      <c r="B211" s="67"/>
      <c r="C211" s="63"/>
      <c r="D211" s="64"/>
      <c r="E211" s="65"/>
      <c r="F211" s="66"/>
      <c r="G211" s="62"/>
      <c r="H211" s="64"/>
      <c r="I211" s="62"/>
      <c r="J211" s="64"/>
    </row>
    <row r="212" spans="2:10" s="61" customFormat="1" x14ac:dyDescent="0.3">
      <c r="B212" s="67"/>
      <c r="C212" s="63"/>
      <c r="D212" s="64"/>
      <c r="E212" s="65"/>
      <c r="F212" s="66"/>
      <c r="G212" s="62"/>
      <c r="H212" s="64"/>
      <c r="I212" s="62"/>
      <c r="J212" s="64"/>
    </row>
    <row r="213" spans="2:10" s="61" customFormat="1" x14ac:dyDescent="0.3">
      <c r="B213" s="67"/>
      <c r="C213" s="63"/>
      <c r="D213" s="64"/>
      <c r="E213" s="65"/>
      <c r="F213" s="66"/>
      <c r="G213" s="62"/>
      <c r="H213" s="64"/>
      <c r="I213" s="62"/>
      <c r="J213" s="64"/>
    </row>
    <row r="214" spans="2:10" s="61" customFormat="1" x14ac:dyDescent="0.3">
      <c r="B214" s="67"/>
      <c r="C214" s="63"/>
      <c r="D214" s="64"/>
      <c r="E214" s="65"/>
      <c r="F214" s="66"/>
      <c r="G214" s="62"/>
      <c r="H214" s="64"/>
      <c r="I214" s="62"/>
      <c r="J214" s="64"/>
    </row>
    <row r="215" spans="2:10" s="61" customFormat="1" x14ac:dyDescent="0.3">
      <c r="B215" s="67"/>
      <c r="C215" s="63"/>
      <c r="D215" s="64"/>
      <c r="E215" s="65"/>
      <c r="F215" s="66"/>
      <c r="G215" s="62"/>
      <c r="H215" s="64"/>
      <c r="I215" s="62"/>
      <c r="J215" s="64"/>
    </row>
    <row r="216" spans="2:10" s="61" customFormat="1" x14ac:dyDescent="0.3">
      <c r="B216" s="67"/>
      <c r="C216" s="63"/>
      <c r="D216" s="64"/>
      <c r="E216" s="65"/>
      <c r="F216" s="66"/>
      <c r="G216" s="62"/>
      <c r="H216" s="64"/>
      <c r="I216" s="62"/>
      <c r="J216" s="64"/>
    </row>
    <row r="217" spans="2:10" s="61" customFormat="1" x14ac:dyDescent="0.3">
      <c r="B217" s="67"/>
      <c r="C217" s="63"/>
      <c r="D217" s="64"/>
      <c r="E217" s="65"/>
      <c r="F217" s="66"/>
      <c r="G217" s="62"/>
      <c r="H217" s="64"/>
      <c r="I217" s="62"/>
      <c r="J217" s="64"/>
    </row>
    <row r="218" spans="2:10" s="61" customFormat="1" x14ac:dyDescent="0.3">
      <c r="B218" s="67"/>
      <c r="C218" s="63"/>
      <c r="D218" s="64"/>
      <c r="E218" s="65"/>
      <c r="F218" s="66"/>
      <c r="G218" s="62"/>
      <c r="H218" s="64"/>
      <c r="I218" s="62"/>
      <c r="J218" s="64"/>
    </row>
    <row r="219" spans="2:10" s="61" customFormat="1" x14ac:dyDescent="0.3">
      <c r="B219" s="67"/>
      <c r="C219" s="63"/>
      <c r="D219" s="64"/>
      <c r="E219" s="65"/>
      <c r="F219" s="66"/>
      <c r="G219" s="62"/>
      <c r="H219" s="64"/>
      <c r="I219" s="62"/>
      <c r="J219" s="64"/>
    </row>
    <row r="220" spans="2:10" s="61" customFormat="1" x14ac:dyDescent="0.3">
      <c r="B220" s="67"/>
      <c r="C220" s="63"/>
      <c r="D220" s="64"/>
      <c r="E220" s="65"/>
      <c r="F220" s="66"/>
      <c r="G220" s="62"/>
      <c r="H220" s="64"/>
      <c r="I220" s="62"/>
      <c r="J220" s="64"/>
    </row>
    <row r="221" spans="2:10" s="61" customFormat="1" x14ac:dyDescent="0.3">
      <c r="B221" s="67"/>
      <c r="C221" s="63"/>
      <c r="D221" s="64"/>
      <c r="E221" s="65"/>
      <c r="F221" s="66"/>
      <c r="G221" s="62"/>
      <c r="H221" s="64"/>
      <c r="I221" s="62"/>
      <c r="J221" s="64"/>
    </row>
    <row r="222" spans="2:10" s="61" customFormat="1" x14ac:dyDescent="0.3">
      <c r="B222" s="67"/>
      <c r="C222" s="63"/>
      <c r="D222" s="64"/>
      <c r="E222" s="65"/>
      <c r="F222" s="66"/>
      <c r="G222" s="62"/>
      <c r="H222" s="64"/>
      <c r="I222" s="62"/>
      <c r="J222" s="64"/>
    </row>
    <row r="223" spans="2:10" s="61" customFormat="1" x14ac:dyDescent="0.3">
      <c r="B223" s="67"/>
      <c r="C223" s="63"/>
      <c r="D223" s="64"/>
      <c r="E223" s="65"/>
      <c r="F223" s="66"/>
      <c r="G223" s="62"/>
      <c r="H223" s="64"/>
      <c r="I223" s="62"/>
      <c r="J223" s="64"/>
    </row>
    <row r="224" spans="2:10" s="61" customFormat="1" x14ac:dyDescent="0.3">
      <c r="B224" s="67"/>
      <c r="C224" s="63"/>
      <c r="D224" s="64"/>
      <c r="E224" s="65"/>
      <c r="F224" s="66"/>
      <c r="G224" s="62"/>
      <c r="H224" s="64"/>
      <c r="I224" s="62"/>
      <c r="J224" s="64"/>
    </row>
    <row r="225" spans="2:10" s="61" customFormat="1" x14ac:dyDescent="0.3">
      <c r="B225" s="67"/>
      <c r="C225" s="63"/>
      <c r="D225" s="64"/>
      <c r="E225" s="65"/>
      <c r="F225" s="66"/>
      <c r="G225" s="62"/>
      <c r="H225" s="64"/>
      <c r="I225" s="62"/>
      <c r="J225" s="64"/>
    </row>
    <row r="226" spans="2:10" s="61" customFormat="1" x14ac:dyDescent="0.3">
      <c r="B226" s="67"/>
      <c r="C226" s="63"/>
      <c r="D226" s="64"/>
      <c r="E226" s="65"/>
      <c r="F226" s="66"/>
      <c r="G226" s="62"/>
      <c r="H226" s="64"/>
      <c r="I226" s="62"/>
      <c r="J226" s="64"/>
    </row>
    <row r="227" spans="2:10" s="61" customFormat="1" x14ac:dyDescent="0.3">
      <c r="B227" s="67"/>
      <c r="C227" s="63"/>
      <c r="D227" s="64"/>
      <c r="E227" s="65"/>
      <c r="F227" s="66"/>
      <c r="G227" s="62"/>
      <c r="H227" s="64"/>
      <c r="I227" s="62"/>
      <c r="J227" s="64"/>
    </row>
    <row r="228" spans="2:10" s="61" customFormat="1" x14ac:dyDescent="0.3">
      <c r="B228" s="67"/>
      <c r="C228" s="63"/>
      <c r="D228" s="64"/>
      <c r="E228" s="65"/>
      <c r="F228" s="66"/>
      <c r="G228" s="62"/>
      <c r="H228" s="64"/>
      <c r="I228" s="62"/>
      <c r="J228" s="64"/>
    </row>
    <row r="229" spans="2:10" s="61" customFormat="1" x14ac:dyDescent="0.3">
      <c r="B229" s="67"/>
      <c r="C229" s="63"/>
      <c r="D229" s="64"/>
      <c r="E229" s="65"/>
      <c r="F229" s="66"/>
      <c r="G229" s="62"/>
      <c r="H229" s="64"/>
      <c r="I229" s="62"/>
      <c r="J229" s="64"/>
    </row>
    <row r="230" spans="2:10" s="61" customFormat="1" x14ac:dyDescent="0.3">
      <c r="B230" s="67"/>
      <c r="C230" s="63"/>
      <c r="D230" s="64"/>
      <c r="E230" s="65"/>
      <c r="F230" s="66"/>
      <c r="G230" s="62"/>
      <c r="H230" s="64"/>
      <c r="I230" s="62"/>
      <c r="J230" s="64"/>
    </row>
    <row r="231" spans="2:10" s="61" customFormat="1" x14ac:dyDescent="0.3">
      <c r="B231" s="67"/>
      <c r="C231" s="63"/>
      <c r="D231" s="64"/>
      <c r="E231" s="65"/>
      <c r="F231" s="66"/>
      <c r="G231" s="62"/>
      <c r="H231" s="64"/>
      <c r="I231" s="62"/>
      <c r="J231" s="64"/>
    </row>
    <row r="232" spans="2:10" s="61" customFormat="1" x14ac:dyDescent="0.3">
      <c r="B232" s="67"/>
      <c r="C232" s="63"/>
      <c r="D232" s="64"/>
      <c r="E232" s="65"/>
      <c r="F232" s="66"/>
      <c r="G232" s="62"/>
      <c r="H232" s="64"/>
      <c r="I232" s="62"/>
      <c r="J232" s="64"/>
    </row>
    <row r="233" spans="2:10" s="61" customFormat="1" x14ac:dyDescent="0.3">
      <c r="B233" s="67"/>
      <c r="C233" s="63"/>
      <c r="D233" s="64"/>
      <c r="E233" s="65"/>
      <c r="F233" s="66"/>
      <c r="G233" s="62"/>
      <c r="H233" s="64"/>
      <c r="I233" s="62"/>
      <c r="J233" s="64"/>
    </row>
    <row r="234" spans="2:10" s="61" customFormat="1" x14ac:dyDescent="0.3">
      <c r="B234" s="67"/>
      <c r="C234" s="63"/>
      <c r="D234" s="64"/>
      <c r="E234" s="65"/>
      <c r="F234" s="66"/>
      <c r="G234" s="62"/>
      <c r="H234" s="64"/>
      <c r="I234" s="62"/>
      <c r="J234" s="64"/>
    </row>
    <row r="235" spans="2:10" s="61" customFormat="1" x14ac:dyDescent="0.3">
      <c r="B235" s="67"/>
      <c r="C235" s="63"/>
      <c r="D235" s="64"/>
      <c r="E235" s="65"/>
      <c r="F235" s="66"/>
      <c r="G235" s="62"/>
      <c r="H235" s="64"/>
      <c r="I235" s="62"/>
      <c r="J235" s="64"/>
    </row>
    <row r="236" spans="2:10" s="61" customFormat="1" x14ac:dyDescent="0.3">
      <c r="B236" s="67"/>
      <c r="C236" s="63"/>
      <c r="D236" s="64"/>
      <c r="E236" s="65"/>
      <c r="F236" s="66"/>
      <c r="G236" s="62"/>
      <c r="H236" s="64"/>
      <c r="I236" s="62"/>
      <c r="J236" s="64"/>
    </row>
    <row r="237" spans="2:10" s="61" customFormat="1" x14ac:dyDescent="0.3">
      <c r="B237" s="67"/>
      <c r="C237" s="63"/>
      <c r="D237" s="64"/>
      <c r="E237" s="65"/>
      <c r="F237" s="66"/>
      <c r="G237" s="62"/>
      <c r="H237" s="64"/>
      <c r="I237" s="62"/>
      <c r="J237" s="64"/>
    </row>
    <row r="238" spans="2:10" s="61" customFormat="1" x14ac:dyDescent="0.3">
      <c r="B238" s="67"/>
      <c r="C238" s="63"/>
      <c r="D238" s="64"/>
      <c r="E238" s="65"/>
      <c r="F238" s="66"/>
      <c r="G238" s="62"/>
      <c r="H238" s="64"/>
      <c r="I238" s="62"/>
      <c r="J238" s="64"/>
    </row>
    <row r="239" spans="2:10" s="61" customFormat="1" x14ac:dyDescent="0.3">
      <c r="B239" s="67"/>
      <c r="C239" s="63"/>
      <c r="D239" s="64"/>
      <c r="E239" s="65"/>
      <c r="F239" s="66"/>
      <c r="G239" s="62"/>
      <c r="H239" s="64"/>
      <c r="I239" s="62"/>
      <c r="J239" s="64"/>
    </row>
    <row r="240" spans="2:10" s="61" customFormat="1" x14ac:dyDescent="0.3">
      <c r="B240" s="67"/>
      <c r="C240" s="63"/>
      <c r="D240" s="64"/>
      <c r="E240" s="65"/>
      <c r="F240" s="66"/>
      <c r="G240" s="62"/>
      <c r="H240" s="64"/>
      <c r="I240" s="62"/>
      <c r="J240" s="64"/>
    </row>
    <row r="241" spans="2:10" s="61" customFormat="1" x14ac:dyDescent="0.3">
      <c r="B241" s="67"/>
      <c r="C241" s="63"/>
      <c r="D241" s="64"/>
      <c r="E241" s="65"/>
      <c r="F241" s="66"/>
      <c r="G241" s="62"/>
      <c r="H241" s="64"/>
      <c r="I241" s="62"/>
      <c r="J241" s="64"/>
    </row>
    <row r="242" spans="2:10" s="61" customFormat="1" x14ac:dyDescent="0.3">
      <c r="B242" s="67"/>
      <c r="C242" s="63"/>
      <c r="D242" s="64"/>
      <c r="E242" s="65"/>
      <c r="F242" s="66"/>
      <c r="G242" s="62"/>
      <c r="H242" s="64"/>
      <c r="I242" s="62"/>
      <c r="J242" s="64"/>
    </row>
    <row r="243" spans="2:10" s="61" customFormat="1" x14ac:dyDescent="0.3">
      <c r="B243" s="67"/>
      <c r="C243" s="63"/>
      <c r="D243" s="64"/>
      <c r="E243" s="65"/>
      <c r="F243" s="66"/>
      <c r="G243" s="62"/>
      <c r="H243" s="64"/>
      <c r="I243" s="62"/>
      <c r="J243" s="64"/>
    </row>
    <row r="244" spans="2:10" s="61" customFormat="1" x14ac:dyDescent="0.3">
      <c r="B244" s="67"/>
      <c r="C244" s="63"/>
      <c r="D244" s="64"/>
      <c r="E244" s="65"/>
      <c r="F244" s="66"/>
      <c r="G244" s="62"/>
      <c r="H244" s="64"/>
      <c r="I244" s="62"/>
      <c r="J244" s="64"/>
    </row>
    <row r="245" spans="2:10" s="61" customFormat="1" x14ac:dyDescent="0.3">
      <c r="B245" s="67"/>
      <c r="C245" s="63"/>
      <c r="D245" s="64"/>
      <c r="E245" s="65"/>
      <c r="F245" s="66"/>
      <c r="G245" s="62"/>
      <c r="H245" s="64"/>
      <c r="I245" s="62"/>
      <c r="J245" s="64"/>
    </row>
    <row r="246" spans="2:10" s="61" customFormat="1" x14ac:dyDescent="0.3">
      <c r="B246" s="67"/>
      <c r="C246" s="63"/>
      <c r="D246" s="64"/>
      <c r="E246" s="65"/>
      <c r="F246" s="66"/>
      <c r="G246" s="62"/>
      <c r="H246" s="64"/>
      <c r="I246" s="62"/>
      <c r="J246" s="64"/>
    </row>
    <row r="247" spans="2:10" s="61" customFormat="1" x14ac:dyDescent="0.3">
      <c r="B247" s="67"/>
      <c r="C247" s="63"/>
      <c r="D247" s="64"/>
      <c r="E247" s="65"/>
      <c r="F247" s="66"/>
      <c r="G247" s="62"/>
      <c r="H247" s="64"/>
      <c r="I247" s="62"/>
      <c r="J247" s="64"/>
    </row>
    <row r="248" spans="2:10" s="61" customFormat="1" x14ac:dyDescent="0.3">
      <c r="B248" s="67"/>
      <c r="C248" s="63"/>
      <c r="D248" s="64"/>
      <c r="E248" s="65"/>
      <c r="F248" s="66"/>
      <c r="G248" s="62"/>
      <c r="H248" s="64"/>
      <c r="I248" s="62"/>
      <c r="J248" s="64"/>
    </row>
    <row r="249" spans="2:10" s="61" customFormat="1" x14ac:dyDescent="0.3">
      <c r="B249" s="67"/>
      <c r="C249" s="63"/>
      <c r="D249" s="64"/>
      <c r="E249" s="65"/>
      <c r="F249" s="66"/>
      <c r="G249" s="62"/>
      <c r="H249" s="64"/>
      <c r="I249" s="62"/>
      <c r="J249" s="64"/>
    </row>
    <row r="250" spans="2:10" s="61" customFormat="1" x14ac:dyDescent="0.3">
      <c r="B250" s="67"/>
      <c r="C250" s="63"/>
      <c r="D250" s="64"/>
      <c r="E250" s="65"/>
      <c r="F250" s="66"/>
      <c r="G250" s="62"/>
      <c r="H250" s="64"/>
      <c r="I250" s="62"/>
      <c r="J250" s="64"/>
    </row>
    <row r="251" spans="2:10" s="61" customFormat="1" x14ac:dyDescent="0.3">
      <c r="B251" s="67"/>
      <c r="C251" s="63"/>
      <c r="D251" s="64"/>
      <c r="E251" s="65"/>
      <c r="F251" s="66"/>
      <c r="G251" s="62"/>
      <c r="H251" s="64"/>
      <c r="I251" s="62"/>
      <c r="J251" s="64"/>
    </row>
    <row r="252" spans="2:10" s="61" customFormat="1" x14ac:dyDescent="0.3">
      <c r="B252" s="67"/>
      <c r="C252" s="63"/>
      <c r="D252" s="64"/>
      <c r="E252" s="65"/>
      <c r="F252" s="66"/>
      <c r="G252" s="62"/>
      <c r="H252" s="64"/>
      <c r="I252" s="62"/>
      <c r="J252" s="64"/>
    </row>
    <row r="253" spans="2:10" s="61" customFormat="1" x14ac:dyDescent="0.3">
      <c r="B253" s="67"/>
      <c r="C253" s="63"/>
      <c r="D253" s="64"/>
      <c r="E253" s="65"/>
      <c r="F253" s="66"/>
      <c r="G253" s="62"/>
      <c r="H253" s="64"/>
      <c r="I253" s="62"/>
      <c r="J253" s="64"/>
    </row>
    <row r="254" spans="2:10" s="61" customFormat="1" x14ac:dyDescent="0.3">
      <c r="B254" s="67"/>
      <c r="C254" s="63"/>
      <c r="D254" s="64"/>
      <c r="E254" s="65"/>
      <c r="F254" s="66"/>
      <c r="G254" s="62"/>
      <c r="H254" s="64"/>
      <c r="I254" s="62"/>
      <c r="J254" s="64"/>
    </row>
    <row r="255" spans="2:10" s="61" customFormat="1" x14ac:dyDescent="0.3">
      <c r="B255" s="67"/>
      <c r="C255" s="63"/>
      <c r="D255" s="64"/>
      <c r="E255" s="65"/>
      <c r="F255" s="66"/>
      <c r="G255" s="62"/>
      <c r="H255" s="64"/>
      <c r="I255" s="62"/>
      <c r="J255" s="64"/>
    </row>
    <row r="256" spans="2:10" s="61" customFormat="1" x14ac:dyDescent="0.3">
      <c r="B256" s="67"/>
      <c r="C256" s="63"/>
      <c r="D256" s="64"/>
      <c r="E256" s="65"/>
      <c r="F256" s="66"/>
      <c r="G256" s="62"/>
      <c r="H256" s="64"/>
      <c r="I256" s="62"/>
      <c r="J256" s="64"/>
    </row>
    <row r="257" spans="2:10" s="61" customFormat="1" x14ac:dyDescent="0.3">
      <c r="B257" s="67"/>
      <c r="C257" s="63"/>
      <c r="D257" s="64"/>
      <c r="E257" s="65"/>
      <c r="F257" s="66"/>
      <c r="G257" s="62"/>
      <c r="H257" s="64"/>
      <c r="I257" s="62"/>
      <c r="J257" s="64"/>
    </row>
    <row r="258" spans="2:10" s="61" customFormat="1" x14ac:dyDescent="0.3">
      <c r="B258" s="67"/>
      <c r="C258" s="63"/>
      <c r="D258" s="64"/>
      <c r="E258" s="65"/>
      <c r="F258" s="66"/>
      <c r="G258" s="62"/>
      <c r="H258" s="64"/>
      <c r="I258" s="62"/>
      <c r="J258" s="64"/>
    </row>
    <row r="259" spans="2:10" s="61" customFormat="1" x14ac:dyDescent="0.3">
      <c r="B259" s="67"/>
      <c r="C259" s="63"/>
      <c r="D259" s="64"/>
      <c r="E259" s="65"/>
      <c r="F259" s="66"/>
      <c r="G259" s="62"/>
      <c r="H259" s="64"/>
      <c r="I259" s="62"/>
      <c r="J259" s="64"/>
    </row>
    <row r="260" spans="2:10" s="61" customFormat="1" x14ac:dyDescent="0.3">
      <c r="B260" s="67"/>
      <c r="C260" s="63"/>
      <c r="D260" s="64"/>
      <c r="E260" s="65"/>
      <c r="F260" s="66"/>
      <c r="G260" s="62"/>
      <c r="H260" s="64"/>
      <c r="I260" s="62"/>
      <c r="J260" s="64"/>
    </row>
    <row r="261" spans="2:10" s="61" customFormat="1" x14ac:dyDescent="0.3">
      <c r="B261" s="67"/>
      <c r="C261" s="63"/>
      <c r="D261" s="64"/>
      <c r="E261" s="65"/>
      <c r="F261" s="66"/>
      <c r="G261" s="62"/>
      <c r="H261" s="64"/>
      <c r="I261" s="62"/>
      <c r="J261" s="64"/>
    </row>
    <row r="262" spans="2:10" s="61" customFormat="1" x14ac:dyDescent="0.3">
      <c r="B262" s="67"/>
      <c r="C262" s="63"/>
      <c r="D262" s="64"/>
      <c r="E262" s="65"/>
      <c r="F262" s="66"/>
      <c r="G262" s="62"/>
      <c r="H262" s="64"/>
      <c r="I262" s="62"/>
      <c r="J262" s="64"/>
    </row>
    <row r="263" spans="2:10" s="61" customFormat="1" x14ac:dyDescent="0.3">
      <c r="B263" s="67"/>
      <c r="C263" s="63"/>
      <c r="D263" s="64"/>
      <c r="E263" s="65"/>
      <c r="F263" s="66"/>
      <c r="G263" s="62"/>
      <c r="H263" s="64"/>
      <c r="I263" s="62"/>
      <c r="J263" s="64"/>
    </row>
    <row r="264" spans="2:10" s="61" customFormat="1" x14ac:dyDescent="0.3">
      <c r="B264" s="67"/>
      <c r="C264" s="63"/>
      <c r="D264" s="64"/>
      <c r="E264" s="65"/>
      <c r="F264" s="66"/>
      <c r="G264" s="62"/>
      <c r="H264" s="64"/>
      <c r="I264" s="62"/>
      <c r="J264" s="64"/>
    </row>
    <row r="265" spans="2:10" s="61" customFormat="1" x14ac:dyDescent="0.3">
      <c r="B265" s="67"/>
      <c r="C265" s="63"/>
      <c r="D265" s="64"/>
      <c r="E265" s="65"/>
      <c r="F265" s="66"/>
      <c r="G265" s="62"/>
      <c r="H265" s="64"/>
      <c r="I265" s="62"/>
      <c r="J265" s="64"/>
    </row>
    <row r="266" spans="2:10" s="61" customFormat="1" x14ac:dyDescent="0.3">
      <c r="B266" s="67"/>
      <c r="C266" s="63"/>
      <c r="D266" s="64"/>
      <c r="E266" s="65"/>
      <c r="F266" s="66"/>
      <c r="G266" s="62"/>
      <c r="H266" s="64"/>
      <c r="I266" s="62"/>
      <c r="J266" s="64"/>
    </row>
    <row r="267" spans="2:10" s="61" customFormat="1" x14ac:dyDescent="0.3">
      <c r="B267" s="67"/>
      <c r="C267" s="63"/>
      <c r="D267" s="64"/>
      <c r="E267" s="65"/>
      <c r="F267" s="66"/>
      <c r="G267" s="62"/>
      <c r="H267" s="64"/>
      <c r="I267" s="62"/>
      <c r="J267" s="64"/>
    </row>
    <row r="268" spans="2:10" s="61" customFormat="1" x14ac:dyDescent="0.3">
      <c r="B268" s="67"/>
      <c r="C268" s="63"/>
      <c r="D268" s="64"/>
      <c r="E268" s="65"/>
      <c r="F268" s="66"/>
      <c r="G268" s="62"/>
      <c r="H268" s="64"/>
      <c r="I268" s="62"/>
      <c r="J268" s="64"/>
    </row>
    <row r="269" spans="2:10" s="61" customFormat="1" x14ac:dyDescent="0.3">
      <c r="B269" s="67"/>
      <c r="C269" s="63"/>
      <c r="D269" s="64"/>
      <c r="E269" s="65"/>
      <c r="F269" s="66"/>
      <c r="G269" s="62"/>
      <c r="H269" s="64"/>
      <c r="I269" s="62"/>
      <c r="J269" s="64"/>
    </row>
    <row r="270" spans="2:10" s="61" customFormat="1" x14ac:dyDescent="0.3">
      <c r="B270" s="67"/>
      <c r="C270" s="63"/>
      <c r="D270" s="64"/>
      <c r="E270" s="65"/>
      <c r="F270" s="66"/>
      <c r="G270" s="62"/>
      <c r="H270" s="64"/>
      <c r="I270" s="62"/>
      <c r="J270" s="64"/>
    </row>
    <row r="271" spans="2:10" s="61" customFormat="1" x14ac:dyDescent="0.3">
      <c r="B271" s="67"/>
      <c r="C271" s="63"/>
      <c r="D271" s="64"/>
      <c r="E271" s="65"/>
      <c r="F271" s="66"/>
      <c r="G271" s="62"/>
      <c r="H271" s="64"/>
      <c r="I271" s="62"/>
      <c r="J271" s="64"/>
    </row>
    <row r="272" spans="2:10" s="61" customFormat="1" x14ac:dyDescent="0.3">
      <c r="B272" s="67"/>
      <c r="C272" s="63"/>
      <c r="D272" s="64"/>
      <c r="E272" s="65"/>
      <c r="F272" s="66"/>
      <c r="G272" s="62"/>
      <c r="H272" s="64"/>
      <c r="I272" s="62"/>
      <c r="J272" s="64"/>
    </row>
    <row r="273" spans="2:10" s="61" customFormat="1" x14ac:dyDescent="0.3">
      <c r="B273" s="67"/>
      <c r="C273" s="63"/>
      <c r="D273" s="64"/>
      <c r="E273" s="65"/>
      <c r="F273" s="66"/>
      <c r="G273" s="62"/>
      <c r="H273" s="64"/>
      <c r="I273" s="62"/>
      <c r="J273" s="64"/>
    </row>
    <row r="274" spans="2:10" s="61" customFormat="1" x14ac:dyDescent="0.3">
      <c r="B274" s="67"/>
      <c r="C274" s="63"/>
      <c r="D274" s="64"/>
      <c r="E274" s="65"/>
      <c r="F274" s="66"/>
      <c r="G274" s="62"/>
      <c r="H274" s="64"/>
      <c r="I274" s="62"/>
      <c r="J274" s="64"/>
    </row>
    <row r="275" spans="2:10" s="61" customFormat="1" x14ac:dyDescent="0.3">
      <c r="B275" s="67"/>
      <c r="C275" s="63"/>
      <c r="D275" s="64"/>
      <c r="E275" s="65"/>
      <c r="F275" s="66"/>
      <c r="G275" s="62"/>
      <c r="H275" s="64"/>
      <c r="I275" s="62"/>
      <c r="J275" s="64"/>
    </row>
    <row r="276" spans="2:10" s="61" customFormat="1" x14ac:dyDescent="0.3">
      <c r="B276" s="67"/>
      <c r="C276" s="63"/>
      <c r="D276" s="64"/>
      <c r="E276" s="65"/>
      <c r="F276" s="66"/>
      <c r="G276" s="62"/>
      <c r="H276" s="64"/>
      <c r="I276" s="62"/>
      <c r="J276" s="64"/>
    </row>
    <row r="277" spans="2:10" s="61" customFormat="1" x14ac:dyDescent="0.3">
      <c r="B277" s="67"/>
      <c r="C277" s="63"/>
      <c r="D277" s="64"/>
      <c r="E277" s="65"/>
      <c r="F277" s="66"/>
      <c r="G277" s="62"/>
      <c r="H277" s="64"/>
      <c r="I277" s="62"/>
      <c r="J277" s="64"/>
    </row>
    <row r="278" spans="2:10" s="61" customFormat="1" x14ac:dyDescent="0.3">
      <c r="B278" s="67"/>
      <c r="C278" s="63"/>
      <c r="D278" s="64"/>
      <c r="E278" s="65"/>
      <c r="F278" s="66"/>
      <c r="G278" s="62"/>
      <c r="H278" s="64"/>
      <c r="I278" s="62"/>
      <c r="J278" s="64"/>
    </row>
    <row r="279" spans="2:10" s="61" customFormat="1" x14ac:dyDescent="0.3">
      <c r="B279" s="67"/>
      <c r="C279" s="63"/>
      <c r="D279" s="64"/>
      <c r="E279" s="65"/>
      <c r="F279" s="66"/>
      <c r="G279" s="62"/>
      <c r="H279" s="64"/>
      <c r="I279" s="62"/>
      <c r="J279" s="64"/>
    </row>
    <row r="280" spans="2:10" s="61" customFormat="1" x14ac:dyDescent="0.3">
      <c r="B280" s="67"/>
      <c r="C280" s="63"/>
      <c r="D280" s="64"/>
      <c r="E280" s="65"/>
      <c r="F280" s="66"/>
      <c r="G280" s="62"/>
      <c r="H280" s="64"/>
      <c r="I280" s="62"/>
      <c r="J280" s="64"/>
    </row>
    <row r="281" spans="2:10" s="61" customFormat="1" x14ac:dyDescent="0.3">
      <c r="B281" s="67"/>
      <c r="C281" s="63"/>
      <c r="D281" s="64"/>
      <c r="E281" s="65"/>
      <c r="F281" s="66"/>
      <c r="G281" s="62"/>
      <c r="H281" s="64"/>
      <c r="I281" s="62"/>
      <c r="J281" s="64"/>
    </row>
    <row r="282" spans="2:10" s="61" customFormat="1" x14ac:dyDescent="0.3">
      <c r="B282" s="67"/>
      <c r="C282" s="63"/>
      <c r="D282" s="64"/>
      <c r="E282" s="65"/>
      <c r="F282" s="66"/>
      <c r="G282" s="62"/>
      <c r="H282" s="64"/>
      <c r="I282" s="62"/>
      <c r="J282" s="64"/>
    </row>
    <row r="283" spans="2:10" s="61" customFormat="1" x14ac:dyDescent="0.3">
      <c r="B283" s="67"/>
      <c r="C283" s="63"/>
      <c r="D283" s="64"/>
      <c r="E283" s="65"/>
      <c r="F283" s="66"/>
      <c r="G283" s="62"/>
      <c r="H283" s="64"/>
      <c r="I283" s="62"/>
      <c r="J283" s="64"/>
    </row>
    <row r="284" spans="2:10" s="61" customFormat="1" x14ac:dyDescent="0.3">
      <c r="B284" s="67"/>
      <c r="C284" s="63"/>
      <c r="D284" s="64"/>
      <c r="E284" s="65"/>
      <c r="F284" s="66"/>
      <c r="G284" s="62"/>
      <c r="H284" s="64"/>
      <c r="I284" s="62"/>
      <c r="J284" s="64"/>
    </row>
    <row r="285" spans="2:10" s="61" customFormat="1" x14ac:dyDescent="0.3">
      <c r="B285" s="67"/>
      <c r="C285" s="63"/>
      <c r="D285" s="64"/>
      <c r="E285" s="65"/>
      <c r="F285" s="66"/>
      <c r="G285" s="62"/>
      <c r="H285" s="64"/>
      <c r="I285" s="62"/>
      <c r="J285" s="64"/>
    </row>
    <row r="286" spans="2:10" s="61" customFormat="1" x14ac:dyDescent="0.3">
      <c r="B286" s="67"/>
      <c r="C286" s="63"/>
      <c r="D286" s="64"/>
      <c r="E286" s="65"/>
      <c r="F286" s="66"/>
      <c r="G286" s="62"/>
      <c r="H286" s="64"/>
      <c r="I286" s="62"/>
      <c r="J286" s="64"/>
    </row>
    <row r="287" spans="2:10" s="61" customFormat="1" x14ac:dyDescent="0.3">
      <c r="B287" s="67"/>
      <c r="C287" s="63"/>
      <c r="D287" s="64"/>
      <c r="E287" s="65"/>
      <c r="F287" s="66"/>
      <c r="G287" s="62"/>
      <c r="H287" s="64"/>
      <c r="I287" s="62"/>
      <c r="J287" s="64"/>
    </row>
    <row r="288" spans="2:10" s="61" customFormat="1" x14ac:dyDescent="0.3">
      <c r="B288" s="67"/>
      <c r="C288" s="63"/>
      <c r="D288" s="64"/>
      <c r="E288" s="65"/>
      <c r="F288" s="66"/>
      <c r="G288" s="62"/>
      <c r="H288" s="64"/>
      <c r="I288" s="62"/>
      <c r="J288" s="64"/>
    </row>
    <row r="289" spans="2:10" s="61" customFormat="1" x14ac:dyDescent="0.3">
      <c r="B289" s="67"/>
      <c r="C289" s="63"/>
      <c r="D289" s="64"/>
      <c r="E289" s="65"/>
      <c r="F289" s="66"/>
      <c r="G289" s="62"/>
      <c r="H289" s="64"/>
      <c r="I289" s="62"/>
      <c r="J289" s="64"/>
    </row>
    <row r="290" spans="2:10" s="61" customFormat="1" x14ac:dyDescent="0.3">
      <c r="B290" s="67"/>
      <c r="C290" s="63"/>
      <c r="D290" s="64"/>
      <c r="E290" s="65"/>
      <c r="F290" s="66"/>
      <c r="G290" s="62"/>
      <c r="H290" s="64"/>
      <c r="I290" s="62"/>
      <c r="J290" s="64"/>
    </row>
    <row r="291" spans="2:10" s="61" customFormat="1" x14ac:dyDescent="0.3">
      <c r="B291" s="67"/>
      <c r="C291" s="63"/>
      <c r="D291" s="64"/>
      <c r="E291" s="65"/>
      <c r="F291" s="66"/>
      <c r="G291" s="62"/>
      <c r="H291" s="64"/>
      <c r="I291" s="62"/>
      <c r="J291" s="64"/>
    </row>
    <row r="292" spans="2:10" s="61" customFormat="1" x14ac:dyDescent="0.3">
      <c r="B292" s="67"/>
      <c r="C292" s="63"/>
      <c r="D292" s="64"/>
      <c r="E292" s="65"/>
      <c r="F292" s="66"/>
      <c r="G292" s="62"/>
      <c r="H292" s="64"/>
      <c r="I292" s="62"/>
      <c r="J292" s="64"/>
    </row>
    <row r="293" spans="2:10" s="61" customFormat="1" x14ac:dyDescent="0.3">
      <c r="B293" s="67"/>
      <c r="C293" s="63"/>
      <c r="D293" s="64"/>
      <c r="E293" s="65"/>
      <c r="F293" s="66"/>
      <c r="G293" s="62"/>
      <c r="H293" s="64"/>
      <c r="I293" s="62"/>
      <c r="J293" s="64"/>
    </row>
    <row r="294" spans="2:10" s="61" customFormat="1" x14ac:dyDescent="0.3">
      <c r="B294" s="67"/>
      <c r="C294" s="63"/>
      <c r="D294" s="64"/>
      <c r="E294" s="65"/>
      <c r="F294" s="66"/>
      <c r="G294" s="62"/>
      <c r="H294" s="64"/>
      <c r="I294" s="62"/>
      <c r="J294" s="64"/>
    </row>
    <row r="295" spans="2:10" s="61" customFormat="1" x14ac:dyDescent="0.3">
      <c r="B295" s="67"/>
      <c r="C295" s="63"/>
      <c r="D295" s="64"/>
      <c r="E295" s="65"/>
      <c r="F295" s="66"/>
      <c r="G295" s="62"/>
      <c r="H295" s="64"/>
      <c r="I295" s="62"/>
      <c r="J295" s="64"/>
    </row>
    <row r="296" spans="2:10" s="61" customFormat="1" x14ac:dyDescent="0.3">
      <c r="B296" s="67"/>
      <c r="C296" s="63"/>
      <c r="D296" s="64"/>
      <c r="E296" s="65"/>
      <c r="F296" s="66"/>
      <c r="G296" s="62"/>
      <c r="H296" s="64"/>
      <c r="I296" s="62"/>
      <c r="J296" s="64"/>
    </row>
    <row r="297" spans="2:10" s="61" customFormat="1" x14ac:dyDescent="0.3">
      <c r="B297" s="67"/>
      <c r="C297" s="63"/>
      <c r="D297" s="64"/>
      <c r="E297" s="65"/>
      <c r="F297" s="66"/>
      <c r="G297" s="62"/>
      <c r="H297" s="64"/>
      <c r="I297" s="62"/>
      <c r="J297" s="64"/>
    </row>
    <row r="298" spans="2:10" s="61" customFormat="1" x14ac:dyDescent="0.3">
      <c r="B298" s="67"/>
      <c r="C298" s="63"/>
      <c r="D298" s="64"/>
      <c r="E298" s="65"/>
      <c r="F298" s="66"/>
      <c r="G298" s="62"/>
      <c r="H298" s="64"/>
      <c r="I298" s="62"/>
      <c r="J298" s="64"/>
    </row>
    <row r="299" spans="2:10" s="61" customFormat="1" x14ac:dyDescent="0.3">
      <c r="B299" s="67"/>
      <c r="C299" s="63"/>
      <c r="D299" s="64"/>
      <c r="E299" s="65"/>
      <c r="F299" s="66"/>
      <c r="G299" s="62"/>
      <c r="H299" s="64"/>
      <c r="I299" s="62"/>
      <c r="J299" s="64"/>
    </row>
    <row r="300" spans="2:10" s="61" customFormat="1" x14ac:dyDescent="0.3">
      <c r="B300" s="67"/>
      <c r="C300" s="63"/>
      <c r="D300" s="64"/>
      <c r="E300" s="65"/>
      <c r="F300" s="66"/>
      <c r="G300" s="62"/>
      <c r="H300" s="64"/>
      <c r="I300" s="62"/>
      <c r="J300" s="64"/>
    </row>
    <row r="301" spans="2:10" s="61" customFormat="1" x14ac:dyDescent="0.3">
      <c r="B301" s="67"/>
      <c r="C301" s="63"/>
      <c r="D301" s="64"/>
      <c r="E301" s="65"/>
      <c r="F301" s="66"/>
      <c r="G301" s="62"/>
      <c r="H301" s="64"/>
      <c r="I301" s="62"/>
      <c r="J301" s="64"/>
    </row>
    <row r="302" spans="2:10" s="61" customFormat="1" x14ac:dyDescent="0.3">
      <c r="B302" s="67"/>
      <c r="C302" s="63"/>
      <c r="D302" s="64"/>
      <c r="E302" s="65"/>
      <c r="F302" s="66"/>
      <c r="G302" s="62"/>
      <c r="H302" s="64"/>
      <c r="I302" s="62"/>
      <c r="J302" s="64"/>
    </row>
    <row r="303" spans="2:10" s="61" customFormat="1" x14ac:dyDescent="0.3">
      <c r="B303" s="67"/>
      <c r="C303" s="63"/>
      <c r="D303" s="64"/>
      <c r="E303" s="65"/>
      <c r="F303" s="66"/>
      <c r="G303" s="62"/>
      <c r="H303" s="64"/>
      <c r="I303" s="62"/>
      <c r="J303" s="64"/>
    </row>
    <row r="304" spans="2:10" s="61" customFormat="1" x14ac:dyDescent="0.3">
      <c r="B304" s="67"/>
      <c r="C304" s="63"/>
      <c r="D304" s="64"/>
      <c r="E304" s="65"/>
      <c r="F304" s="66"/>
      <c r="G304" s="62"/>
      <c r="H304" s="64"/>
      <c r="I304" s="62"/>
      <c r="J304" s="64"/>
    </row>
    <row r="305" spans="2:10" s="61" customFormat="1" x14ac:dyDescent="0.3">
      <c r="B305" s="67"/>
      <c r="C305" s="63"/>
      <c r="D305" s="64"/>
      <c r="E305" s="65"/>
      <c r="F305" s="66"/>
      <c r="G305" s="62"/>
      <c r="H305" s="64"/>
      <c r="I305" s="62"/>
      <c r="J305" s="64"/>
    </row>
    <row r="306" spans="2:10" s="61" customFormat="1" x14ac:dyDescent="0.3">
      <c r="B306" s="67"/>
      <c r="C306" s="63"/>
      <c r="D306" s="64"/>
      <c r="E306" s="65"/>
      <c r="F306" s="66"/>
      <c r="G306" s="62"/>
      <c r="H306" s="64"/>
      <c r="I306" s="62"/>
      <c r="J306" s="64"/>
    </row>
    <row r="307" spans="2:10" s="61" customFormat="1" x14ac:dyDescent="0.3">
      <c r="B307" s="67"/>
      <c r="C307" s="63"/>
      <c r="D307" s="64"/>
      <c r="E307" s="65"/>
      <c r="F307" s="66"/>
      <c r="G307" s="62"/>
      <c r="H307" s="64"/>
      <c r="I307" s="62"/>
      <c r="J307" s="64"/>
    </row>
    <row r="308" spans="2:10" s="61" customFormat="1" x14ac:dyDescent="0.3">
      <c r="B308" s="67"/>
      <c r="C308" s="63"/>
      <c r="D308" s="64"/>
      <c r="E308" s="65"/>
      <c r="F308" s="66"/>
      <c r="G308" s="62"/>
      <c r="H308" s="64"/>
      <c r="I308" s="62"/>
      <c r="J308" s="64"/>
    </row>
    <row r="309" spans="2:10" s="61" customFormat="1" x14ac:dyDescent="0.3">
      <c r="B309" s="67"/>
      <c r="C309" s="63"/>
      <c r="D309" s="64"/>
      <c r="E309" s="65"/>
      <c r="F309" s="66"/>
      <c r="G309" s="62"/>
      <c r="H309" s="64"/>
      <c r="I309" s="62"/>
      <c r="J309" s="64"/>
    </row>
    <row r="310" spans="2:10" s="61" customFormat="1" x14ac:dyDescent="0.3">
      <c r="B310" s="67"/>
      <c r="C310" s="63"/>
      <c r="D310" s="64"/>
      <c r="E310" s="65"/>
      <c r="F310" s="66"/>
      <c r="G310" s="62"/>
      <c r="H310" s="64"/>
      <c r="I310" s="62"/>
      <c r="J310" s="64"/>
    </row>
    <row r="311" spans="2:10" s="61" customFormat="1" x14ac:dyDescent="0.3">
      <c r="B311" s="67"/>
      <c r="C311" s="63"/>
      <c r="D311" s="64"/>
      <c r="E311" s="65"/>
      <c r="F311" s="66"/>
      <c r="G311" s="62"/>
      <c r="H311" s="64"/>
      <c r="I311" s="62"/>
      <c r="J311" s="64"/>
    </row>
    <row r="312" spans="2:10" s="61" customFormat="1" x14ac:dyDescent="0.3">
      <c r="B312" s="67"/>
      <c r="C312" s="63"/>
      <c r="D312" s="64"/>
      <c r="E312" s="65"/>
      <c r="F312" s="66"/>
      <c r="G312" s="62"/>
      <c r="H312" s="64"/>
      <c r="I312" s="62"/>
      <c r="J312" s="64"/>
    </row>
    <row r="313" spans="2:10" s="61" customFormat="1" x14ac:dyDescent="0.3">
      <c r="B313" s="67"/>
      <c r="C313" s="63"/>
      <c r="D313" s="64"/>
      <c r="E313" s="65"/>
      <c r="F313" s="66"/>
      <c r="G313" s="62"/>
      <c r="H313" s="64"/>
      <c r="I313" s="62"/>
      <c r="J313" s="64"/>
    </row>
    <row r="314" spans="2:10" s="61" customFormat="1" x14ac:dyDescent="0.3">
      <c r="B314" s="67"/>
      <c r="C314" s="63"/>
      <c r="D314" s="64"/>
      <c r="E314" s="65"/>
      <c r="F314" s="66"/>
      <c r="G314" s="62"/>
      <c r="H314" s="64"/>
      <c r="I314" s="62"/>
      <c r="J314" s="64"/>
    </row>
    <row r="315" spans="2:10" s="61" customFormat="1" x14ac:dyDescent="0.3">
      <c r="B315" s="67"/>
      <c r="C315" s="63"/>
      <c r="D315" s="64"/>
      <c r="E315" s="65"/>
      <c r="F315" s="66"/>
      <c r="G315" s="62"/>
      <c r="H315" s="64"/>
      <c r="I315" s="62"/>
      <c r="J315" s="64"/>
    </row>
    <row r="316" spans="2:10" s="61" customFormat="1" x14ac:dyDescent="0.3">
      <c r="B316" s="67"/>
      <c r="C316" s="63"/>
      <c r="D316" s="64"/>
      <c r="E316" s="65"/>
      <c r="F316" s="66"/>
      <c r="G316" s="62"/>
      <c r="H316" s="64"/>
      <c r="I316" s="62"/>
      <c r="J316" s="64"/>
    </row>
    <row r="317" spans="2:10" s="61" customFormat="1" x14ac:dyDescent="0.3">
      <c r="B317" s="67"/>
      <c r="C317" s="63"/>
      <c r="D317" s="64"/>
      <c r="E317" s="65"/>
      <c r="F317" s="66"/>
      <c r="G317" s="62"/>
      <c r="H317" s="64"/>
      <c r="I317" s="62"/>
      <c r="J317" s="64"/>
    </row>
    <row r="318" spans="2:10" s="61" customFormat="1" x14ac:dyDescent="0.3">
      <c r="B318" s="67"/>
      <c r="C318" s="63"/>
      <c r="D318" s="64"/>
      <c r="E318" s="65"/>
      <c r="F318" s="66"/>
      <c r="G318" s="62"/>
      <c r="H318" s="64"/>
      <c r="I318" s="62"/>
      <c r="J318" s="64"/>
    </row>
    <row r="319" spans="2:10" s="61" customFormat="1" x14ac:dyDescent="0.3">
      <c r="B319" s="67"/>
      <c r="C319" s="63"/>
      <c r="D319" s="64"/>
      <c r="E319" s="65"/>
      <c r="F319" s="66"/>
      <c r="G319" s="62"/>
      <c r="H319" s="64"/>
      <c r="I319" s="62"/>
      <c r="J319" s="64"/>
    </row>
    <row r="320" spans="2:10" s="61" customFormat="1" x14ac:dyDescent="0.3">
      <c r="B320" s="67"/>
      <c r="C320" s="63"/>
      <c r="D320" s="64"/>
      <c r="E320" s="65"/>
      <c r="F320" s="66"/>
      <c r="G320" s="62"/>
      <c r="H320" s="64"/>
      <c r="I320" s="62"/>
      <c r="J320" s="64"/>
    </row>
    <row r="321" spans="2:10" s="61" customFormat="1" x14ac:dyDescent="0.3">
      <c r="B321" s="67"/>
      <c r="C321" s="63"/>
      <c r="D321" s="64"/>
      <c r="E321" s="65"/>
      <c r="F321" s="66"/>
      <c r="G321" s="62"/>
      <c r="H321" s="64"/>
      <c r="I321" s="62"/>
      <c r="J321" s="64"/>
    </row>
    <row r="322" spans="2:10" s="61" customFormat="1" x14ac:dyDescent="0.3">
      <c r="B322" s="67"/>
      <c r="C322" s="63"/>
      <c r="D322" s="64"/>
      <c r="E322" s="65"/>
      <c r="F322" s="66"/>
      <c r="G322" s="62"/>
      <c r="H322" s="64"/>
      <c r="I322" s="62"/>
      <c r="J322" s="64"/>
    </row>
    <row r="323" spans="2:10" s="61" customFormat="1" x14ac:dyDescent="0.3">
      <c r="B323" s="67"/>
      <c r="C323" s="63"/>
      <c r="D323" s="64"/>
      <c r="E323" s="65"/>
      <c r="F323" s="66"/>
      <c r="G323" s="62"/>
      <c r="H323" s="64"/>
      <c r="I323" s="62"/>
      <c r="J323" s="64"/>
    </row>
    <row r="324" spans="2:10" s="61" customFormat="1" x14ac:dyDescent="0.3">
      <c r="B324" s="67"/>
      <c r="C324" s="63"/>
      <c r="D324" s="64"/>
      <c r="E324" s="65"/>
      <c r="F324" s="66"/>
      <c r="G324" s="62"/>
      <c r="H324" s="64"/>
      <c r="I324" s="62"/>
      <c r="J324" s="64"/>
    </row>
    <row r="325" spans="2:10" s="61" customFormat="1" x14ac:dyDescent="0.3">
      <c r="B325" s="67"/>
      <c r="C325" s="63"/>
      <c r="D325" s="64"/>
      <c r="E325" s="65"/>
      <c r="F325" s="66"/>
      <c r="G325" s="62"/>
      <c r="H325" s="64"/>
      <c r="I325" s="62"/>
      <c r="J325" s="64"/>
    </row>
    <row r="326" spans="2:10" s="61" customFormat="1" x14ac:dyDescent="0.3">
      <c r="B326" s="67"/>
      <c r="C326" s="63"/>
      <c r="D326" s="64"/>
      <c r="E326" s="65"/>
      <c r="F326" s="66"/>
      <c r="G326" s="62"/>
      <c r="H326" s="64"/>
      <c r="I326" s="62"/>
      <c r="J326" s="64"/>
    </row>
    <row r="327" spans="2:10" s="61" customFormat="1" x14ac:dyDescent="0.3">
      <c r="B327" s="67"/>
      <c r="C327" s="63"/>
      <c r="D327" s="64"/>
      <c r="E327" s="65"/>
      <c r="F327" s="66"/>
      <c r="G327" s="62"/>
      <c r="H327" s="64"/>
      <c r="I327" s="62"/>
      <c r="J327" s="64"/>
    </row>
    <row r="328" spans="2:10" s="61" customFormat="1" x14ac:dyDescent="0.3">
      <c r="B328" s="67"/>
      <c r="C328" s="63"/>
      <c r="D328" s="64"/>
      <c r="E328" s="65"/>
      <c r="F328" s="66"/>
      <c r="G328" s="62"/>
      <c r="H328" s="64"/>
      <c r="I328" s="62"/>
      <c r="J328" s="64"/>
    </row>
    <row r="329" spans="2:10" s="61" customFormat="1" x14ac:dyDescent="0.3">
      <c r="B329" s="67"/>
      <c r="C329" s="63"/>
      <c r="D329" s="64"/>
      <c r="E329" s="65"/>
      <c r="F329" s="66"/>
      <c r="G329" s="62"/>
      <c r="H329" s="64"/>
      <c r="I329" s="62"/>
      <c r="J329" s="64"/>
    </row>
    <row r="330" spans="2:10" s="61" customFormat="1" x14ac:dyDescent="0.3">
      <c r="B330" s="67"/>
      <c r="C330" s="63"/>
      <c r="D330" s="64"/>
      <c r="E330" s="65"/>
      <c r="F330" s="66"/>
      <c r="G330" s="62"/>
      <c r="H330" s="64"/>
      <c r="I330" s="62"/>
      <c r="J330" s="64"/>
    </row>
    <row r="331" spans="2:10" s="61" customFormat="1" x14ac:dyDescent="0.3">
      <c r="B331" s="67"/>
      <c r="C331" s="63"/>
      <c r="D331" s="64"/>
      <c r="E331" s="65"/>
      <c r="F331" s="66"/>
      <c r="G331" s="62"/>
      <c r="H331" s="64"/>
      <c r="I331" s="62"/>
      <c r="J331" s="64"/>
    </row>
    <row r="332" spans="2:10" s="61" customFormat="1" x14ac:dyDescent="0.3">
      <c r="B332" s="67"/>
      <c r="C332" s="63"/>
      <c r="D332" s="64"/>
      <c r="E332" s="65"/>
      <c r="F332" s="66"/>
      <c r="G332" s="62"/>
      <c r="H332" s="64"/>
      <c r="I332" s="62"/>
      <c r="J332" s="64"/>
    </row>
    <row r="333" spans="2:10" s="61" customFormat="1" x14ac:dyDescent="0.3">
      <c r="B333" s="67"/>
      <c r="C333" s="63"/>
      <c r="D333" s="64"/>
      <c r="E333" s="65"/>
      <c r="F333" s="66"/>
      <c r="G333" s="62"/>
      <c r="H333" s="64"/>
      <c r="I333" s="62"/>
      <c r="J333" s="64"/>
    </row>
    <row r="334" spans="2:10" s="61" customFormat="1" x14ac:dyDescent="0.3">
      <c r="B334" s="67"/>
      <c r="C334" s="63"/>
      <c r="D334" s="64"/>
      <c r="E334" s="65"/>
      <c r="F334" s="66"/>
      <c r="G334" s="62"/>
      <c r="H334" s="64"/>
      <c r="I334" s="62"/>
      <c r="J334" s="64"/>
    </row>
    <row r="335" spans="2:10" s="61" customFormat="1" x14ac:dyDescent="0.3">
      <c r="B335" s="67"/>
      <c r="C335" s="63"/>
      <c r="D335" s="64"/>
      <c r="E335" s="65"/>
      <c r="F335" s="66"/>
      <c r="G335" s="62"/>
      <c r="H335" s="64"/>
      <c r="I335" s="62"/>
      <c r="J335" s="64"/>
    </row>
    <row r="336" spans="2:10" s="61" customFormat="1" x14ac:dyDescent="0.3">
      <c r="B336" s="67"/>
      <c r="C336" s="63"/>
      <c r="D336" s="64"/>
      <c r="E336" s="65"/>
      <c r="F336" s="66"/>
      <c r="G336" s="62"/>
      <c r="H336" s="64"/>
      <c r="I336" s="62"/>
      <c r="J336" s="64"/>
    </row>
    <row r="337" spans="2:10" s="61" customFormat="1" x14ac:dyDescent="0.3">
      <c r="B337" s="67"/>
      <c r="C337" s="63"/>
      <c r="D337" s="64"/>
      <c r="E337" s="65"/>
      <c r="F337" s="66"/>
      <c r="G337" s="62"/>
      <c r="H337" s="64"/>
      <c r="I337" s="62"/>
      <c r="J337" s="64"/>
    </row>
    <row r="338" spans="2:10" s="61" customFormat="1" x14ac:dyDescent="0.3">
      <c r="B338" s="67"/>
      <c r="C338" s="63"/>
      <c r="D338" s="64"/>
      <c r="E338" s="65"/>
      <c r="F338" s="66"/>
      <c r="G338" s="62"/>
      <c r="H338" s="64"/>
      <c r="I338" s="62"/>
      <c r="J338" s="64"/>
    </row>
    <row r="339" spans="2:10" s="61" customFormat="1" x14ac:dyDescent="0.3">
      <c r="B339" s="67"/>
      <c r="C339" s="63"/>
      <c r="D339" s="64"/>
      <c r="E339" s="65"/>
      <c r="F339" s="66"/>
      <c r="G339" s="62"/>
      <c r="H339" s="64"/>
      <c r="I339" s="62"/>
      <c r="J339" s="64"/>
    </row>
    <row r="340" spans="2:10" s="61" customFormat="1" x14ac:dyDescent="0.3">
      <c r="B340" s="67"/>
      <c r="C340" s="63"/>
      <c r="D340" s="64"/>
      <c r="E340" s="65"/>
      <c r="F340" s="66"/>
      <c r="G340" s="62"/>
      <c r="H340" s="64"/>
      <c r="I340" s="62"/>
      <c r="J340" s="64"/>
    </row>
    <row r="341" spans="2:10" s="61" customFormat="1" x14ac:dyDescent="0.3">
      <c r="B341" s="67"/>
      <c r="C341" s="63"/>
      <c r="D341" s="64"/>
      <c r="E341" s="65"/>
      <c r="F341" s="66"/>
      <c r="G341" s="62"/>
      <c r="H341" s="64"/>
      <c r="I341" s="62"/>
      <c r="J341" s="64"/>
    </row>
    <row r="342" spans="2:10" s="61" customFormat="1" x14ac:dyDescent="0.3">
      <c r="B342" s="67"/>
      <c r="C342" s="63"/>
      <c r="D342" s="64"/>
      <c r="E342" s="65"/>
      <c r="F342" s="66"/>
      <c r="G342" s="62"/>
      <c r="H342" s="64"/>
      <c r="I342" s="62"/>
      <c r="J342" s="64"/>
    </row>
    <row r="343" spans="2:10" s="61" customFormat="1" x14ac:dyDescent="0.3">
      <c r="B343" s="67"/>
      <c r="C343" s="63"/>
      <c r="D343" s="64"/>
      <c r="E343" s="65"/>
      <c r="F343" s="66"/>
      <c r="G343" s="62"/>
      <c r="H343" s="64"/>
      <c r="I343" s="62"/>
      <c r="J343" s="64"/>
    </row>
    <row r="344" spans="2:10" s="61" customFormat="1" x14ac:dyDescent="0.3">
      <c r="B344" s="67"/>
      <c r="C344" s="63"/>
      <c r="D344" s="64"/>
      <c r="E344" s="65"/>
      <c r="F344" s="66"/>
      <c r="G344" s="62"/>
      <c r="H344" s="64"/>
      <c r="I344" s="62"/>
      <c r="J344" s="64"/>
    </row>
    <row r="345" spans="2:10" s="61" customFormat="1" x14ac:dyDescent="0.3">
      <c r="B345" s="67"/>
      <c r="C345" s="63"/>
      <c r="D345" s="64"/>
      <c r="E345" s="65"/>
      <c r="F345" s="66"/>
      <c r="G345" s="62"/>
      <c r="H345" s="64"/>
      <c r="I345" s="62"/>
      <c r="J345" s="64"/>
    </row>
    <row r="346" spans="2:10" s="61" customFormat="1" x14ac:dyDescent="0.3">
      <c r="B346" s="67"/>
      <c r="C346" s="63"/>
      <c r="D346" s="64"/>
      <c r="E346" s="65"/>
      <c r="F346" s="66"/>
      <c r="G346" s="62"/>
      <c r="H346" s="64"/>
      <c r="I346" s="62"/>
      <c r="J346" s="64"/>
    </row>
    <row r="347" spans="2:10" s="61" customFormat="1" x14ac:dyDescent="0.3">
      <c r="B347" s="67"/>
      <c r="C347" s="63"/>
      <c r="D347" s="64"/>
      <c r="E347" s="65"/>
      <c r="F347" s="66"/>
      <c r="G347" s="62"/>
      <c r="H347" s="64"/>
      <c r="I347" s="62"/>
      <c r="J347" s="64"/>
    </row>
    <row r="348" spans="2:10" s="61" customFormat="1" x14ac:dyDescent="0.3">
      <c r="B348" s="67"/>
      <c r="C348" s="63"/>
      <c r="D348" s="64"/>
      <c r="E348" s="65"/>
      <c r="F348" s="66"/>
      <c r="G348" s="62"/>
      <c r="H348" s="64"/>
      <c r="I348" s="62"/>
      <c r="J348" s="64"/>
    </row>
    <row r="349" spans="2:10" s="61" customFormat="1" x14ac:dyDescent="0.3">
      <c r="B349" s="67"/>
      <c r="C349" s="63"/>
      <c r="D349" s="64"/>
      <c r="E349" s="65"/>
      <c r="F349" s="66"/>
      <c r="G349" s="62"/>
      <c r="H349" s="64"/>
      <c r="I349" s="62"/>
      <c r="J349" s="64"/>
    </row>
    <row r="350" spans="2:10" s="61" customFormat="1" x14ac:dyDescent="0.3">
      <c r="B350" s="67"/>
      <c r="C350" s="63"/>
      <c r="D350" s="64"/>
      <c r="E350" s="65"/>
      <c r="F350" s="66"/>
      <c r="G350" s="62"/>
      <c r="H350" s="64"/>
      <c r="I350" s="62"/>
      <c r="J350" s="64"/>
    </row>
    <row r="351" spans="2:10" s="61" customFormat="1" x14ac:dyDescent="0.3">
      <c r="B351" s="67"/>
      <c r="C351" s="63"/>
      <c r="D351" s="64"/>
      <c r="E351" s="65"/>
      <c r="F351" s="66"/>
      <c r="G351" s="62"/>
      <c r="H351" s="64"/>
      <c r="I351" s="62"/>
      <c r="J351" s="64"/>
    </row>
    <row r="352" spans="2:10" s="61" customFormat="1" x14ac:dyDescent="0.3">
      <c r="B352" s="67"/>
      <c r="C352" s="63"/>
      <c r="D352" s="64"/>
      <c r="E352" s="65"/>
      <c r="F352" s="66"/>
      <c r="G352" s="62"/>
      <c r="H352" s="64"/>
      <c r="I352" s="62"/>
      <c r="J352" s="64"/>
    </row>
    <row r="353" spans="2:10" s="61" customFormat="1" x14ac:dyDescent="0.3">
      <c r="B353" s="67"/>
      <c r="C353" s="63"/>
      <c r="D353" s="64"/>
      <c r="E353" s="65"/>
      <c r="F353" s="66"/>
      <c r="G353" s="62"/>
      <c r="H353" s="64"/>
      <c r="I353" s="62"/>
      <c r="J353" s="64"/>
    </row>
    <row r="354" spans="2:10" s="61" customFormat="1" x14ac:dyDescent="0.3">
      <c r="B354" s="67"/>
      <c r="C354" s="63"/>
      <c r="D354" s="64"/>
      <c r="E354" s="65"/>
      <c r="F354" s="66"/>
      <c r="G354" s="62"/>
      <c r="H354" s="64"/>
      <c r="I354" s="62"/>
      <c r="J354" s="64"/>
    </row>
    <row r="355" spans="2:10" s="61" customFormat="1" x14ac:dyDescent="0.3">
      <c r="B355" s="67"/>
      <c r="C355" s="63"/>
      <c r="D355" s="64"/>
      <c r="E355" s="65"/>
      <c r="F355" s="66"/>
      <c r="G355" s="62"/>
      <c r="H355" s="64"/>
      <c r="I355" s="62"/>
      <c r="J355" s="64"/>
    </row>
    <row r="356" spans="2:10" s="61" customFormat="1" x14ac:dyDescent="0.3">
      <c r="B356" s="67"/>
      <c r="C356" s="63"/>
      <c r="D356" s="64"/>
      <c r="E356" s="65"/>
      <c r="F356" s="66"/>
      <c r="G356" s="62"/>
      <c r="H356" s="64"/>
      <c r="I356" s="62"/>
      <c r="J356" s="64"/>
    </row>
    <row r="357" spans="2:10" s="61" customFormat="1" x14ac:dyDescent="0.3">
      <c r="B357" s="67"/>
      <c r="C357" s="63"/>
      <c r="D357" s="64"/>
      <c r="E357" s="65"/>
      <c r="F357" s="66"/>
      <c r="G357" s="62"/>
      <c r="H357" s="64"/>
      <c r="I357" s="62"/>
      <c r="J357" s="64"/>
    </row>
    <row r="358" spans="2:10" s="61" customFormat="1" x14ac:dyDescent="0.3">
      <c r="B358" s="67"/>
      <c r="C358" s="63"/>
      <c r="D358" s="64"/>
      <c r="E358" s="65"/>
      <c r="F358" s="66"/>
      <c r="G358" s="62"/>
      <c r="H358" s="64"/>
      <c r="I358" s="62"/>
      <c r="J358" s="64"/>
    </row>
    <row r="359" spans="2:10" s="61" customFormat="1" x14ac:dyDescent="0.3">
      <c r="B359" s="67"/>
      <c r="C359" s="63"/>
      <c r="D359" s="64"/>
      <c r="E359" s="65"/>
      <c r="F359" s="66"/>
      <c r="G359" s="62"/>
      <c r="H359" s="64"/>
      <c r="I359" s="62"/>
      <c r="J359" s="64"/>
    </row>
    <row r="360" spans="2:10" s="61" customFormat="1" x14ac:dyDescent="0.3">
      <c r="B360" s="67"/>
      <c r="C360" s="63"/>
      <c r="D360" s="64"/>
      <c r="E360" s="65"/>
      <c r="F360" s="66"/>
      <c r="G360" s="62"/>
      <c r="H360" s="64"/>
      <c r="I360" s="62"/>
      <c r="J360" s="64"/>
    </row>
    <row r="361" spans="2:10" s="61" customFormat="1" x14ac:dyDescent="0.3">
      <c r="B361" s="67"/>
      <c r="C361" s="63"/>
      <c r="D361" s="64"/>
      <c r="E361" s="65"/>
      <c r="F361" s="66"/>
      <c r="G361" s="62"/>
      <c r="H361" s="64"/>
      <c r="I361" s="62"/>
      <c r="J361" s="64"/>
    </row>
    <row r="362" spans="2:10" s="61" customFormat="1" x14ac:dyDescent="0.3">
      <c r="B362" s="67"/>
      <c r="C362" s="63"/>
      <c r="D362" s="64"/>
      <c r="E362" s="65"/>
      <c r="F362" s="66"/>
      <c r="G362" s="62"/>
      <c r="H362" s="64"/>
      <c r="I362" s="62"/>
      <c r="J362" s="64"/>
    </row>
    <row r="363" spans="2:10" s="61" customFormat="1" x14ac:dyDescent="0.3">
      <c r="B363" s="67"/>
      <c r="C363" s="63"/>
      <c r="D363" s="64"/>
      <c r="E363" s="65"/>
      <c r="F363" s="66"/>
      <c r="G363" s="62"/>
      <c r="H363" s="64"/>
      <c r="I363" s="62"/>
      <c r="J363" s="64"/>
    </row>
    <row r="364" spans="2:10" s="61" customFormat="1" x14ac:dyDescent="0.3">
      <c r="B364" s="67"/>
      <c r="C364" s="63"/>
      <c r="D364" s="64"/>
      <c r="E364" s="65"/>
      <c r="F364" s="66"/>
      <c r="G364" s="62"/>
      <c r="H364" s="64"/>
      <c r="I364" s="62"/>
      <c r="J364" s="64"/>
    </row>
    <row r="365" spans="2:10" s="61" customFormat="1" x14ac:dyDescent="0.3">
      <c r="B365" s="67"/>
      <c r="C365" s="63"/>
      <c r="D365" s="64"/>
      <c r="E365" s="65"/>
      <c r="F365" s="66"/>
      <c r="G365" s="62"/>
      <c r="H365" s="64"/>
      <c r="I365" s="62"/>
      <c r="J365" s="64"/>
    </row>
    <row r="366" spans="2:10" s="61" customFormat="1" x14ac:dyDescent="0.3">
      <c r="B366" s="67"/>
      <c r="C366" s="63"/>
      <c r="D366" s="64"/>
      <c r="E366" s="65"/>
      <c r="F366" s="66"/>
      <c r="G366" s="62"/>
      <c r="H366" s="64"/>
      <c r="I366" s="62"/>
      <c r="J366" s="64"/>
    </row>
    <row r="367" spans="2:10" s="61" customFormat="1" x14ac:dyDescent="0.3">
      <c r="B367" s="67"/>
      <c r="C367" s="63"/>
      <c r="D367" s="64"/>
      <c r="E367" s="65"/>
      <c r="F367" s="66"/>
      <c r="G367" s="62"/>
      <c r="H367" s="64"/>
      <c r="I367" s="62"/>
      <c r="J367" s="64"/>
    </row>
    <row r="368" spans="2:10" s="61" customFormat="1" x14ac:dyDescent="0.3">
      <c r="B368" s="67"/>
      <c r="C368" s="63"/>
      <c r="D368" s="64"/>
      <c r="E368" s="65"/>
      <c r="F368" s="66"/>
      <c r="G368" s="62"/>
      <c r="H368" s="64"/>
      <c r="I368" s="62"/>
      <c r="J368" s="64"/>
    </row>
    <row r="369" spans="2:10" s="61" customFormat="1" x14ac:dyDescent="0.3">
      <c r="B369" s="67"/>
      <c r="C369" s="63"/>
      <c r="D369" s="64"/>
      <c r="E369" s="65"/>
      <c r="F369" s="66"/>
      <c r="G369" s="62"/>
      <c r="H369" s="64"/>
      <c r="I369" s="62"/>
      <c r="J369" s="64"/>
    </row>
    <row r="370" spans="2:10" s="61" customFormat="1" x14ac:dyDescent="0.3">
      <c r="B370" s="67"/>
      <c r="C370" s="63"/>
      <c r="D370" s="64"/>
      <c r="E370" s="65"/>
      <c r="F370" s="66"/>
      <c r="G370" s="62"/>
      <c r="H370" s="64"/>
      <c r="I370" s="62"/>
      <c r="J370" s="64"/>
    </row>
    <row r="371" spans="2:10" s="61" customFormat="1" x14ac:dyDescent="0.3">
      <c r="B371" s="67"/>
      <c r="C371" s="63"/>
      <c r="D371" s="64"/>
      <c r="E371" s="65"/>
      <c r="F371" s="66"/>
      <c r="G371" s="62"/>
      <c r="H371" s="64"/>
      <c r="I371" s="62"/>
      <c r="J371" s="64"/>
    </row>
    <row r="372" spans="2:10" s="61" customFormat="1" x14ac:dyDescent="0.3">
      <c r="B372" s="67"/>
      <c r="C372" s="63"/>
      <c r="D372" s="64"/>
      <c r="E372" s="65"/>
      <c r="F372" s="66"/>
      <c r="G372" s="62"/>
      <c r="H372" s="64"/>
      <c r="I372" s="62"/>
      <c r="J372" s="64"/>
    </row>
    <row r="373" spans="2:10" s="61" customFormat="1" x14ac:dyDescent="0.3">
      <c r="B373" s="67"/>
      <c r="C373" s="63"/>
      <c r="D373" s="64"/>
      <c r="E373" s="65"/>
      <c r="F373" s="66"/>
      <c r="G373" s="62"/>
      <c r="H373" s="64"/>
      <c r="I373" s="62"/>
      <c r="J373" s="64"/>
    </row>
    <row r="374" spans="2:10" s="61" customFormat="1" x14ac:dyDescent="0.3">
      <c r="B374" s="67"/>
      <c r="C374" s="63"/>
      <c r="D374" s="64"/>
      <c r="E374" s="65"/>
      <c r="F374" s="66"/>
      <c r="G374" s="62"/>
      <c r="H374" s="64"/>
      <c r="I374" s="62"/>
      <c r="J374" s="64"/>
    </row>
    <row r="375" spans="2:10" s="61" customFormat="1" x14ac:dyDescent="0.3">
      <c r="B375" s="67"/>
      <c r="C375" s="63"/>
      <c r="D375" s="64"/>
      <c r="E375" s="65"/>
      <c r="F375" s="66"/>
      <c r="G375" s="62"/>
      <c r="H375" s="64"/>
      <c r="I375" s="62"/>
      <c r="J375" s="64"/>
    </row>
    <row r="376" spans="2:10" s="61" customFormat="1" x14ac:dyDescent="0.3">
      <c r="B376" s="67"/>
      <c r="C376" s="63"/>
      <c r="D376" s="64"/>
      <c r="E376" s="65"/>
      <c r="F376" s="66"/>
      <c r="G376" s="62"/>
      <c r="H376" s="64"/>
      <c r="I376" s="62"/>
      <c r="J376" s="64"/>
    </row>
    <row r="377" spans="2:10" s="61" customFormat="1" x14ac:dyDescent="0.3">
      <c r="B377" s="67"/>
      <c r="C377" s="63"/>
      <c r="D377" s="64"/>
      <c r="E377" s="65"/>
      <c r="F377" s="66"/>
      <c r="G377" s="62"/>
      <c r="H377" s="64"/>
      <c r="I377" s="62"/>
      <c r="J377" s="64"/>
    </row>
    <row r="378" spans="2:10" s="61" customFormat="1" x14ac:dyDescent="0.3">
      <c r="B378" s="67"/>
      <c r="C378" s="63"/>
      <c r="D378" s="64"/>
      <c r="E378" s="65"/>
      <c r="F378" s="66"/>
      <c r="G378" s="62"/>
      <c r="H378" s="64"/>
      <c r="I378" s="62"/>
      <c r="J378" s="64"/>
    </row>
    <row r="379" spans="2:10" s="61" customFormat="1" x14ac:dyDescent="0.3">
      <c r="B379" s="67"/>
      <c r="C379" s="63"/>
      <c r="D379" s="64"/>
      <c r="E379" s="65"/>
      <c r="F379" s="66"/>
      <c r="G379" s="62"/>
      <c r="H379" s="64"/>
      <c r="I379" s="62"/>
      <c r="J379" s="64"/>
    </row>
    <row r="380" spans="2:10" s="61" customFormat="1" x14ac:dyDescent="0.3">
      <c r="B380" s="67"/>
      <c r="C380" s="63"/>
      <c r="D380" s="64"/>
      <c r="E380" s="65"/>
      <c r="F380" s="66"/>
      <c r="G380" s="62"/>
      <c r="H380" s="64"/>
      <c r="I380" s="62"/>
      <c r="J380" s="64"/>
    </row>
    <row r="381" spans="2:10" s="61" customFormat="1" x14ac:dyDescent="0.3">
      <c r="B381" s="67"/>
      <c r="C381" s="63"/>
      <c r="D381" s="64"/>
      <c r="E381" s="65"/>
      <c r="F381" s="66"/>
      <c r="G381" s="62"/>
      <c r="H381" s="64"/>
      <c r="I381" s="62"/>
      <c r="J381" s="64"/>
    </row>
    <row r="382" spans="2:10" s="61" customFormat="1" x14ac:dyDescent="0.3">
      <c r="B382" s="67"/>
      <c r="C382" s="63"/>
      <c r="D382" s="64"/>
      <c r="E382" s="65"/>
      <c r="F382" s="66"/>
      <c r="G382" s="62"/>
      <c r="H382" s="64"/>
      <c r="I382" s="62"/>
      <c r="J382" s="64"/>
    </row>
    <row r="383" spans="2:10" s="61" customFormat="1" x14ac:dyDescent="0.3">
      <c r="B383" s="67"/>
      <c r="C383" s="63"/>
      <c r="D383" s="64"/>
      <c r="E383" s="65"/>
      <c r="F383" s="66"/>
      <c r="G383" s="62"/>
      <c r="H383" s="64"/>
      <c r="I383" s="62"/>
      <c r="J383" s="64"/>
    </row>
    <row r="384" spans="2:10" s="61" customFormat="1" x14ac:dyDescent="0.3">
      <c r="B384" s="67"/>
      <c r="C384" s="63"/>
      <c r="D384" s="64"/>
      <c r="E384" s="65"/>
      <c r="F384" s="66"/>
      <c r="G384" s="62"/>
      <c r="H384" s="64"/>
      <c r="I384" s="62"/>
      <c r="J384" s="64"/>
    </row>
    <row r="385" spans="2:10" s="61" customFormat="1" x14ac:dyDescent="0.3">
      <c r="B385" s="67"/>
      <c r="C385" s="63"/>
      <c r="D385" s="64"/>
      <c r="E385" s="65"/>
      <c r="F385" s="66"/>
      <c r="G385" s="62"/>
      <c r="H385" s="64"/>
      <c r="I385" s="62"/>
      <c r="J385" s="64"/>
    </row>
    <row r="386" spans="2:10" s="61" customFormat="1" x14ac:dyDescent="0.3">
      <c r="B386" s="67"/>
      <c r="C386" s="63"/>
      <c r="D386" s="64"/>
      <c r="E386" s="65"/>
      <c r="F386" s="66"/>
      <c r="G386" s="62"/>
      <c r="H386" s="64"/>
      <c r="I386" s="62"/>
      <c r="J386" s="64"/>
    </row>
    <row r="387" spans="2:10" s="61" customFormat="1" x14ac:dyDescent="0.3">
      <c r="B387" s="67"/>
      <c r="C387" s="63"/>
      <c r="D387" s="64"/>
      <c r="E387" s="65"/>
      <c r="F387" s="66"/>
      <c r="G387" s="62"/>
      <c r="H387" s="64"/>
      <c r="I387" s="62"/>
      <c r="J387" s="64"/>
    </row>
    <row r="388" spans="2:10" s="61" customFormat="1" x14ac:dyDescent="0.3">
      <c r="B388" s="67"/>
      <c r="C388" s="63"/>
      <c r="D388" s="64"/>
      <c r="E388" s="65"/>
      <c r="F388" s="66"/>
      <c r="G388" s="62"/>
      <c r="H388" s="64"/>
      <c r="I388" s="62"/>
      <c r="J388" s="64"/>
    </row>
    <row r="389" spans="2:10" s="61" customFormat="1" x14ac:dyDescent="0.3">
      <c r="B389" s="67"/>
      <c r="C389" s="63"/>
      <c r="D389" s="64"/>
      <c r="E389" s="65"/>
      <c r="F389" s="66"/>
      <c r="G389" s="62"/>
      <c r="H389" s="64"/>
      <c r="I389" s="62"/>
      <c r="J389" s="64"/>
    </row>
    <row r="390" spans="2:10" s="61" customFormat="1" x14ac:dyDescent="0.3">
      <c r="B390" s="67"/>
      <c r="C390" s="63"/>
      <c r="D390" s="64"/>
      <c r="E390" s="65"/>
      <c r="F390" s="66"/>
      <c r="G390" s="62"/>
      <c r="H390" s="64"/>
      <c r="I390" s="62"/>
      <c r="J390" s="64"/>
    </row>
    <row r="391" spans="2:10" s="61" customFormat="1" x14ac:dyDescent="0.3">
      <c r="B391" s="67"/>
      <c r="C391" s="63"/>
      <c r="D391" s="64"/>
      <c r="E391" s="65"/>
      <c r="F391" s="66"/>
      <c r="G391" s="62"/>
      <c r="H391" s="64"/>
      <c r="I391" s="62"/>
      <c r="J391" s="64"/>
    </row>
    <row r="392" spans="2:10" s="61" customFormat="1" x14ac:dyDescent="0.3">
      <c r="B392" s="67"/>
      <c r="C392" s="63"/>
      <c r="D392" s="64"/>
      <c r="E392" s="65"/>
      <c r="F392" s="66"/>
      <c r="G392" s="62"/>
      <c r="H392" s="64"/>
      <c r="I392" s="62"/>
      <c r="J392" s="64"/>
    </row>
    <row r="393" spans="2:10" s="61" customFormat="1" x14ac:dyDescent="0.3">
      <c r="B393" s="67"/>
      <c r="C393" s="63"/>
      <c r="D393" s="64"/>
      <c r="E393" s="65"/>
      <c r="F393" s="66"/>
      <c r="G393" s="62"/>
      <c r="H393" s="64"/>
      <c r="I393" s="62"/>
      <c r="J393" s="64"/>
    </row>
    <row r="394" spans="2:10" s="61" customFormat="1" x14ac:dyDescent="0.3">
      <c r="B394" s="67"/>
      <c r="C394" s="63"/>
      <c r="D394" s="64"/>
      <c r="E394" s="65"/>
      <c r="F394" s="66"/>
      <c r="G394" s="62"/>
      <c r="H394" s="64"/>
      <c r="I394" s="62"/>
      <c r="J394" s="64"/>
    </row>
    <row r="395" spans="2:10" s="61" customFormat="1" x14ac:dyDescent="0.3">
      <c r="B395" s="67"/>
      <c r="C395" s="63"/>
      <c r="D395" s="64"/>
      <c r="E395" s="65"/>
      <c r="F395" s="66"/>
      <c r="G395" s="62"/>
      <c r="H395" s="64"/>
      <c r="I395" s="62"/>
      <c r="J395" s="64"/>
    </row>
    <row r="396" spans="2:10" s="61" customFormat="1" x14ac:dyDescent="0.3">
      <c r="B396" s="67"/>
      <c r="C396" s="63"/>
      <c r="D396" s="64"/>
      <c r="E396" s="65"/>
      <c r="F396" s="66"/>
      <c r="G396" s="62"/>
      <c r="H396" s="64"/>
      <c r="I396" s="62"/>
      <c r="J396" s="64"/>
    </row>
    <row r="397" spans="2:10" s="61" customFormat="1" x14ac:dyDescent="0.3">
      <c r="B397" s="67"/>
      <c r="C397" s="63"/>
      <c r="D397" s="64"/>
      <c r="E397" s="65"/>
      <c r="F397" s="66"/>
      <c r="G397" s="62"/>
      <c r="H397" s="64"/>
      <c r="I397" s="62"/>
      <c r="J397" s="64"/>
    </row>
    <row r="398" spans="2:10" s="61" customFormat="1" x14ac:dyDescent="0.3">
      <c r="B398" s="67"/>
      <c r="C398" s="63"/>
      <c r="D398" s="64"/>
      <c r="E398" s="65"/>
      <c r="F398" s="66"/>
      <c r="G398" s="62"/>
      <c r="H398" s="64"/>
      <c r="I398" s="62"/>
      <c r="J398" s="64"/>
    </row>
    <row r="399" spans="2:10" s="61" customFormat="1" x14ac:dyDescent="0.3">
      <c r="B399" s="67"/>
      <c r="C399" s="63"/>
      <c r="D399" s="64"/>
      <c r="E399" s="65"/>
      <c r="F399" s="66"/>
      <c r="G399" s="62"/>
      <c r="H399" s="64"/>
      <c r="I399" s="62"/>
      <c r="J399" s="64"/>
    </row>
    <row r="400" spans="2:10" s="61" customFormat="1" x14ac:dyDescent="0.3">
      <c r="B400" s="67"/>
      <c r="C400" s="63"/>
      <c r="D400" s="64"/>
      <c r="E400" s="65"/>
      <c r="F400" s="66"/>
      <c r="G400" s="62"/>
      <c r="H400" s="64"/>
      <c r="I400" s="62"/>
      <c r="J400" s="64"/>
    </row>
    <row r="401" spans="2:10" s="61" customFormat="1" x14ac:dyDescent="0.3">
      <c r="B401" s="67"/>
      <c r="C401" s="63"/>
      <c r="D401" s="64"/>
      <c r="E401" s="65"/>
      <c r="F401" s="66"/>
      <c r="G401" s="62"/>
      <c r="H401" s="64"/>
      <c r="I401" s="62"/>
      <c r="J401" s="64"/>
    </row>
    <row r="402" spans="2:10" s="61" customFormat="1" x14ac:dyDescent="0.3">
      <c r="B402" s="67"/>
      <c r="C402" s="63"/>
      <c r="D402" s="64"/>
      <c r="E402" s="65"/>
      <c r="F402" s="66"/>
      <c r="G402" s="62"/>
      <c r="H402" s="64"/>
      <c r="I402" s="62"/>
      <c r="J402" s="64"/>
    </row>
    <row r="403" spans="2:10" s="61" customFormat="1" x14ac:dyDescent="0.3">
      <c r="B403" s="67"/>
      <c r="C403" s="63"/>
      <c r="D403" s="64"/>
      <c r="E403" s="65"/>
      <c r="F403" s="66"/>
      <c r="G403" s="62"/>
      <c r="H403" s="64"/>
      <c r="I403" s="62"/>
      <c r="J403" s="64"/>
    </row>
    <row r="404" spans="2:10" s="61" customFormat="1" x14ac:dyDescent="0.3">
      <c r="B404" s="67"/>
      <c r="C404" s="63"/>
      <c r="D404" s="64"/>
      <c r="E404" s="65"/>
      <c r="F404" s="66"/>
      <c r="G404" s="62"/>
      <c r="H404" s="64"/>
      <c r="I404" s="62"/>
      <c r="J404" s="64"/>
    </row>
    <row r="405" spans="2:10" s="61" customFormat="1" x14ac:dyDescent="0.3">
      <c r="B405" s="67"/>
      <c r="C405" s="63"/>
      <c r="D405" s="64"/>
      <c r="E405" s="65"/>
      <c r="F405" s="66"/>
      <c r="G405" s="62"/>
      <c r="H405" s="64"/>
      <c r="I405" s="62"/>
      <c r="J405" s="64"/>
    </row>
    <row r="406" spans="2:10" s="61" customFormat="1" x14ac:dyDescent="0.3">
      <c r="B406" s="67"/>
      <c r="C406" s="63"/>
      <c r="D406" s="64"/>
      <c r="E406" s="65"/>
      <c r="F406" s="66"/>
      <c r="G406" s="62"/>
      <c r="H406" s="64"/>
      <c r="I406" s="62"/>
      <c r="J406" s="64"/>
    </row>
    <row r="407" spans="2:10" s="61" customFormat="1" x14ac:dyDescent="0.3">
      <c r="B407" s="67"/>
      <c r="C407" s="63"/>
      <c r="D407" s="64"/>
      <c r="E407" s="65"/>
      <c r="F407" s="66"/>
      <c r="G407" s="62"/>
      <c r="H407" s="64"/>
      <c r="I407" s="62"/>
      <c r="J407" s="64"/>
    </row>
    <row r="408" spans="2:10" s="61" customFormat="1" x14ac:dyDescent="0.3">
      <c r="B408" s="67"/>
      <c r="C408" s="63"/>
      <c r="D408" s="64"/>
      <c r="E408" s="65"/>
      <c r="F408" s="66"/>
      <c r="G408" s="62"/>
      <c r="H408" s="64"/>
      <c r="I408" s="62"/>
      <c r="J408" s="64"/>
    </row>
    <row r="409" spans="2:10" s="61" customFormat="1" x14ac:dyDescent="0.3">
      <c r="B409" s="67"/>
      <c r="C409" s="63"/>
      <c r="D409" s="64"/>
      <c r="E409" s="65"/>
      <c r="F409" s="66"/>
      <c r="G409" s="62"/>
      <c r="H409" s="64"/>
      <c r="I409" s="62"/>
      <c r="J409" s="64"/>
    </row>
    <row r="410" spans="2:10" s="61" customFormat="1" x14ac:dyDescent="0.3">
      <c r="B410" s="67"/>
      <c r="C410" s="63"/>
      <c r="D410" s="64"/>
      <c r="E410" s="65"/>
      <c r="F410" s="66"/>
      <c r="G410" s="62"/>
      <c r="H410" s="64"/>
      <c r="I410" s="62"/>
      <c r="J410" s="64"/>
    </row>
    <row r="411" spans="2:10" s="61" customFormat="1" x14ac:dyDescent="0.3">
      <c r="B411" s="67"/>
      <c r="C411" s="63"/>
      <c r="D411" s="64"/>
      <c r="E411" s="65"/>
      <c r="F411" s="66"/>
      <c r="G411" s="62"/>
      <c r="H411" s="64"/>
      <c r="I411" s="62"/>
      <c r="J411" s="64"/>
    </row>
    <row r="412" spans="2:10" s="61" customFormat="1" x14ac:dyDescent="0.3">
      <c r="B412" s="67"/>
      <c r="C412" s="63"/>
      <c r="D412" s="64"/>
      <c r="E412" s="65"/>
      <c r="F412" s="66"/>
      <c r="G412" s="62"/>
      <c r="H412" s="64"/>
      <c r="I412" s="62"/>
      <c r="J412" s="64"/>
    </row>
    <row r="413" spans="2:10" s="61" customFormat="1" x14ac:dyDescent="0.3">
      <c r="B413" s="67"/>
      <c r="C413" s="63"/>
      <c r="D413" s="64"/>
      <c r="E413" s="65"/>
      <c r="F413" s="66"/>
      <c r="G413" s="62"/>
      <c r="H413" s="64"/>
      <c r="I413" s="62"/>
      <c r="J413" s="64"/>
    </row>
    <row r="414" spans="2:10" s="61" customFormat="1" x14ac:dyDescent="0.3">
      <c r="B414" s="67"/>
      <c r="C414" s="63"/>
      <c r="D414" s="64"/>
      <c r="E414" s="65"/>
      <c r="F414" s="66"/>
      <c r="G414" s="62"/>
      <c r="H414" s="64"/>
      <c r="I414" s="62"/>
      <c r="J414" s="64"/>
    </row>
    <row r="415" spans="2:10" s="61" customFormat="1" x14ac:dyDescent="0.3">
      <c r="B415" s="67"/>
      <c r="C415" s="63"/>
      <c r="D415" s="64"/>
      <c r="E415" s="65"/>
      <c r="F415" s="66"/>
      <c r="G415" s="62"/>
      <c r="H415" s="64"/>
      <c r="I415" s="62"/>
      <c r="J415" s="64"/>
    </row>
    <row r="416" spans="2:10" s="61" customFormat="1" x14ac:dyDescent="0.3">
      <c r="B416" s="67"/>
      <c r="C416" s="63"/>
      <c r="D416" s="64"/>
      <c r="E416" s="65"/>
      <c r="F416" s="66"/>
      <c r="G416" s="62"/>
      <c r="H416" s="64"/>
      <c r="I416" s="62"/>
      <c r="J416" s="64"/>
    </row>
    <row r="417" spans="2:10" s="61" customFormat="1" x14ac:dyDescent="0.3">
      <c r="B417" s="67"/>
      <c r="C417" s="63"/>
      <c r="D417" s="64"/>
      <c r="E417" s="65"/>
      <c r="F417" s="66"/>
      <c r="G417" s="62"/>
      <c r="H417" s="64"/>
      <c r="I417" s="62"/>
      <c r="J417" s="64"/>
    </row>
    <row r="418" spans="2:10" s="61" customFormat="1" x14ac:dyDescent="0.3">
      <c r="B418" s="67"/>
      <c r="C418" s="63"/>
      <c r="D418" s="64"/>
      <c r="E418" s="65"/>
      <c r="F418" s="66"/>
      <c r="G418" s="62"/>
      <c r="H418" s="64"/>
      <c r="I418" s="62"/>
      <c r="J418" s="64"/>
    </row>
    <row r="419" spans="2:10" s="61" customFormat="1" x14ac:dyDescent="0.3">
      <c r="B419" s="67"/>
      <c r="C419" s="63"/>
      <c r="D419" s="64"/>
      <c r="E419" s="65"/>
      <c r="F419" s="66"/>
      <c r="G419" s="62"/>
      <c r="H419" s="64"/>
      <c r="I419" s="62"/>
      <c r="J419" s="64"/>
    </row>
    <row r="420" spans="2:10" s="61" customFormat="1" x14ac:dyDescent="0.3">
      <c r="B420" s="67"/>
      <c r="C420" s="63"/>
      <c r="D420" s="64"/>
      <c r="E420" s="65"/>
      <c r="F420" s="66"/>
      <c r="G420" s="62"/>
      <c r="H420" s="64"/>
      <c r="I420" s="62"/>
      <c r="J420" s="64"/>
    </row>
    <row r="421" spans="2:10" s="61" customFormat="1" x14ac:dyDescent="0.3">
      <c r="B421" s="67"/>
      <c r="C421" s="63"/>
      <c r="D421" s="64"/>
      <c r="E421" s="65"/>
      <c r="F421" s="66"/>
      <c r="G421" s="62"/>
      <c r="H421" s="64"/>
      <c r="I421" s="62"/>
      <c r="J421" s="64"/>
    </row>
    <row r="422" spans="2:10" s="61" customFormat="1" x14ac:dyDescent="0.3">
      <c r="B422" s="67"/>
      <c r="C422" s="63"/>
      <c r="D422" s="64"/>
      <c r="E422" s="65"/>
      <c r="F422" s="66"/>
      <c r="G422" s="62"/>
      <c r="H422" s="64"/>
      <c r="I422" s="62"/>
      <c r="J422" s="64"/>
    </row>
    <row r="423" spans="2:10" s="61" customFormat="1" x14ac:dyDescent="0.3">
      <c r="B423" s="67"/>
      <c r="C423" s="63"/>
      <c r="D423" s="64"/>
      <c r="E423" s="65"/>
      <c r="F423" s="66"/>
      <c r="G423" s="62"/>
      <c r="H423" s="64"/>
      <c r="I423" s="62"/>
      <c r="J423" s="64"/>
    </row>
    <row r="424" spans="2:10" s="61" customFormat="1" x14ac:dyDescent="0.3">
      <c r="B424" s="67"/>
      <c r="C424" s="63"/>
      <c r="D424" s="64"/>
      <c r="E424" s="65"/>
      <c r="F424" s="66"/>
      <c r="G424" s="62"/>
      <c r="H424" s="64"/>
      <c r="I424" s="62"/>
      <c r="J424" s="64"/>
    </row>
    <row r="425" spans="2:10" s="61" customFormat="1" x14ac:dyDescent="0.3">
      <c r="B425" s="67"/>
      <c r="C425" s="63"/>
      <c r="D425" s="64"/>
      <c r="E425" s="65"/>
      <c r="F425" s="66"/>
      <c r="G425" s="62"/>
      <c r="H425" s="64"/>
      <c r="I425" s="62"/>
      <c r="J425" s="64"/>
    </row>
    <row r="426" spans="2:10" s="61" customFormat="1" x14ac:dyDescent="0.3">
      <c r="B426" s="67"/>
      <c r="C426" s="63"/>
      <c r="D426" s="64"/>
      <c r="E426" s="65"/>
      <c r="F426" s="66"/>
      <c r="G426" s="62"/>
      <c r="H426" s="64"/>
      <c r="I426" s="62"/>
      <c r="J426" s="64"/>
    </row>
    <row r="427" spans="2:10" s="61" customFormat="1" x14ac:dyDescent="0.3">
      <c r="B427" s="67"/>
      <c r="C427" s="63"/>
      <c r="D427" s="64"/>
      <c r="E427" s="65"/>
      <c r="F427" s="66"/>
      <c r="G427" s="62"/>
      <c r="H427" s="64"/>
      <c r="I427" s="62"/>
      <c r="J427" s="64"/>
    </row>
    <row r="428" spans="2:10" s="61" customFormat="1" x14ac:dyDescent="0.3">
      <c r="B428" s="67"/>
      <c r="C428" s="63"/>
      <c r="D428" s="64"/>
      <c r="E428" s="65"/>
      <c r="F428" s="66"/>
      <c r="G428" s="62"/>
      <c r="H428" s="64"/>
      <c r="I428" s="62"/>
      <c r="J428" s="64"/>
    </row>
    <row r="429" spans="2:10" s="61" customFormat="1" x14ac:dyDescent="0.3">
      <c r="B429" s="67"/>
      <c r="C429" s="63"/>
      <c r="D429" s="64"/>
      <c r="E429" s="65"/>
      <c r="F429" s="66"/>
      <c r="G429" s="62"/>
      <c r="H429" s="64"/>
      <c r="I429" s="62"/>
      <c r="J429" s="64"/>
    </row>
    <row r="430" spans="2:10" s="61" customFormat="1" x14ac:dyDescent="0.3">
      <c r="B430" s="67"/>
      <c r="C430" s="63"/>
      <c r="D430" s="64"/>
      <c r="E430" s="65"/>
      <c r="F430" s="66"/>
      <c r="G430" s="62"/>
      <c r="H430" s="64"/>
      <c r="I430" s="62"/>
      <c r="J430" s="64"/>
    </row>
    <row r="431" spans="2:10" s="61" customFormat="1" x14ac:dyDescent="0.3">
      <c r="B431" s="67"/>
      <c r="C431" s="63"/>
      <c r="D431" s="64"/>
      <c r="E431" s="65"/>
      <c r="F431" s="66"/>
      <c r="G431" s="62"/>
      <c r="H431" s="64"/>
      <c r="I431" s="62"/>
      <c r="J431" s="64"/>
    </row>
    <row r="432" spans="2:10" s="61" customFormat="1" x14ac:dyDescent="0.3">
      <c r="B432" s="67"/>
      <c r="C432" s="63"/>
      <c r="D432" s="64"/>
      <c r="E432" s="65"/>
      <c r="F432" s="66"/>
      <c r="G432" s="62"/>
      <c r="H432" s="64"/>
      <c r="I432" s="62"/>
      <c r="J432" s="64"/>
    </row>
    <row r="433" spans="2:10" s="61" customFormat="1" x14ac:dyDescent="0.3">
      <c r="B433" s="67"/>
      <c r="C433" s="63"/>
      <c r="D433" s="64"/>
      <c r="E433" s="65"/>
      <c r="F433" s="66"/>
      <c r="G433" s="62"/>
      <c r="H433" s="64"/>
      <c r="I433" s="62"/>
      <c r="J433" s="64"/>
    </row>
    <row r="434" spans="2:10" s="61" customFormat="1" x14ac:dyDescent="0.3">
      <c r="B434" s="67"/>
      <c r="C434" s="63"/>
      <c r="D434" s="64"/>
      <c r="E434" s="65"/>
      <c r="F434" s="66"/>
      <c r="G434" s="62"/>
      <c r="H434" s="64"/>
      <c r="I434" s="62"/>
      <c r="J434" s="64"/>
    </row>
    <row r="435" spans="2:10" s="61" customFormat="1" x14ac:dyDescent="0.3">
      <c r="B435" s="67"/>
      <c r="C435" s="63"/>
      <c r="D435" s="64"/>
      <c r="E435" s="65"/>
      <c r="F435" s="66"/>
      <c r="G435" s="62"/>
      <c r="H435" s="64"/>
      <c r="I435" s="62"/>
      <c r="J435" s="64"/>
    </row>
    <row r="436" spans="2:10" s="61" customFormat="1" x14ac:dyDescent="0.3">
      <c r="B436" s="67"/>
      <c r="C436" s="63"/>
      <c r="D436" s="64"/>
      <c r="E436" s="65"/>
      <c r="F436" s="66"/>
      <c r="G436" s="62"/>
      <c r="H436" s="64"/>
      <c r="I436" s="62"/>
      <c r="J436" s="64"/>
    </row>
    <row r="437" spans="2:10" s="61" customFormat="1" x14ac:dyDescent="0.3">
      <c r="B437" s="67"/>
      <c r="C437" s="63"/>
      <c r="D437" s="64"/>
      <c r="E437" s="65"/>
      <c r="F437" s="66"/>
      <c r="G437" s="62"/>
      <c r="H437" s="64"/>
      <c r="I437" s="62"/>
      <c r="J437" s="64"/>
    </row>
    <row r="438" spans="2:10" s="61" customFormat="1" x14ac:dyDescent="0.3">
      <c r="B438" s="67"/>
      <c r="C438" s="63"/>
      <c r="D438" s="64"/>
      <c r="E438" s="65"/>
      <c r="F438" s="66"/>
      <c r="G438" s="62"/>
      <c r="H438" s="64"/>
      <c r="I438" s="62"/>
      <c r="J438" s="64"/>
    </row>
    <row r="439" spans="2:10" s="61" customFormat="1" x14ac:dyDescent="0.3">
      <c r="B439" s="67"/>
      <c r="C439" s="63"/>
      <c r="D439" s="64"/>
      <c r="E439" s="65"/>
      <c r="F439" s="66"/>
      <c r="G439" s="62"/>
      <c r="H439" s="64"/>
      <c r="I439" s="62"/>
      <c r="J439" s="64"/>
    </row>
    <row r="440" spans="2:10" s="61" customFormat="1" x14ac:dyDescent="0.3">
      <c r="B440" s="67"/>
      <c r="C440" s="63"/>
      <c r="D440" s="64"/>
      <c r="E440" s="65"/>
      <c r="F440" s="66"/>
      <c r="G440" s="62"/>
      <c r="H440" s="64"/>
      <c r="I440" s="62"/>
      <c r="J440" s="64"/>
    </row>
    <row r="441" spans="2:10" s="61" customFormat="1" x14ac:dyDescent="0.3">
      <c r="B441" s="67"/>
      <c r="C441" s="63"/>
      <c r="D441" s="64"/>
      <c r="E441" s="65"/>
      <c r="F441" s="66"/>
      <c r="G441" s="62"/>
      <c r="H441" s="64"/>
      <c r="I441" s="62"/>
      <c r="J441" s="64"/>
    </row>
    <row r="442" spans="2:10" s="61" customFormat="1" x14ac:dyDescent="0.3">
      <c r="B442" s="67"/>
      <c r="C442" s="63"/>
      <c r="D442" s="64"/>
      <c r="E442" s="65"/>
      <c r="F442" s="66"/>
      <c r="G442" s="62"/>
      <c r="H442" s="64"/>
      <c r="I442" s="62"/>
      <c r="J442" s="64"/>
    </row>
    <row r="443" spans="2:10" s="61" customFormat="1" x14ac:dyDescent="0.3">
      <c r="B443" s="67"/>
      <c r="C443" s="63"/>
      <c r="D443" s="64"/>
      <c r="E443" s="65"/>
      <c r="F443" s="66"/>
      <c r="G443" s="62"/>
      <c r="H443" s="64"/>
      <c r="I443" s="62"/>
      <c r="J443" s="64"/>
    </row>
    <row r="444" spans="2:10" s="61" customFormat="1" x14ac:dyDescent="0.3">
      <c r="B444" s="67"/>
      <c r="C444" s="63"/>
      <c r="D444" s="64"/>
      <c r="E444" s="65"/>
      <c r="F444" s="66"/>
      <c r="G444" s="62"/>
      <c r="H444" s="64"/>
      <c r="I444" s="62"/>
      <c r="J444" s="64"/>
    </row>
    <row r="445" spans="2:10" s="61" customFormat="1" x14ac:dyDescent="0.3">
      <c r="B445" s="67"/>
      <c r="C445" s="63"/>
      <c r="D445" s="64"/>
      <c r="E445" s="65"/>
      <c r="F445" s="66"/>
      <c r="G445" s="62"/>
      <c r="H445" s="64"/>
      <c r="I445" s="62"/>
      <c r="J445" s="64"/>
    </row>
    <row r="446" spans="2:10" s="61" customFormat="1" x14ac:dyDescent="0.3">
      <c r="B446" s="67"/>
      <c r="C446" s="63"/>
      <c r="D446" s="64"/>
      <c r="E446" s="65"/>
      <c r="F446" s="66"/>
      <c r="G446" s="62"/>
      <c r="H446" s="64"/>
      <c r="I446" s="62"/>
      <c r="J446" s="64"/>
    </row>
    <row r="447" spans="2:10" s="61" customFormat="1" x14ac:dyDescent="0.3">
      <c r="B447" s="67"/>
      <c r="C447" s="63"/>
      <c r="D447" s="64"/>
      <c r="E447" s="65"/>
      <c r="F447" s="66"/>
      <c r="G447" s="62"/>
      <c r="H447" s="64"/>
      <c r="I447" s="62"/>
      <c r="J447" s="64"/>
    </row>
    <row r="448" spans="2:10" s="61" customFormat="1" x14ac:dyDescent="0.3">
      <c r="B448" s="67"/>
      <c r="C448" s="63"/>
      <c r="D448" s="64"/>
      <c r="E448" s="65"/>
      <c r="F448" s="66"/>
      <c r="G448" s="62"/>
      <c r="H448" s="64"/>
      <c r="I448" s="62"/>
      <c r="J448" s="64"/>
    </row>
    <row r="449" spans="2:10" s="61" customFormat="1" x14ac:dyDescent="0.3">
      <c r="B449" s="67"/>
      <c r="C449" s="63"/>
      <c r="D449" s="64"/>
      <c r="E449" s="65"/>
      <c r="F449" s="66"/>
      <c r="G449" s="62"/>
      <c r="H449" s="64"/>
      <c r="I449" s="62"/>
      <c r="J449" s="64"/>
    </row>
    <row r="450" spans="2:10" s="61" customFormat="1" x14ac:dyDescent="0.3">
      <c r="B450" s="67"/>
      <c r="C450" s="63"/>
      <c r="D450" s="64"/>
      <c r="E450" s="65"/>
      <c r="F450" s="66"/>
      <c r="G450" s="62"/>
      <c r="H450" s="64"/>
      <c r="I450" s="62"/>
      <c r="J450" s="64"/>
    </row>
    <row r="451" spans="2:10" s="61" customFormat="1" x14ac:dyDescent="0.3">
      <c r="B451" s="67"/>
      <c r="C451" s="63"/>
      <c r="D451" s="64"/>
      <c r="E451" s="65"/>
      <c r="F451" s="66"/>
      <c r="G451" s="62"/>
      <c r="H451" s="64"/>
      <c r="I451" s="62"/>
      <c r="J451" s="64"/>
    </row>
    <row r="452" spans="2:10" s="61" customFormat="1" x14ac:dyDescent="0.3">
      <c r="B452" s="67"/>
      <c r="C452" s="63"/>
      <c r="D452" s="64"/>
      <c r="E452" s="65"/>
      <c r="F452" s="66"/>
      <c r="G452" s="62"/>
      <c r="H452" s="64"/>
      <c r="I452" s="62"/>
      <c r="J452" s="64"/>
    </row>
    <row r="453" spans="2:10" s="61" customFormat="1" x14ac:dyDescent="0.3">
      <c r="B453" s="67"/>
      <c r="C453" s="63"/>
      <c r="D453" s="64"/>
      <c r="E453" s="65"/>
      <c r="F453" s="66"/>
      <c r="G453" s="62"/>
      <c r="H453" s="64"/>
      <c r="I453" s="62"/>
      <c r="J453" s="64"/>
    </row>
    <row r="454" spans="2:10" s="61" customFormat="1" x14ac:dyDescent="0.3">
      <c r="B454" s="67"/>
      <c r="C454" s="63"/>
      <c r="D454" s="64"/>
      <c r="E454" s="65"/>
      <c r="F454" s="66"/>
      <c r="G454" s="62"/>
      <c r="H454" s="64"/>
      <c r="I454" s="62"/>
      <c r="J454" s="64"/>
    </row>
    <row r="455" spans="2:10" s="61" customFormat="1" x14ac:dyDescent="0.3">
      <c r="B455" s="67"/>
      <c r="C455" s="63"/>
      <c r="D455" s="64"/>
      <c r="E455" s="65"/>
      <c r="F455" s="66"/>
      <c r="G455" s="62"/>
      <c r="H455" s="64"/>
      <c r="I455" s="62"/>
      <c r="J455" s="64"/>
    </row>
    <row r="456" spans="2:10" s="61" customFormat="1" x14ac:dyDescent="0.3">
      <c r="B456" s="67"/>
      <c r="C456" s="63"/>
      <c r="D456" s="64"/>
      <c r="E456" s="65"/>
      <c r="F456" s="66"/>
      <c r="G456" s="62"/>
      <c r="H456" s="64"/>
      <c r="I456" s="62"/>
      <c r="J456" s="64"/>
    </row>
    <row r="457" spans="2:10" s="61" customFormat="1" x14ac:dyDescent="0.3">
      <c r="B457" s="67"/>
      <c r="C457" s="63"/>
      <c r="D457" s="64"/>
      <c r="E457" s="65"/>
      <c r="F457" s="66"/>
      <c r="G457" s="62"/>
      <c r="H457" s="64"/>
      <c r="I457" s="62"/>
      <c r="J457" s="64"/>
    </row>
    <row r="458" spans="2:10" s="61" customFormat="1" x14ac:dyDescent="0.3">
      <c r="B458" s="67"/>
      <c r="C458" s="63"/>
      <c r="D458" s="64"/>
      <c r="E458" s="65"/>
      <c r="F458" s="66"/>
      <c r="G458" s="62"/>
      <c r="H458" s="64"/>
      <c r="I458" s="62"/>
      <c r="J458" s="64"/>
    </row>
    <row r="459" spans="2:10" s="61" customFormat="1" x14ac:dyDescent="0.3">
      <c r="B459" s="67"/>
      <c r="C459" s="63"/>
      <c r="D459" s="64"/>
      <c r="E459" s="65"/>
      <c r="F459" s="66"/>
      <c r="G459" s="62"/>
      <c r="H459" s="64"/>
      <c r="I459" s="62"/>
      <c r="J459" s="64"/>
    </row>
    <row r="460" spans="2:10" s="61" customFormat="1" x14ac:dyDescent="0.3">
      <c r="B460" s="67"/>
      <c r="C460" s="63"/>
      <c r="D460" s="64"/>
      <c r="E460" s="65"/>
      <c r="F460" s="66"/>
      <c r="G460" s="62"/>
      <c r="H460" s="64"/>
      <c r="I460" s="62"/>
      <c r="J460" s="64"/>
    </row>
    <row r="461" spans="2:10" s="61" customFormat="1" x14ac:dyDescent="0.3">
      <c r="B461" s="67"/>
      <c r="C461" s="63"/>
      <c r="D461" s="64"/>
      <c r="E461" s="65"/>
      <c r="F461" s="66"/>
      <c r="G461" s="62"/>
      <c r="H461" s="64"/>
      <c r="I461" s="62"/>
      <c r="J461" s="64"/>
    </row>
    <row r="462" spans="2:10" s="61" customFormat="1" x14ac:dyDescent="0.3">
      <c r="B462" s="67"/>
      <c r="C462" s="63"/>
      <c r="D462" s="64"/>
      <c r="E462" s="65"/>
      <c r="F462" s="66"/>
      <c r="G462" s="62"/>
      <c r="H462" s="64"/>
      <c r="I462" s="62"/>
      <c r="J462" s="64"/>
    </row>
    <row r="463" spans="2:10" s="61" customFormat="1" x14ac:dyDescent="0.3">
      <c r="B463" s="67"/>
      <c r="C463" s="63"/>
      <c r="D463" s="64"/>
      <c r="E463" s="65"/>
      <c r="F463" s="66"/>
      <c r="G463" s="62"/>
      <c r="H463" s="64"/>
      <c r="I463" s="62"/>
      <c r="J463" s="64"/>
    </row>
    <row r="464" spans="2:10" s="61" customFormat="1" x14ac:dyDescent="0.3">
      <c r="B464" s="67"/>
      <c r="C464" s="63"/>
      <c r="D464" s="64"/>
      <c r="E464" s="65"/>
      <c r="F464" s="66"/>
      <c r="G464" s="62"/>
      <c r="H464" s="64"/>
      <c r="I464" s="62"/>
      <c r="J464" s="64"/>
    </row>
    <row r="465" spans="2:10" s="61" customFormat="1" x14ac:dyDescent="0.3">
      <c r="B465" s="67"/>
      <c r="C465" s="63"/>
      <c r="D465" s="64"/>
      <c r="E465" s="65"/>
      <c r="F465" s="66"/>
      <c r="G465" s="62"/>
      <c r="H465" s="64"/>
      <c r="I465" s="62"/>
      <c r="J465" s="64"/>
    </row>
    <row r="466" spans="2:10" s="61" customFormat="1" x14ac:dyDescent="0.3">
      <c r="B466" s="67"/>
      <c r="C466" s="63"/>
      <c r="D466" s="64"/>
      <c r="E466" s="65"/>
      <c r="F466" s="66"/>
      <c r="G466" s="62"/>
      <c r="H466" s="64"/>
      <c r="I466" s="62"/>
      <c r="J466" s="64"/>
    </row>
    <row r="467" spans="2:10" s="61" customFormat="1" x14ac:dyDescent="0.3">
      <c r="B467" s="67"/>
      <c r="C467" s="63"/>
      <c r="D467" s="64"/>
      <c r="E467" s="65"/>
      <c r="F467" s="66"/>
      <c r="G467" s="62"/>
      <c r="H467" s="64"/>
      <c r="I467" s="62"/>
      <c r="J467" s="64"/>
    </row>
    <row r="468" spans="2:10" s="61" customFormat="1" x14ac:dyDescent="0.3">
      <c r="B468" s="67"/>
      <c r="C468" s="63"/>
      <c r="D468" s="64"/>
      <c r="E468" s="65"/>
      <c r="F468" s="66"/>
      <c r="G468" s="62"/>
      <c r="H468" s="64"/>
      <c r="I468" s="62"/>
      <c r="J468" s="64"/>
    </row>
    <row r="469" spans="2:10" s="61" customFormat="1" x14ac:dyDescent="0.3">
      <c r="B469" s="67"/>
      <c r="C469" s="63"/>
      <c r="D469" s="64"/>
      <c r="E469" s="65"/>
      <c r="F469" s="66"/>
      <c r="G469" s="62"/>
      <c r="H469" s="64"/>
      <c r="I469" s="62"/>
      <c r="J469" s="64"/>
    </row>
    <row r="470" spans="2:10" s="61" customFormat="1" x14ac:dyDescent="0.3">
      <c r="B470" s="67"/>
      <c r="C470" s="63"/>
      <c r="D470" s="64"/>
      <c r="E470" s="65"/>
      <c r="F470" s="66"/>
      <c r="G470" s="62"/>
      <c r="H470" s="64"/>
      <c r="I470" s="62"/>
      <c r="J470" s="64"/>
    </row>
    <row r="471" spans="2:10" s="61" customFormat="1" x14ac:dyDescent="0.3">
      <c r="B471" s="67"/>
      <c r="C471" s="63"/>
      <c r="D471" s="64"/>
      <c r="E471" s="65"/>
      <c r="F471" s="66"/>
      <c r="G471" s="62"/>
      <c r="H471" s="64"/>
      <c r="I471" s="62"/>
      <c r="J471" s="64"/>
    </row>
    <row r="472" spans="2:10" s="61" customFormat="1" x14ac:dyDescent="0.3">
      <c r="B472" s="67"/>
      <c r="C472" s="63"/>
      <c r="D472" s="64"/>
      <c r="E472" s="65"/>
      <c r="F472" s="66"/>
      <c r="G472" s="62"/>
      <c r="H472" s="64"/>
      <c r="I472" s="62"/>
      <c r="J472" s="64"/>
    </row>
    <row r="473" spans="2:10" s="61" customFormat="1" x14ac:dyDescent="0.3">
      <c r="B473" s="67"/>
      <c r="C473" s="63"/>
      <c r="D473" s="64"/>
      <c r="E473" s="65"/>
      <c r="F473" s="66"/>
      <c r="G473" s="62"/>
      <c r="H473" s="64"/>
      <c r="I473" s="62"/>
      <c r="J473" s="64"/>
    </row>
    <row r="474" spans="2:10" s="61" customFormat="1" x14ac:dyDescent="0.3">
      <c r="B474" s="67"/>
      <c r="C474" s="63"/>
      <c r="D474" s="64"/>
      <c r="E474" s="65"/>
      <c r="F474" s="66"/>
      <c r="G474" s="62"/>
      <c r="H474" s="64"/>
      <c r="I474" s="62"/>
      <c r="J474" s="64"/>
    </row>
    <row r="475" spans="2:10" s="61" customFormat="1" x14ac:dyDescent="0.3">
      <c r="B475" s="67"/>
      <c r="C475" s="63"/>
      <c r="D475" s="64"/>
      <c r="E475" s="65"/>
      <c r="F475" s="66"/>
      <c r="G475" s="62"/>
      <c r="H475" s="64"/>
      <c r="I475" s="62"/>
      <c r="J475" s="64"/>
    </row>
    <row r="476" spans="2:10" s="61" customFormat="1" x14ac:dyDescent="0.3">
      <c r="B476" s="67"/>
      <c r="C476" s="63"/>
      <c r="D476" s="64"/>
      <c r="E476" s="65"/>
      <c r="F476" s="66"/>
      <c r="G476" s="62"/>
      <c r="H476" s="64"/>
      <c r="I476" s="62"/>
      <c r="J476" s="64"/>
    </row>
    <row r="477" spans="2:10" s="61" customFormat="1" x14ac:dyDescent="0.3">
      <c r="B477" s="67"/>
      <c r="C477" s="63"/>
      <c r="D477" s="64"/>
      <c r="E477" s="65"/>
      <c r="F477" s="66"/>
      <c r="G477" s="62"/>
      <c r="H477" s="64"/>
      <c r="I477" s="62"/>
      <c r="J477" s="64"/>
    </row>
    <row r="478" spans="2:10" s="61" customFormat="1" x14ac:dyDescent="0.3">
      <c r="B478" s="67"/>
      <c r="C478" s="63"/>
      <c r="D478" s="64"/>
      <c r="E478" s="65"/>
      <c r="F478" s="66"/>
      <c r="G478" s="62"/>
      <c r="H478" s="64"/>
      <c r="I478" s="62"/>
      <c r="J478" s="64"/>
    </row>
    <row r="479" spans="2:10" s="61" customFormat="1" x14ac:dyDescent="0.3">
      <c r="B479" s="67"/>
      <c r="C479" s="63"/>
      <c r="D479" s="64"/>
      <c r="E479" s="65"/>
      <c r="F479" s="66"/>
      <c r="G479" s="62"/>
      <c r="H479" s="64"/>
      <c r="I479" s="62"/>
      <c r="J479" s="64"/>
    </row>
    <row r="480" spans="2:10" s="61" customFormat="1" x14ac:dyDescent="0.3">
      <c r="B480" s="67"/>
      <c r="C480" s="63"/>
      <c r="D480" s="64"/>
      <c r="E480" s="65"/>
      <c r="F480" s="66"/>
      <c r="G480" s="62"/>
      <c r="H480" s="64"/>
      <c r="I480" s="62"/>
      <c r="J480" s="64"/>
    </row>
    <row r="481" spans="2:10" s="61" customFormat="1" x14ac:dyDescent="0.3">
      <c r="B481" s="67"/>
      <c r="C481" s="63"/>
      <c r="D481" s="64"/>
      <c r="E481" s="65"/>
      <c r="F481" s="66"/>
      <c r="G481" s="62"/>
      <c r="H481" s="64"/>
      <c r="I481" s="62"/>
      <c r="J481" s="64"/>
    </row>
    <row r="482" spans="2:10" s="61" customFormat="1" x14ac:dyDescent="0.3">
      <c r="B482" s="67"/>
      <c r="C482" s="63"/>
      <c r="D482" s="64"/>
      <c r="E482" s="65"/>
      <c r="F482" s="66"/>
      <c r="G482" s="62"/>
      <c r="H482" s="64"/>
      <c r="I482" s="62"/>
      <c r="J482" s="64"/>
    </row>
    <row r="483" spans="2:10" s="61" customFormat="1" x14ac:dyDescent="0.3">
      <c r="B483" s="67"/>
      <c r="C483" s="63"/>
      <c r="D483" s="64"/>
      <c r="E483" s="65"/>
      <c r="F483" s="66"/>
      <c r="G483" s="62"/>
      <c r="H483" s="64"/>
      <c r="I483" s="62"/>
      <c r="J483" s="64"/>
    </row>
    <row r="484" spans="2:10" s="61" customFormat="1" x14ac:dyDescent="0.3">
      <c r="B484" s="67"/>
      <c r="C484" s="63"/>
      <c r="D484" s="64"/>
      <c r="E484" s="65"/>
      <c r="F484" s="66"/>
      <c r="G484" s="62"/>
      <c r="H484" s="64"/>
      <c r="I484" s="62"/>
      <c r="J484" s="64"/>
    </row>
    <row r="485" spans="2:10" s="61" customFormat="1" x14ac:dyDescent="0.3">
      <c r="B485" s="67"/>
      <c r="C485" s="63"/>
      <c r="D485" s="64"/>
      <c r="E485" s="65"/>
      <c r="F485" s="66"/>
      <c r="G485" s="62"/>
      <c r="H485" s="64"/>
      <c r="I485" s="62"/>
      <c r="J485" s="64"/>
    </row>
    <row r="486" spans="2:10" s="61" customFormat="1" x14ac:dyDescent="0.3">
      <c r="B486" s="67"/>
      <c r="C486" s="63"/>
      <c r="D486" s="64"/>
      <c r="E486" s="65"/>
      <c r="F486" s="66"/>
      <c r="G486" s="62"/>
      <c r="H486" s="64"/>
      <c r="I486" s="62"/>
      <c r="J486" s="64"/>
    </row>
    <row r="487" spans="2:10" s="61" customFormat="1" x14ac:dyDescent="0.3">
      <c r="B487" s="67"/>
      <c r="C487" s="63"/>
      <c r="D487" s="64"/>
      <c r="E487" s="65"/>
      <c r="F487" s="66"/>
      <c r="G487" s="62"/>
      <c r="H487" s="64"/>
      <c r="I487" s="62"/>
      <c r="J487" s="64"/>
    </row>
    <row r="488" spans="2:10" s="61" customFormat="1" x14ac:dyDescent="0.3">
      <c r="B488" s="67"/>
      <c r="C488" s="63"/>
      <c r="D488" s="64"/>
      <c r="E488" s="65"/>
      <c r="F488" s="66"/>
      <c r="G488" s="62"/>
      <c r="H488" s="64"/>
      <c r="I488" s="62"/>
      <c r="J488" s="64"/>
    </row>
    <row r="489" spans="2:10" s="61" customFormat="1" x14ac:dyDescent="0.3">
      <c r="B489" s="67"/>
      <c r="C489" s="63"/>
      <c r="D489" s="64"/>
      <c r="E489" s="65"/>
      <c r="F489" s="66"/>
      <c r="G489" s="62"/>
      <c r="H489" s="64"/>
      <c r="I489" s="62"/>
      <c r="J489" s="64"/>
    </row>
    <row r="490" spans="2:10" s="61" customFormat="1" x14ac:dyDescent="0.3">
      <c r="B490" s="67"/>
      <c r="C490" s="63"/>
      <c r="D490" s="64"/>
      <c r="E490" s="65"/>
      <c r="F490" s="66"/>
      <c r="G490" s="62"/>
      <c r="H490" s="64"/>
      <c r="I490" s="62"/>
      <c r="J490" s="64"/>
    </row>
    <row r="491" spans="2:10" s="61" customFormat="1" x14ac:dyDescent="0.3">
      <c r="B491" s="67"/>
      <c r="C491" s="63"/>
      <c r="D491" s="64"/>
      <c r="E491" s="65"/>
      <c r="F491" s="66"/>
      <c r="G491" s="62"/>
      <c r="H491" s="64"/>
      <c r="I491" s="62"/>
      <c r="J491" s="64"/>
    </row>
    <row r="492" spans="2:10" s="61" customFormat="1" x14ac:dyDescent="0.3">
      <c r="B492" s="67"/>
      <c r="C492" s="63"/>
      <c r="D492" s="64"/>
      <c r="E492" s="65"/>
      <c r="F492" s="66"/>
      <c r="G492" s="62"/>
      <c r="H492" s="64"/>
      <c r="I492" s="62"/>
      <c r="J492" s="64"/>
    </row>
    <row r="493" spans="2:10" s="61" customFormat="1" x14ac:dyDescent="0.3">
      <c r="B493" s="67"/>
      <c r="C493" s="63"/>
      <c r="D493" s="64"/>
      <c r="E493" s="65"/>
      <c r="F493" s="66"/>
      <c r="G493" s="62"/>
      <c r="H493" s="64"/>
      <c r="I493" s="62"/>
      <c r="J493" s="64"/>
    </row>
    <row r="494" spans="2:10" s="61" customFormat="1" x14ac:dyDescent="0.3">
      <c r="B494" s="67"/>
      <c r="C494" s="63"/>
      <c r="D494" s="64"/>
      <c r="E494" s="65"/>
      <c r="F494" s="66"/>
      <c r="G494" s="62"/>
      <c r="H494" s="64"/>
      <c r="I494" s="62"/>
      <c r="J494" s="64"/>
    </row>
    <row r="495" spans="2:10" s="61" customFormat="1" x14ac:dyDescent="0.3">
      <c r="B495" s="67"/>
      <c r="C495" s="63"/>
      <c r="D495" s="64"/>
      <c r="E495" s="65"/>
      <c r="F495" s="66"/>
      <c r="G495" s="62"/>
      <c r="H495" s="64"/>
      <c r="I495" s="62"/>
      <c r="J495" s="64"/>
    </row>
    <row r="496" spans="2:10" s="61" customFormat="1" x14ac:dyDescent="0.3">
      <c r="B496" s="67"/>
      <c r="C496" s="63"/>
      <c r="D496" s="64"/>
      <c r="E496" s="65"/>
      <c r="F496" s="66"/>
      <c r="G496" s="62"/>
      <c r="H496" s="64"/>
      <c r="I496" s="62"/>
      <c r="J496" s="64"/>
    </row>
    <row r="497" spans="2:10" s="61" customFormat="1" x14ac:dyDescent="0.3">
      <c r="B497" s="67"/>
      <c r="C497" s="63"/>
      <c r="D497" s="64"/>
      <c r="E497" s="65"/>
      <c r="F497" s="66"/>
      <c r="G497" s="62"/>
      <c r="H497" s="64"/>
      <c r="I497" s="62"/>
      <c r="J497" s="64"/>
    </row>
    <row r="498" spans="2:10" s="61" customFormat="1" x14ac:dyDescent="0.3">
      <c r="B498" s="67"/>
      <c r="C498" s="63"/>
      <c r="D498" s="64"/>
      <c r="E498" s="65"/>
      <c r="F498" s="66"/>
      <c r="G498" s="62"/>
      <c r="H498" s="64"/>
      <c r="I498" s="62"/>
      <c r="J498" s="64"/>
    </row>
    <row r="499" spans="2:10" s="61" customFormat="1" x14ac:dyDescent="0.3">
      <c r="B499" s="67"/>
      <c r="C499" s="63"/>
      <c r="D499" s="64"/>
      <c r="E499" s="65"/>
      <c r="F499" s="66"/>
      <c r="G499" s="62"/>
      <c r="H499" s="64"/>
      <c r="I499" s="62"/>
      <c r="J499" s="64"/>
    </row>
    <row r="500" spans="2:10" s="61" customFormat="1" x14ac:dyDescent="0.3">
      <c r="B500" s="67"/>
      <c r="C500" s="63"/>
      <c r="D500" s="64"/>
      <c r="E500" s="65"/>
      <c r="F500" s="66"/>
      <c r="G500" s="62"/>
      <c r="H500" s="64"/>
      <c r="I500" s="62"/>
      <c r="J500" s="64"/>
    </row>
    <row r="501" spans="2:10" s="61" customFormat="1" x14ac:dyDescent="0.3">
      <c r="B501" s="67"/>
      <c r="C501" s="63"/>
      <c r="D501" s="64"/>
      <c r="E501" s="65"/>
      <c r="F501" s="66"/>
      <c r="G501" s="62"/>
      <c r="H501" s="64"/>
      <c r="I501" s="62"/>
      <c r="J501" s="64"/>
    </row>
    <row r="502" spans="2:10" s="61" customFormat="1" x14ac:dyDescent="0.3">
      <c r="B502" s="67"/>
      <c r="C502" s="63"/>
      <c r="D502" s="64"/>
      <c r="E502" s="65"/>
      <c r="F502" s="66"/>
      <c r="G502" s="62"/>
      <c r="H502" s="64"/>
      <c r="I502" s="62"/>
      <c r="J502" s="64"/>
    </row>
    <row r="503" spans="2:10" s="61" customFormat="1" x14ac:dyDescent="0.3">
      <c r="B503" s="67"/>
      <c r="C503" s="63"/>
      <c r="D503" s="64"/>
      <c r="E503" s="65"/>
      <c r="F503" s="66"/>
      <c r="G503" s="62"/>
      <c r="H503" s="64"/>
      <c r="I503" s="62"/>
      <c r="J503" s="64"/>
    </row>
    <row r="504" spans="2:10" s="61" customFormat="1" x14ac:dyDescent="0.3">
      <c r="B504" s="67"/>
      <c r="C504" s="63"/>
      <c r="D504" s="64"/>
      <c r="E504" s="65"/>
      <c r="F504" s="66"/>
      <c r="G504" s="62"/>
      <c r="H504" s="64"/>
      <c r="I504" s="62"/>
      <c r="J504" s="64"/>
    </row>
    <row r="505" spans="2:10" s="61" customFormat="1" x14ac:dyDescent="0.3">
      <c r="B505" s="67"/>
      <c r="C505" s="63"/>
      <c r="D505" s="64"/>
      <c r="E505" s="65"/>
      <c r="F505" s="66"/>
      <c r="G505" s="62"/>
      <c r="H505" s="64"/>
      <c r="I505" s="62"/>
      <c r="J505" s="64"/>
    </row>
    <row r="506" spans="2:10" s="61" customFormat="1" x14ac:dyDescent="0.3">
      <c r="B506" s="67"/>
      <c r="C506" s="63"/>
      <c r="D506" s="64"/>
      <c r="E506" s="65"/>
      <c r="F506" s="66"/>
      <c r="G506" s="62"/>
      <c r="H506" s="64"/>
      <c r="I506" s="62"/>
      <c r="J506" s="64"/>
    </row>
    <row r="507" spans="2:10" s="61" customFormat="1" x14ac:dyDescent="0.3">
      <c r="B507" s="67"/>
      <c r="C507" s="63"/>
      <c r="D507" s="64"/>
      <c r="E507" s="65"/>
      <c r="F507" s="66"/>
      <c r="G507" s="62"/>
      <c r="H507" s="64"/>
      <c r="I507" s="62"/>
      <c r="J507" s="64"/>
    </row>
    <row r="508" spans="2:10" s="61" customFormat="1" x14ac:dyDescent="0.3">
      <c r="B508" s="67"/>
      <c r="C508" s="63"/>
      <c r="D508" s="64"/>
      <c r="E508" s="65"/>
      <c r="F508" s="66"/>
      <c r="G508" s="62"/>
      <c r="H508" s="64"/>
      <c r="I508" s="62"/>
      <c r="J508" s="64"/>
    </row>
    <row r="509" spans="2:10" s="61" customFormat="1" x14ac:dyDescent="0.3">
      <c r="B509" s="67"/>
      <c r="C509" s="63"/>
      <c r="D509" s="64"/>
      <c r="E509" s="65"/>
      <c r="F509" s="66"/>
      <c r="G509" s="62"/>
      <c r="H509" s="64"/>
      <c r="I509" s="62"/>
      <c r="J509" s="64"/>
    </row>
    <row r="510" spans="2:10" s="61" customFormat="1" x14ac:dyDescent="0.3">
      <c r="B510" s="67"/>
      <c r="C510" s="63"/>
      <c r="D510" s="64"/>
      <c r="E510" s="65"/>
      <c r="F510" s="66"/>
      <c r="G510" s="62"/>
      <c r="H510" s="64"/>
      <c r="I510" s="62"/>
      <c r="J510" s="64"/>
    </row>
    <row r="511" spans="2:10" s="61" customFormat="1" x14ac:dyDescent="0.3">
      <c r="B511" s="67"/>
      <c r="C511" s="63"/>
      <c r="D511" s="64"/>
      <c r="E511" s="65"/>
      <c r="F511" s="66"/>
      <c r="G511" s="62"/>
      <c r="H511" s="64"/>
      <c r="I511" s="62"/>
      <c r="J511" s="64"/>
    </row>
    <row r="512" spans="2:10" s="61" customFormat="1" x14ac:dyDescent="0.3">
      <c r="B512" s="67"/>
      <c r="C512" s="63"/>
      <c r="D512" s="64"/>
      <c r="E512" s="65"/>
      <c r="F512" s="66"/>
      <c r="G512" s="62"/>
      <c r="H512" s="64"/>
      <c r="I512" s="62"/>
      <c r="J512" s="64"/>
    </row>
    <row r="513" spans="2:10" s="61" customFormat="1" x14ac:dyDescent="0.3">
      <c r="B513" s="67"/>
      <c r="C513" s="63"/>
      <c r="D513" s="64"/>
      <c r="E513" s="65"/>
      <c r="F513" s="66"/>
      <c r="G513" s="62"/>
      <c r="H513" s="64"/>
      <c r="I513" s="62"/>
      <c r="J513" s="64"/>
    </row>
    <row r="514" spans="2:10" s="61" customFormat="1" x14ac:dyDescent="0.3">
      <c r="B514" s="67"/>
      <c r="C514" s="63"/>
      <c r="D514" s="64"/>
      <c r="E514" s="65"/>
      <c r="F514" s="66"/>
      <c r="G514" s="62"/>
      <c r="H514" s="64"/>
      <c r="I514" s="62"/>
      <c r="J514" s="64"/>
    </row>
    <row r="515" spans="2:10" s="61" customFormat="1" x14ac:dyDescent="0.3">
      <c r="B515" s="67"/>
      <c r="C515" s="63"/>
      <c r="D515" s="64"/>
      <c r="E515" s="65"/>
      <c r="F515" s="66"/>
      <c r="G515" s="62"/>
      <c r="H515" s="64"/>
      <c r="I515" s="62"/>
      <c r="J515" s="64"/>
    </row>
    <row r="516" spans="2:10" s="61" customFormat="1" x14ac:dyDescent="0.3">
      <c r="B516" s="67"/>
      <c r="C516" s="63"/>
      <c r="D516" s="64"/>
      <c r="E516" s="65"/>
      <c r="F516" s="66"/>
      <c r="G516" s="62"/>
      <c r="H516" s="64"/>
      <c r="I516" s="62"/>
      <c r="J516" s="64"/>
    </row>
    <row r="517" spans="2:10" s="61" customFormat="1" x14ac:dyDescent="0.3">
      <c r="B517" s="67"/>
      <c r="C517" s="63"/>
      <c r="D517" s="64"/>
      <c r="E517" s="65"/>
      <c r="F517" s="66"/>
      <c r="G517" s="62"/>
      <c r="H517" s="64"/>
      <c r="I517" s="62"/>
      <c r="J517" s="64"/>
    </row>
    <row r="518" spans="2:10" s="61" customFormat="1" x14ac:dyDescent="0.3">
      <c r="B518" s="67"/>
      <c r="C518" s="63"/>
      <c r="D518" s="64"/>
      <c r="E518" s="65"/>
      <c r="F518" s="66"/>
      <c r="G518" s="62"/>
      <c r="H518" s="64"/>
      <c r="I518" s="62"/>
      <c r="J518" s="64"/>
    </row>
    <row r="519" spans="2:10" s="61" customFormat="1" x14ac:dyDescent="0.3">
      <c r="B519" s="67"/>
      <c r="C519" s="63"/>
      <c r="D519" s="64"/>
      <c r="E519" s="65"/>
      <c r="F519" s="66"/>
      <c r="G519" s="62"/>
      <c r="H519" s="64"/>
      <c r="I519" s="62"/>
      <c r="J519" s="64"/>
    </row>
    <row r="520" spans="2:10" s="61" customFormat="1" x14ac:dyDescent="0.3">
      <c r="B520" s="67"/>
      <c r="C520" s="63"/>
      <c r="D520" s="64"/>
      <c r="E520" s="65"/>
      <c r="F520" s="66"/>
      <c r="G520" s="62"/>
      <c r="H520" s="64"/>
      <c r="I520" s="62"/>
      <c r="J520" s="64"/>
    </row>
    <row r="521" spans="2:10" s="61" customFormat="1" x14ac:dyDescent="0.3">
      <c r="B521" s="67"/>
      <c r="C521" s="63"/>
      <c r="D521" s="64"/>
      <c r="E521" s="65"/>
      <c r="F521" s="66"/>
      <c r="G521" s="62"/>
      <c r="H521" s="64"/>
      <c r="I521" s="62"/>
      <c r="J521" s="64"/>
    </row>
    <row r="522" spans="2:10" s="61" customFormat="1" x14ac:dyDescent="0.3">
      <c r="B522" s="67"/>
      <c r="C522" s="63"/>
      <c r="D522" s="64"/>
      <c r="E522" s="65"/>
      <c r="F522" s="66"/>
      <c r="G522" s="62"/>
      <c r="H522" s="64"/>
      <c r="I522" s="62"/>
      <c r="J522" s="64"/>
    </row>
    <row r="523" spans="2:10" s="61" customFormat="1" x14ac:dyDescent="0.3">
      <c r="B523" s="67"/>
      <c r="C523" s="63"/>
      <c r="D523" s="64"/>
      <c r="E523" s="65"/>
      <c r="F523" s="66"/>
      <c r="G523" s="62"/>
      <c r="H523" s="64"/>
      <c r="I523" s="62"/>
      <c r="J523" s="64"/>
    </row>
    <row r="524" spans="2:10" s="61" customFormat="1" x14ac:dyDescent="0.3">
      <c r="B524" s="67"/>
      <c r="C524" s="63"/>
      <c r="D524" s="64"/>
      <c r="E524" s="65"/>
      <c r="F524" s="66"/>
      <c r="G524" s="62"/>
      <c r="H524" s="64"/>
      <c r="I524" s="62"/>
      <c r="J524" s="64"/>
    </row>
    <row r="525" spans="2:10" s="61" customFormat="1" x14ac:dyDescent="0.3">
      <c r="B525" s="67"/>
      <c r="C525" s="63"/>
      <c r="D525" s="64"/>
      <c r="E525" s="65"/>
      <c r="F525" s="66"/>
      <c r="G525" s="62"/>
      <c r="H525" s="64"/>
      <c r="I525" s="62"/>
      <c r="J525" s="64"/>
    </row>
    <row r="526" spans="2:10" s="61" customFormat="1" x14ac:dyDescent="0.3">
      <c r="B526" s="67"/>
      <c r="C526" s="63"/>
      <c r="D526" s="64"/>
      <c r="E526" s="65"/>
      <c r="F526" s="66"/>
      <c r="G526" s="62"/>
      <c r="H526" s="64"/>
      <c r="I526" s="62"/>
      <c r="J526" s="64"/>
    </row>
    <row r="527" spans="2:10" s="61" customFormat="1" x14ac:dyDescent="0.3">
      <c r="B527" s="67"/>
      <c r="C527" s="63"/>
      <c r="D527" s="64"/>
      <c r="E527" s="65"/>
      <c r="F527" s="66"/>
      <c r="G527" s="62"/>
      <c r="H527" s="64"/>
      <c r="I527" s="62"/>
      <c r="J527" s="64"/>
    </row>
    <row r="528" spans="2:10" s="61" customFormat="1" x14ac:dyDescent="0.3">
      <c r="B528" s="67"/>
      <c r="C528" s="63"/>
      <c r="D528" s="64"/>
      <c r="E528" s="65"/>
      <c r="F528" s="66"/>
      <c r="G528" s="62"/>
      <c r="H528" s="64"/>
      <c r="I528" s="62"/>
      <c r="J528" s="64"/>
    </row>
    <row r="529" spans="2:10" s="61" customFormat="1" x14ac:dyDescent="0.3">
      <c r="B529" s="67"/>
      <c r="C529" s="63"/>
      <c r="D529" s="64"/>
      <c r="E529" s="65"/>
      <c r="F529" s="66"/>
      <c r="G529" s="62"/>
      <c r="H529" s="64"/>
      <c r="I529" s="62"/>
      <c r="J529" s="64"/>
    </row>
    <row r="530" spans="2:10" s="61" customFormat="1" x14ac:dyDescent="0.3">
      <c r="B530" s="67"/>
      <c r="C530" s="63"/>
      <c r="D530" s="64"/>
      <c r="E530" s="65"/>
      <c r="F530" s="66"/>
      <c r="G530" s="62"/>
      <c r="H530" s="64"/>
      <c r="I530" s="62"/>
      <c r="J530" s="64"/>
    </row>
    <row r="531" spans="2:10" s="61" customFormat="1" x14ac:dyDescent="0.3">
      <c r="B531" s="67"/>
      <c r="C531" s="63"/>
      <c r="D531" s="64"/>
      <c r="E531" s="65"/>
      <c r="F531" s="66"/>
      <c r="G531" s="62"/>
      <c r="H531" s="64"/>
      <c r="I531" s="62"/>
      <c r="J531" s="64"/>
    </row>
    <row r="532" spans="2:10" s="61" customFormat="1" x14ac:dyDescent="0.3">
      <c r="B532" s="67"/>
      <c r="C532" s="63"/>
      <c r="D532" s="64"/>
      <c r="E532" s="65"/>
      <c r="F532" s="66"/>
      <c r="G532" s="62"/>
      <c r="H532" s="64"/>
      <c r="I532" s="62"/>
      <c r="J532" s="64"/>
    </row>
    <row r="533" spans="2:10" s="61" customFormat="1" x14ac:dyDescent="0.3">
      <c r="B533" s="67"/>
      <c r="C533" s="63"/>
      <c r="D533" s="64"/>
      <c r="E533" s="65"/>
      <c r="F533" s="66"/>
      <c r="G533" s="62"/>
      <c r="H533" s="64"/>
      <c r="I533" s="62"/>
      <c r="J533" s="64"/>
    </row>
    <row r="534" spans="2:10" s="61" customFormat="1" x14ac:dyDescent="0.3">
      <c r="B534" s="67"/>
      <c r="C534" s="63"/>
      <c r="D534" s="64"/>
      <c r="E534" s="65"/>
      <c r="F534" s="66"/>
      <c r="G534" s="62"/>
      <c r="H534" s="64"/>
      <c r="I534" s="62"/>
      <c r="J534" s="64"/>
    </row>
    <row r="535" spans="2:10" s="61" customFormat="1" x14ac:dyDescent="0.3">
      <c r="B535" s="67"/>
      <c r="C535" s="63"/>
      <c r="D535" s="64"/>
      <c r="E535" s="65"/>
      <c r="F535" s="66"/>
      <c r="G535" s="62"/>
      <c r="H535" s="64"/>
      <c r="I535" s="62"/>
      <c r="J535" s="64"/>
    </row>
    <row r="536" spans="2:10" s="61" customFormat="1" x14ac:dyDescent="0.3">
      <c r="B536" s="67"/>
      <c r="C536" s="63"/>
      <c r="D536" s="64"/>
      <c r="E536" s="65"/>
      <c r="F536" s="66"/>
      <c r="G536" s="62"/>
      <c r="H536" s="64"/>
      <c r="I536" s="62"/>
      <c r="J536" s="64"/>
    </row>
    <row r="537" spans="2:10" s="61" customFormat="1" x14ac:dyDescent="0.3">
      <c r="B537" s="67"/>
      <c r="C537" s="63"/>
      <c r="D537" s="64"/>
      <c r="E537" s="65"/>
      <c r="F537" s="66"/>
      <c r="G537" s="62"/>
      <c r="H537" s="64"/>
      <c r="I537" s="62"/>
      <c r="J537" s="64"/>
    </row>
    <row r="538" spans="2:10" s="61" customFormat="1" x14ac:dyDescent="0.3">
      <c r="B538" s="67"/>
      <c r="C538" s="63"/>
      <c r="D538" s="64"/>
      <c r="E538" s="65"/>
      <c r="F538" s="66"/>
      <c r="G538" s="62"/>
      <c r="H538" s="64"/>
      <c r="I538" s="62"/>
      <c r="J538" s="64"/>
    </row>
    <row r="539" spans="2:10" s="61" customFormat="1" x14ac:dyDescent="0.3">
      <c r="B539" s="67"/>
      <c r="C539" s="63"/>
      <c r="D539" s="64"/>
      <c r="E539" s="65"/>
      <c r="F539" s="66"/>
      <c r="G539" s="62"/>
      <c r="H539" s="64"/>
      <c r="I539" s="62"/>
      <c r="J539" s="64"/>
    </row>
    <row r="540" spans="2:10" s="61" customFormat="1" x14ac:dyDescent="0.3">
      <c r="B540" s="67"/>
      <c r="C540" s="63"/>
      <c r="D540" s="64"/>
      <c r="E540" s="65"/>
      <c r="F540" s="66"/>
      <c r="G540" s="62"/>
      <c r="H540" s="64"/>
      <c r="I540" s="62"/>
      <c r="J540" s="64"/>
    </row>
    <row r="541" spans="2:10" s="61" customFormat="1" x14ac:dyDescent="0.3">
      <c r="B541" s="67"/>
      <c r="C541" s="63"/>
      <c r="D541" s="64"/>
      <c r="E541" s="65"/>
      <c r="F541" s="66"/>
      <c r="G541" s="62"/>
      <c r="H541" s="64"/>
      <c r="I541" s="62"/>
      <c r="J541" s="64"/>
    </row>
    <row r="542" spans="2:10" s="61" customFormat="1" x14ac:dyDescent="0.3">
      <c r="B542" s="67"/>
      <c r="C542" s="63"/>
      <c r="D542" s="64"/>
      <c r="E542" s="65"/>
      <c r="F542" s="66"/>
      <c r="G542" s="62"/>
      <c r="H542" s="64"/>
      <c r="I542" s="62"/>
      <c r="J542" s="64"/>
    </row>
    <row r="543" spans="2:10" s="61" customFormat="1" x14ac:dyDescent="0.3">
      <c r="B543" s="67"/>
      <c r="C543" s="63"/>
      <c r="D543" s="64"/>
      <c r="E543" s="65"/>
      <c r="F543" s="66"/>
      <c r="G543" s="62"/>
      <c r="H543" s="64"/>
      <c r="I543" s="62"/>
      <c r="J543" s="64"/>
    </row>
    <row r="544" spans="2:10" s="61" customFormat="1" x14ac:dyDescent="0.3">
      <c r="B544" s="67"/>
      <c r="C544" s="63"/>
      <c r="D544" s="64"/>
      <c r="E544" s="65"/>
      <c r="F544" s="66"/>
      <c r="G544" s="62"/>
      <c r="H544" s="64"/>
      <c r="I544" s="62"/>
      <c r="J544" s="64"/>
    </row>
    <row r="545" spans="2:10" s="61" customFormat="1" x14ac:dyDescent="0.3">
      <c r="B545" s="67"/>
      <c r="C545" s="63"/>
      <c r="D545" s="64"/>
      <c r="E545" s="65"/>
      <c r="F545" s="66"/>
      <c r="G545" s="62"/>
      <c r="H545" s="64"/>
      <c r="I545" s="62"/>
      <c r="J545" s="64"/>
    </row>
    <row r="546" spans="2:10" s="61" customFormat="1" x14ac:dyDescent="0.3">
      <c r="B546" s="67"/>
      <c r="C546" s="63"/>
      <c r="D546" s="64"/>
      <c r="E546" s="65"/>
      <c r="F546" s="66"/>
      <c r="G546" s="62"/>
      <c r="H546" s="64"/>
      <c r="I546" s="62"/>
      <c r="J546" s="64"/>
    </row>
    <row r="547" spans="2:10" s="61" customFormat="1" x14ac:dyDescent="0.3">
      <c r="B547" s="67"/>
      <c r="C547" s="63"/>
      <c r="D547" s="64"/>
      <c r="E547" s="65"/>
      <c r="F547" s="66"/>
      <c r="G547" s="62"/>
      <c r="H547" s="64"/>
      <c r="I547" s="62"/>
      <c r="J547" s="64"/>
    </row>
    <row r="548" spans="2:10" s="61" customFormat="1" x14ac:dyDescent="0.3">
      <c r="B548" s="67"/>
      <c r="C548" s="63"/>
      <c r="D548" s="64"/>
      <c r="E548" s="65"/>
      <c r="F548" s="66"/>
      <c r="G548" s="62"/>
      <c r="H548" s="64"/>
      <c r="I548" s="62"/>
      <c r="J548" s="64"/>
    </row>
    <row r="549" spans="2:10" s="61" customFormat="1" x14ac:dyDescent="0.3">
      <c r="B549" s="67"/>
      <c r="C549" s="63"/>
      <c r="D549" s="64"/>
      <c r="E549" s="65"/>
      <c r="F549" s="66"/>
      <c r="G549" s="62"/>
      <c r="H549" s="64"/>
      <c r="I549" s="62"/>
      <c r="J549" s="64"/>
    </row>
    <row r="550" spans="2:10" s="61" customFormat="1" x14ac:dyDescent="0.3">
      <c r="B550" s="67"/>
      <c r="C550" s="63"/>
      <c r="D550" s="64"/>
      <c r="E550" s="65"/>
      <c r="F550" s="66"/>
      <c r="G550" s="62"/>
      <c r="H550" s="64"/>
      <c r="I550" s="62"/>
      <c r="J550" s="64"/>
    </row>
    <row r="551" spans="2:10" s="61" customFormat="1" x14ac:dyDescent="0.3">
      <c r="B551" s="67"/>
      <c r="C551" s="63"/>
      <c r="D551" s="64"/>
      <c r="E551" s="65"/>
      <c r="F551" s="66"/>
      <c r="G551" s="62"/>
      <c r="H551" s="64"/>
      <c r="I551" s="62"/>
      <c r="J551" s="64"/>
    </row>
    <row r="552" spans="2:10" s="61" customFormat="1" x14ac:dyDescent="0.3">
      <c r="B552" s="67"/>
      <c r="C552" s="63"/>
      <c r="D552" s="64"/>
      <c r="E552" s="65"/>
      <c r="F552" s="66"/>
      <c r="G552" s="62"/>
      <c r="H552" s="64"/>
      <c r="I552" s="62"/>
      <c r="J552" s="64"/>
    </row>
    <row r="553" spans="2:10" s="61" customFormat="1" x14ac:dyDescent="0.3">
      <c r="B553" s="67"/>
      <c r="C553" s="63"/>
      <c r="D553" s="64"/>
      <c r="E553" s="65"/>
      <c r="F553" s="66"/>
      <c r="G553" s="62"/>
      <c r="H553" s="64"/>
      <c r="I553" s="62"/>
      <c r="J553" s="64"/>
    </row>
    <row r="554" spans="2:10" s="61" customFormat="1" x14ac:dyDescent="0.3">
      <c r="B554" s="67"/>
      <c r="C554" s="63"/>
      <c r="D554" s="64"/>
      <c r="E554" s="65"/>
      <c r="F554" s="66"/>
      <c r="G554" s="62"/>
      <c r="H554" s="64"/>
      <c r="I554" s="62"/>
      <c r="J554" s="64"/>
    </row>
    <row r="555" spans="2:10" s="61" customFormat="1" x14ac:dyDescent="0.3">
      <c r="B555" s="67"/>
      <c r="C555" s="63"/>
      <c r="D555" s="64"/>
      <c r="E555" s="65"/>
      <c r="F555" s="66"/>
      <c r="G555" s="62"/>
      <c r="H555" s="64"/>
      <c r="I555" s="62"/>
      <c r="J555" s="64"/>
    </row>
    <row r="556" spans="2:10" s="61" customFormat="1" x14ac:dyDescent="0.3">
      <c r="B556" s="67"/>
      <c r="C556" s="63"/>
      <c r="D556" s="64"/>
      <c r="E556" s="65"/>
      <c r="F556" s="66"/>
      <c r="G556" s="62"/>
      <c r="H556" s="64"/>
      <c r="I556" s="62"/>
      <c r="J556" s="64"/>
    </row>
    <row r="557" spans="2:10" s="61" customFormat="1" x14ac:dyDescent="0.3">
      <c r="B557" s="67"/>
      <c r="C557" s="63"/>
      <c r="D557" s="64"/>
      <c r="E557" s="65"/>
      <c r="F557" s="66"/>
      <c r="G557" s="62"/>
      <c r="H557" s="64"/>
      <c r="I557" s="62"/>
      <c r="J557" s="64"/>
    </row>
    <row r="558" spans="2:10" s="61" customFormat="1" x14ac:dyDescent="0.3">
      <c r="B558" s="67"/>
      <c r="C558" s="63"/>
      <c r="D558" s="64"/>
      <c r="E558" s="65"/>
      <c r="F558" s="66"/>
      <c r="G558" s="62"/>
      <c r="H558" s="64"/>
      <c r="I558" s="62"/>
      <c r="J558" s="64"/>
    </row>
    <row r="559" spans="2:10" s="61" customFormat="1" x14ac:dyDescent="0.3">
      <c r="B559" s="67"/>
      <c r="C559" s="63"/>
      <c r="D559" s="64"/>
      <c r="E559" s="65"/>
      <c r="F559" s="66"/>
      <c r="G559" s="62"/>
      <c r="H559" s="64"/>
      <c r="I559" s="62"/>
      <c r="J559" s="64"/>
    </row>
    <row r="560" spans="2:10" s="61" customFormat="1" x14ac:dyDescent="0.3">
      <c r="B560" s="67"/>
      <c r="C560" s="63"/>
      <c r="D560" s="64"/>
      <c r="E560" s="65"/>
      <c r="F560" s="66"/>
      <c r="G560" s="62"/>
      <c r="H560" s="64"/>
      <c r="I560" s="62"/>
      <c r="J560" s="64"/>
    </row>
    <row r="561" spans="2:10" s="61" customFormat="1" x14ac:dyDescent="0.3">
      <c r="B561" s="67"/>
      <c r="C561" s="63"/>
      <c r="D561" s="64"/>
      <c r="E561" s="65"/>
      <c r="F561" s="66"/>
      <c r="G561" s="62"/>
      <c r="H561" s="64"/>
      <c r="I561" s="62"/>
      <c r="J561" s="64"/>
    </row>
    <row r="562" spans="2:10" s="61" customFormat="1" x14ac:dyDescent="0.3">
      <c r="B562" s="67"/>
      <c r="C562" s="63"/>
      <c r="D562" s="64"/>
      <c r="E562" s="65"/>
      <c r="F562" s="66"/>
      <c r="G562" s="62"/>
      <c r="H562" s="64"/>
      <c r="I562" s="62"/>
      <c r="J562" s="64"/>
    </row>
    <row r="563" spans="2:10" s="61" customFormat="1" x14ac:dyDescent="0.3">
      <c r="B563" s="67"/>
      <c r="C563" s="63"/>
      <c r="D563" s="64"/>
      <c r="E563" s="65"/>
      <c r="F563" s="66"/>
      <c r="G563" s="62"/>
      <c r="H563" s="64"/>
      <c r="I563" s="62"/>
      <c r="J563" s="64"/>
    </row>
    <row r="564" spans="2:10" s="61" customFormat="1" x14ac:dyDescent="0.3">
      <c r="B564" s="67"/>
      <c r="C564" s="63"/>
      <c r="D564" s="64"/>
      <c r="E564" s="65"/>
      <c r="F564" s="66"/>
      <c r="G564" s="62"/>
      <c r="H564" s="64"/>
      <c r="I564" s="62"/>
      <c r="J564" s="64"/>
    </row>
    <row r="565" spans="2:10" s="61" customFormat="1" x14ac:dyDescent="0.3">
      <c r="B565" s="67"/>
      <c r="C565" s="63"/>
      <c r="D565" s="64"/>
      <c r="E565" s="65"/>
      <c r="F565" s="66"/>
      <c r="G565" s="62"/>
      <c r="H565" s="64"/>
      <c r="I565" s="62"/>
      <c r="J565" s="64"/>
    </row>
    <row r="566" spans="2:10" s="61" customFormat="1" x14ac:dyDescent="0.3">
      <c r="B566" s="67"/>
      <c r="C566" s="63"/>
      <c r="D566" s="64"/>
      <c r="E566" s="65"/>
      <c r="F566" s="66"/>
      <c r="G566" s="62"/>
      <c r="H566" s="64"/>
      <c r="I566" s="62"/>
      <c r="J566" s="64"/>
    </row>
    <row r="567" spans="2:10" s="61" customFormat="1" x14ac:dyDescent="0.3">
      <c r="B567" s="67"/>
      <c r="C567" s="63"/>
      <c r="D567" s="64"/>
      <c r="E567" s="65"/>
      <c r="F567" s="66"/>
      <c r="G567" s="62"/>
      <c r="H567" s="64"/>
      <c r="I567" s="62"/>
      <c r="J567" s="64"/>
    </row>
    <row r="568" spans="2:10" s="61" customFormat="1" x14ac:dyDescent="0.3">
      <c r="B568" s="67"/>
      <c r="C568" s="63"/>
      <c r="D568" s="64"/>
      <c r="E568" s="65"/>
      <c r="F568" s="66"/>
      <c r="G568" s="62"/>
      <c r="H568" s="64"/>
      <c r="I568" s="62"/>
      <c r="J568" s="64"/>
    </row>
    <row r="569" spans="2:10" s="61" customFormat="1" x14ac:dyDescent="0.3">
      <c r="B569" s="67"/>
      <c r="C569" s="63"/>
      <c r="D569" s="64"/>
      <c r="E569" s="65"/>
      <c r="F569" s="66"/>
      <c r="G569" s="62"/>
      <c r="H569" s="64"/>
      <c r="I569" s="62"/>
      <c r="J569" s="64"/>
    </row>
    <row r="570" spans="2:10" s="61" customFormat="1" x14ac:dyDescent="0.3">
      <c r="B570" s="67"/>
      <c r="C570" s="63"/>
      <c r="D570" s="64"/>
      <c r="E570" s="65"/>
      <c r="F570" s="66"/>
      <c r="G570" s="62"/>
      <c r="H570" s="64"/>
      <c r="I570" s="62"/>
      <c r="J570" s="64"/>
    </row>
    <row r="571" spans="2:10" s="61" customFormat="1" x14ac:dyDescent="0.3">
      <c r="B571" s="67"/>
      <c r="C571" s="63"/>
      <c r="D571" s="64"/>
      <c r="E571" s="65"/>
      <c r="F571" s="66"/>
      <c r="G571" s="62"/>
      <c r="H571" s="64"/>
      <c r="I571" s="62"/>
      <c r="J571" s="64"/>
    </row>
    <row r="572" spans="2:10" s="61" customFormat="1" x14ac:dyDescent="0.3">
      <c r="B572" s="67"/>
      <c r="C572" s="63"/>
      <c r="D572" s="64"/>
      <c r="E572" s="65"/>
      <c r="F572" s="66"/>
      <c r="G572" s="62"/>
      <c r="H572" s="64"/>
      <c r="I572" s="62"/>
      <c r="J572" s="64"/>
    </row>
    <row r="573" spans="2:10" s="61" customFormat="1" x14ac:dyDescent="0.3">
      <c r="B573" s="67"/>
      <c r="C573" s="63"/>
      <c r="D573" s="64"/>
      <c r="E573" s="65"/>
      <c r="F573" s="66"/>
      <c r="G573" s="62"/>
      <c r="H573" s="64"/>
      <c r="I573" s="62"/>
      <c r="J573" s="64"/>
    </row>
    <row r="574" spans="2:10" s="61" customFormat="1" x14ac:dyDescent="0.3">
      <c r="B574" s="67"/>
      <c r="C574" s="63"/>
      <c r="D574" s="64"/>
      <c r="E574" s="65"/>
      <c r="F574" s="66"/>
      <c r="G574" s="62"/>
      <c r="H574" s="64"/>
      <c r="I574" s="62"/>
      <c r="J574" s="64"/>
    </row>
    <row r="575" spans="2:10" s="61" customFormat="1" x14ac:dyDescent="0.3">
      <c r="B575" s="67"/>
      <c r="C575" s="63"/>
      <c r="D575" s="64"/>
      <c r="E575" s="65"/>
      <c r="F575" s="66"/>
      <c r="G575" s="62"/>
      <c r="H575" s="64"/>
      <c r="I575" s="62"/>
      <c r="J575" s="64"/>
    </row>
    <row r="576" spans="2:10" s="61" customFormat="1" x14ac:dyDescent="0.3">
      <c r="B576" s="67"/>
      <c r="C576" s="63"/>
      <c r="D576" s="64"/>
      <c r="E576" s="65"/>
      <c r="F576" s="66"/>
      <c r="G576" s="62"/>
      <c r="H576" s="64"/>
      <c r="I576" s="62"/>
      <c r="J576" s="64"/>
    </row>
    <row r="577" spans="2:10" s="61" customFormat="1" x14ac:dyDescent="0.3">
      <c r="B577" s="67"/>
      <c r="C577" s="63"/>
      <c r="D577" s="64"/>
      <c r="E577" s="65"/>
      <c r="F577" s="66"/>
      <c r="G577" s="62"/>
      <c r="H577" s="64"/>
      <c r="I577" s="62"/>
      <c r="J577" s="64"/>
    </row>
    <row r="578" spans="2:10" s="61" customFormat="1" x14ac:dyDescent="0.3">
      <c r="B578" s="67"/>
      <c r="C578" s="63"/>
      <c r="D578" s="64"/>
      <c r="E578" s="65"/>
      <c r="F578" s="66"/>
      <c r="G578" s="62"/>
      <c r="H578" s="64"/>
      <c r="I578" s="62"/>
      <c r="J578" s="64"/>
    </row>
    <row r="579" spans="2:10" s="61" customFormat="1" x14ac:dyDescent="0.3">
      <c r="B579" s="67"/>
      <c r="C579" s="63"/>
      <c r="D579" s="64"/>
      <c r="E579" s="65"/>
      <c r="F579" s="66"/>
      <c r="G579" s="62"/>
      <c r="H579" s="64"/>
      <c r="I579" s="62"/>
      <c r="J579" s="64"/>
    </row>
    <row r="580" spans="2:10" s="61" customFormat="1" x14ac:dyDescent="0.3">
      <c r="B580" s="67"/>
      <c r="C580" s="63"/>
      <c r="D580" s="64"/>
      <c r="E580" s="65"/>
      <c r="F580" s="66"/>
      <c r="G580" s="62"/>
      <c r="H580" s="64"/>
      <c r="I580" s="62"/>
      <c r="J580" s="64"/>
    </row>
    <row r="581" spans="2:10" s="61" customFormat="1" x14ac:dyDescent="0.3">
      <c r="B581" s="67"/>
      <c r="C581" s="63"/>
      <c r="D581" s="64"/>
      <c r="E581" s="65"/>
      <c r="F581" s="66"/>
      <c r="G581" s="62"/>
      <c r="H581" s="64"/>
      <c r="I581" s="62"/>
      <c r="J581" s="64"/>
    </row>
    <row r="582" spans="2:10" s="61" customFormat="1" x14ac:dyDescent="0.3">
      <c r="B582" s="67"/>
      <c r="C582" s="63"/>
      <c r="D582" s="64"/>
      <c r="E582" s="65"/>
      <c r="F582" s="66"/>
      <c r="G582" s="62"/>
      <c r="H582" s="64"/>
      <c r="I582" s="62"/>
      <c r="J582" s="64"/>
    </row>
    <row r="583" spans="2:10" s="61" customFormat="1" x14ac:dyDescent="0.3">
      <c r="B583" s="67"/>
      <c r="C583" s="63"/>
      <c r="D583" s="64"/>
      <c r="E583" s="65"/>
      <c r="F583" s="66"/>
      <c r="G583" s="62"/>
      <c r="H583" s="64"/>
      <c r="I583" s="62"/>
      <c r="J583" s="64"/>
    </row>
    <row r="584" spans="2:10" s="61" customFormat="1" x14ac:dyDescent="0.3">
      <c r="B584" s="67"/>
      <c r="C584" s="63"/>
      <c r="D584" s="64"/>
      <c r="E584" s="65"/>
      <c r="F584" s="66"/>
      <c r="G584" s="62"/>
      <c r="H584" s="64"/>
      <c r="I584" s="62"/>
      <c r="J584" s="64"/>
    </row>
    <row r="585" spans="2:10" s="61" customFormat="1" x14ac:dyDescent="0.3">
      <c r="B585" s="67"/>
      <c r="C585" s="63"/>
      <c r="D585" s="64"/>
      <c r="E585" s="65"/>
      <c r="F585" s="66"/>
      <c r="G585" s="62"/>
      <c r="H585" s="64"/>
      <c r="I585" s="62"/>
      <c r="J585" s="64"/>
    </row>
    <row r="586" spans="2:10" s="61" customFormat="1" x14ac:dyDescent="0.3">
      <c r="B586" s="67"/>
      <c r="C586" s="63"/>
      <c r="D586" s="64"/>
      <c r="E586" s="65"/>
      <c r="F586" s="66"/>
      <c r="G586" s="62"/>
      <c r="H586" s="64"/>
      <c r="I586" s="62"/>
      <c r="J586" s="64"/>
    </row>
    <row r="587" spans="2:10" s="61" customFormat="1" x14ac:dyDescent="0.3">
      <c r="B587" s="67"/>
      <c r="C587" s="63"/>
      <c r="D587" s="64"/>
      <c r="E587" s="65"/>
      <c r="F587" s="66"/>
      <c r="G587" s="62"/>
      <c r="H587" s="64"/>
      <c r="I587" s="62"/>
      <c r="J587" s="64"/>
    </row>
    <row r="588" spans="2:10" s="61" customFormat="1" x14ac:dyDescent="0.3">
      <c r="B588" s="67"/>
      <c r="C588" s="63"/>
      <c r="D588" s="64"/>
      <c r="E588" s="65"/>
      <c r="F588" s="66"/>
      <c r="G588" s="62"/>
      <c r="H588" s="64"/>
      <c r="I588" s="62"/>
      <c r="J588" s="64"/>
    </row>
    <row r="589" spans="2:10" s="61" customFormat="1" x14ac:dyDescent="0.3">
      <c r="B589" s="67"/>
      <c r="C589" s="63"/>
      <c r="D589" s="64"/>
      <c r="E589" s="65"/>
      <c r="F589" s="66"/>
      <c r="G589" s="62"/>
      <c r="H589" s="64"/>
      <c r="I589" s="62"/>
      <c r="J589" s="64"/>
    </row>
    <row r="590" spans="2:10" s="61" customFormat="1" x14ac:dyDescent="0.3">
      <c r="B590" s="67"/>
      <c r="C590" s="63"/>
      <c r="D590" s="64"/>
      <c r="E590" s="65"/>
      <c r="F590" s="66"/>
      <c r="G590" s="62"/>
      <c r="H590" s="64"/>
      <c r="I590" s="62"/>
      <c r="J590" s="64"/>
    </row>
    <row r="591" spans="2:10" s="61" customFormat="1" x14ac:dyDescent="0.3">
      <c r="B591" s="67"/>
      <c r="C591" s="63"/>
      <c r="D591" s="64"/>
      <c r="E591" s="65"/>
      <c r="F591" s="66"/>
      <c r="G591" s="62"/>
      <c r="H591" s="64"/>
      <c r="I591" s="62"/>
      <c r="J591" s="64"/>
    </row>
    <row r="592" spans="2:10" s="61" customFormat="1" x14ac:dyDescent="0.3">
      <c r="B592" s="67"/>
      <c r="C592" s="63"/>
      <c r="D592" s="64"/>
      <c r="E592" s="65"/>
      <c r="F592" s="66"/>
      <c r="G592" s="62"/>
      <c r="H592" s="64"/>
      <c r="I592" s="62"/>
      <c r="J592" s="64"/>
    </row>
    <row r="593" spans="2:10" s="61" customFormat="1" x14ac:dyDescent="0.3">
      <c r="B593" s="67"/>
      <c r="C593" s="63"/>
      <c r="D593" s="64"/>
      <c r="E593" s="65"/>
      <c r="F593" s="66"/>
      <c r="G593" s="62"/>
      <c r="H593" s="64"/>
      <c r="I593" s="62"/>
      <c r="J593" s="64"/>
    </row>
    <row r="594" spans="2:10" s="61" customFormat="1" x14ac:dyDescent="0.3">
      <c r="B594" s="67"/>
      <c r="C594" s="63"/>
      <c r="D594" s="64"/>
      <c r="E594" s="65"/>
      <c r="F594" s="66"/>
      <c r="G594" s="62"/>
      <c r="H594" s="64"/>
      <c r="I594" s="62"/>
      <c r="J594" s="64"/>
    </row>
    <row r="595" spans="2:10" s="61" customFormat="1" x14ac:dyDescent="0.3">
      <c r="B595" s="67"/>
      <c r="C595" s="63"/>
      <c r="D595" s="64"/>
      <c r="E595" s="65"/>
      <c r="F595" s="66"/>
      <c r="G595" s="62"/>
      <c r="H595" s="64"/>
      <c r="I595" s="62"/>
      <c r="J595" s="64"/>
    </row>
    <row r="596" spans="2:10" s="61" customFormat="1" x14ac:dyDescent="0.3">
      <c r="B596" s="67"/>
      <c r="C596" s="63"/>
      <c r="D596" s="64"/>
      <c r="E596" s="65"/>
      <c r="F596" s="66"/>
      <c r="G596" s="62"/>
      <c r="H596" s="64"/>
      <c r="I596" s="62"/>
      <c r="J596" s="64"/>
    </row>
    <row r="597" spans="2:10" s="61" customFormat="1" x14ac:dyDescent="0.3">
      <c r="B597" s="67"/>
      <c r="C597" s="63"/>
      <c r="D597" s="64"/>
      <c r="E597" s="65"/>
      <c r="F597" s="66"/>
      <c r="G597" s="62"/>
      <c r="H597" s="64"/>
      <c r="I597" s="62"/>
      <c r="J597" s="64"/>
    </row>
    <row r="598" spans="2:10" s="61" customFormat="1" x14ac:dyDescent="0.3">
      <c r="B598" s="67"/>
      <c r="C598" s="63"/>
      <c r="D598" s="64"/>
      <c r="E598" s="65"/>
      <c r="F598" s="66"/>
      <c r="G598" s="62"/>
      <c r="H598" s="64"/>
      <c r="I598" s="62"/>
      <c r="J598" s="64"/>
    </row>
    <row r="599" spans="2:10" s="61" customFormat="1" x14ac:dyDescent="0.3">
      <c r="B599" s="67"/>
      <c r="C599" s="63"/>
      <c r="D599" s="64"/>
      <c r="E599" s="65"/>
      <c r="F599" s="66"/>
      <c r="G599" s="62"/>
      <c r="H599" s="64"/>
      <c r="I599" s="62"/>
      <c r="J599" s="64"/>
    </row>
    <row r="600" spans="2:10" s="61" customFormat="1" x14ac:dyDescent="0.3">
      <c r="B600" s="67"/>
      <c r="C600" s="63"/>
      <c r="D600" s="64"/>
      <c r="E600" s="65"/>
      <c r="F600" s="66"/>
      <c r="G600" s="62"/>
      <c r="H600" s="64"/>
      <c r="I600" s="62"/>
      <c r="J600" s="64"/>
    </row>
    <row r="601" spans="2:10" s="61" customFormat="1" x14ac:dyDescent="0.3">
      <c r="B601" s="67"/>
      <c r="C601" s="63"/>
      <c r="D601" s="64"/>
      <c r="E601" s="65"/>
      <c r="F601" s="66"/>
      <c r="G601" s="62"/>
      <c r="H601" s="64"/>
      <c r="I601" s="62"/>
      <c r="J601" s="64"/>
    </row>
    <row r="602" spans="2:10" s="61" customFormat="1" x14ac:dyDescent="0.3">
      <c r="B602" s="67"/>
      <c r="C602" s="63"/>
      <c r="D602" s="64"/>
      <c r="E602" s="65"/>
      <c r="F602" s="66"/>
      <c r="G602" s="62"/>
      <c r="H602" s="64"/>
      <c r="I602" s="62"/>
      <c r="J602" s="64"/>
    </row>
    <row r="603" spans="2:10" s="61" customFormat="1" x14ac:dyDescent="0.3">
      <c r="B603" s="67"/>
      <c r="C603" s="63"/>
      <c r="D603" s="64"/>
      <c r="E603" s="65"/>
      <c r="F603" s="66"/>
      <c r="G603" s="62"/>
      <c r="H603" s="64"/>
      <c r="I603" s="62"/>
      <c r="J603" s="64"/>
    </row>
    <row r="604" spans="2:10" s="61" customFormat="1" x14ac:dyDescent="0.3">
      <c r="B604" s="67"/>
      <c r="C604" s="63"/>
      <c r="D604" s="64"/>
      <c r="E604" s="65"/>
      <c r="F604" s="66"/>
      <c r="G604" s="62"/>
      <c r="H604" s="64"/>
      <c r="I604" s="62"/>
      <c r="J604" s="64"/>
    </row>
    <row r="605" spans="2:10" s="61" customFormat="1" x14ac:dyDescent="0.3">
      <c r="B605" s="67"/>
      <c r="C605" s="63"/>
      <c r="D605" s="64"/>
      <c r="E605" s="65"/>
      <c r="F605" s="66"/>
      <c r="G605" s="62"/>
      <c r="H605" s="64"/>
      <c r="I605" s="62"/>
      <c r="J605" s="64"/>
    </row>
    <row r="606" spans="2:10" s="61" customFormat="1" x14ac:dyDescent="0.3">
      <c r="B606" s="67"/>
      <c r="C606" s="63"/>
      <c r="D606" s="64"/>
      <c r="E606" s="65"/>
      <c r="F606" s="66"/>
      <c r="G606" s="62"/>
      <c r="H606" s="64"/>
      <c r="I606" s="62"/>
      <c r="J606" s="64"/>
    </row>
    <row r="607" spans="2:10" s="61" customFormat="1" x14ac:dyDescent="0.3">
      <c r="B607" s="67"/>
      <c r="C607" s="63"/>
      <c r="D607" s="64"/>
      <c r="E607" s="65"/>
      <c r="F607" s="66"/>
      <c r="G607" s="62"/>
      <c r="H607" s="64"/>
      <c r="I607" s="62"/>
      <c r="J607" s="64"/>
    </row>
    <row r="608" spans="2:10" s="61" customFormat="1" x14ac:dyDescent="0.3">
      <c r="B608" s="67"/>
      <c r="C608" s="63"/>
      <c r="D608" s="64"/>
      <c r="E608" s="65"/>
      <c r="F608" s="66"/>
      <c r="G608" s="62"/>
      <c r="H608" s="64"/>
      <c r="I608" s="62"/>
      <c r="J608" s="64"/>
    </row>
    <row r="609" spans="2:10" s="61" customFormat="1" x14ac:dyDescent="0.3">
      <c r="B609" s="67"/>
      <c r="C609" s="63"/>
      <c r="D609" s="64"/>
      <c r="E609" s="65"/>
      <c r="F609" s="66"/>
      <c r="G609" s="62"/>
      <c r="H609" s="64"/>
      <c r="I609" s="62"/>
      <c r="J609" s="64"/>
    </row>
    <row r="610" spans="2:10" s="61" customFormat="1" x14ac:dyDescent="0.3">
      <c r="B610" s="67"/>
      <c r="C610" s="63"/>
      <c r="D610" s="64"/>
      <c r="E610" s="65"/>
      <c r="F610" s="66"/>
      <c r="G610" s="62"/>
      <c r="H610" s="64"/>
      <c r="I610" s="62"/>
      <c r="J610" s="64"/>
    </row>
    <row r="611" spans="2:10" s="61" customFormat="1" x14ac:dyDescent="0.3">
      <c r="B611" s="67"/>
      <c r="C611" s="63"/>
      <c r="D611" s="64"/>
      <c r="E611" s="65"/>
      <c r="F611" s="66"/>
      <c r="G611" s="62"/>
      <c r="H611" s="64"/>
      <c r="I611" s="62"/>
      <c r="J611" s="64"/>
    </row>
    <row r="612" spans="2:10" s="61" customFormat="1" x14ac:dyDescent="0.3">
      <c r="B612" s="67"/>
      <c r="C612" s="63"/>
      <c r="D612" s="64"/>
      <c r="E612" s="65"/>
      <c r="F612" s="66"/>
      <c r="G612" s="62"/>
      <c r="H612" s="64"/>
      <c r="I612" s="62"/>
      <c r="J612" s="64"/>
    </row>
    <row r="613" spans="2:10" s="61" customFormat="1" x14ac:dyDescent="0.3">
      <c r="B613" s="67"/>
      <c r="C613" s="63"/>
      <c r="D613" s="64"/>
      <c r="E613" s="65"/>
      <c r="F613" s="66"/>
      <c r="G613" s="62"/>
      <c r="H613" s="64"/>
      <c r="I613" s="62"/>
      <c r="J613" s="64"/>
    </row>
    <row r="614" spans="2:10" s="61" customFormat="1" x14ac:dyDescent="0.3">
      <c r="B614" s="67"/>
      <c r="C614" s="63"/>
      <c r="D614" s="64"/>
      <c r="E614" s="65"/>
      <c r="F614" s="66"/>
      <c r="G614" s="62"/>
      <c r="H614" s="64"/>
      <c r="I614" s="62"/>
      <c r="J614" s="64"/>
    </row>
    <row r="615" spans="2:10" s="61" customFormat="1" x14ac:dyDescent="0.3">
      <c r="B615" s="67"/>
      <c r="C615" s="63"/>
      <c r="D615" s="64"/>
      <c r="E615" s="65"/>
      <c r="F615" s="66"/>
      <c r="G615" s="62"/>
      <c r="H615" s="64"/>
      <c r="I615" s="62"/>
      <c r="J615" s="64"/>
    </row>
    <row r="616" spans="2:10" s="61" customFormat="1" x14ac:dyDescent="0.3">
      <c r="B616" s="67"/>
      <c r="C616" s="63"/>
      <c r="D616" s="64"/>
      <c r="E616" s="65"/>
      <c r="F616" s="66"/>
      <c r="G616" s="62"/>
      <c r="H616" s="64"/>
      <c r="I616" s="62"/>
      <c r="J616" s="64"/>
    </row>
    <row r="617" spans="2:10" s="61" customFormat="1" x14ac:dyDescent="0.3">
      <c r="B617" s="67"/>
      <c r="C617" s="63"/>
      <c r="D617" s="64"/>
      <c r="E617" s="65"/>
      <c r="F617" s="66"/>
      <c r="G617" s="62"/>
      <c r="H617" s="64"/>
      <c r="I617" s="62"/>
      <c r="J617" s="64"/>
    </row>
    <row r="618" spans="2:10" s="61" customFormat="1" x14ac:dyDescent="0.3">
      <c r="B618" s="67"/>
      <c r="C618" s="63"/>
      <c r="D618" s="64"/>
      <c r="E618" s="65"/>
      <c r="F618" s="66"/>
      <c r="G618" s="62"/>
      <c r="H618" s="64"/>
      <c r="I618" s="62"/>
      <c r="J618" s="64"/>
    </row>
    <row r="619" spans="2:10" s="61" customFormat="1" x14ac:dyDescent="0.3">
      <c r="B619" s="67"/>
      <c r="C619" s="63"/>
      <c r="D619" s="64"/>
      <c r="E619" s="65"/>
      <c r="F619" s="66"/>
      <c r="G619" s="62"/>
      <c r="H619" s="64"/>
      <c r="I619" s="62"/>
      <c r="J619" s="64"/>
    </row>
    <row r="620" spans="2:10" s="61" customFormat="1" x14ac:dyDescent="0.3">
      <c r="B620" s="67"/>
      <c r="C620" s="63"/>
      <c r="D620" s="64"/>
      <c r="E620" s="65"/>
      <c r="F620" s="66"/>
      <c r="G620" s="62"/>
      <c r="H620" s="64"/>
      <c r="I620" s="62"/>
      <c r="J620" s="64"/>
    </row>
    <row r="621" spans="2:10" s="61" customFormat="1" x14ac:dyDescent="0.3">
      <c r="B621" s="67"/>
      <c r="C621" s="63"/>
      <c r="D621" s="64"/>
      <c r="E621" s="65"/>
      <c r="F621" s="66"/>
      <c r="G621" s="62"/>
      <c r="H621" s="64"/>
      <c r="I621" s="62"/>
      <c r="J621" s="64"/>
    </row>
    <row r="622" spans="2:10" s="61" customFormat="1" x14ac:dyDescent="0.3">
      <c r="B622" s="67"/>
      <c r="C622" s="63"/>
      <c r="D622" s="64"/>
      <c r="E622" s="65"/>
      <c r="F622" s="66"/>
      <c r="G622" s="62"/>
      <c r="H622" s="64"/>
      <c r="I622" s="62"/>
      <c r="J622" s="64"/>
    </row>
    <row r="623" spans="2:10" s="61" customFormat="1" x14ac:dyDescent="0.3">
      <c r="B623" s="67"/>
      <c r="C623" s="63"/>
      <c r="D623" s="64"/>
      <c r="E623" s="65"/>
      <c r="F623" s="66"/>
      <c r="G623" s="62"/>
      <c r="H623" s="64"/>
      <c r="I623" s="62"/>
      <c r="J623" s="64"/>
    </row>
    <row r="624" spans="2:10" s="61" customFormat="1" x14ac:dyDescent="0.3">
      <c r="B624" s="67"/>
      <c r="C624" s="63"/>
      <c r="D624" s="64"/>
      <c r="E624" s="65"/>
      <c r="F624" s="66"/>
      <c r="G624" s="62"/>
      <c r="H624" s="64"/>
      <c r="I624" s="62"/>
      <c r="J624" s="64"/>
    </row>
    <row r="625" spans="2:10" s="61" customFormat="1" x14ac:dyDescent="0.3">
      <c r="B625" s="67"/>
      <c r="C625" s="63"/>
      <c r="D625" s="64"/>
      <c r="E625" s="65"/>
      <c r="F625" s="66"/>
      <c r="G625" s="62"/>
      <c r="H625" s="64"/>
      <c r="I625" s="62"/>
      <c r="J625" s="64"/>
    </row>
    <row r="626" spans="2:10" s="61" customFormat="1" x14ac:dyDescent="0.3">
      <c r="B626" s="67"/>
      <c r="C626" s="63"/>
      <c r="D626" s="64"/>
      <c r="E626" s="65"/>
      <c r="F626" s="66"/>
      <c r="G626" s="62"/>
      <c r="H626" s="64"/>
      <c r="I626" s="62"/>
      <c r="J626" s="64"/>
    </row>
    <row r="627" spans="2:10" s="61" customFormat="1" x14ac:dyDescent="0.3">
      <c r="B627" s="67"/>
      <c r="C627" s="63"/>
      <c r="D627" s="64"/>
      <c r="E627" s="65"/>
      <c r="F627" s="66"/>
      <c r="G627" s="62"/>
      <c r="H627" s="64"/>
      <c r="I627" s="62"/>
      <c r="J627" s="64"/>
    </row>
    <row r="628" spans="2:10" s="61" customFormat="1" x14ac:dyDescent="0.3">
      <c r="B628" s="67"/>
      <c r="C628" s="63"/>
      <c r="D628" s="64"/>
      <c r="E628" s="65"/>
      <c r="F628" s="66"/>
      <c r="G628" s="62"/>
      <c r="H628" s="64"/>
      <c r="I628" s="62"/>
      <c r="J628" s="64"/>
    </row>
    <row r="629" spans="2:10" s="61" customFormat="1" x14ac:dyDescent="0.3">
      <c r="B629" s="67"/>
      <c r="C629" s="63"/>
      <c r="D629" s="64"/>
      <c r="E629" s="65"/>
      <c r="F629" s="66"/>
      <c r="G629" s="62"/>
      <c r="H629" s="64"/>
      <c r="I629" s="62"/>
      <c r="J629" s="64"/>
    </row>
    <row r="630" spans="2:10" s="61" customFormat="1" x14ac:dyDescent="0.3">
      <c r="B630" s="67"/>
      <c r="C630" s="63"/>
      <c r="D630" s="64"/>
      <c r="E630" s="65"/>
      <c r="F630" s="66"/>
      <c r="G630" s="62"/>
      <c r="H630" s="64"/>
      <c r="I630" s="62"/>
      <c r="J630" s="64"/>
    </row>
    <row r="631" spans="2:10" s="61" customFormat="1" x14ac:dyDescent="0.3">
      <c r="B631" s="67"/>
      <c r="C631" s="63"/>
      <c r="D631" s="64"/>
      <c r="E631" s="65"/>
      <c r="F631" s="66"/>
      <c r="G631" s="62"/>
      <c r="H631" s="64"/>
      <c r="I631" s="62"/>
      <c r="J631" s="64"/>
    </row>
    <row r="632" spans="2:10" s="61" customFormat="1" x14ac:dyDescent="0.3">
      <c r="B632" s="67"/>
      <c r="C632" s="63"/>
      <c r="D632" s="64"/>
      <c r="E632" s="65"/>
      <c r="F632" s="66"/>
      <c r="G632" s="62"/>
      <c r="H632" s="64"/>
      <c r="I632" s="62"/>
      <c r="J632" s="64"/>
    </row>
    <row r="633" spans="2:10" s="61" customFormat="1" x14ac:dyDescent="0.3">
      <c r="B633" s="67"/>
      <c r="C633" s="63"/>
      <c r="D633" s="64"/>
      <c r="E633" s="65"/>
      <c r="F633" s="66"/>
      <c r="G633" s="62"/>
      <c r="H633" s="64"/>
      <c r="I633" s="62"/>
      <c r="J633" s="64"/>
    </row>
    <row r="634" spans="2:10" s="61" customFormat="1" x14ac:dyDescent="0.3">
      <c r="B634" s="67"/>
      <c r="C634" s="63"/>
      <c r="D634" s="64"/>
      <c r="E634" s="65"/>
      <c r="F634" s="66"/>
      <c r="G634" s="62"/>
      <c r="H634" s="64"/>
      <c r="I634" s="62"/>
      <c r="J634" s="64"/>
    </row>
    <row r="635" spans="2:10" s="61" customFormat="1" x14ac:dyDescent="0.3">
      <c r="B635" s="67"/>
      <c r="C635" s="63"/>
      <c r="D635" s="64"/>
      <c r="E635" s="65"/>
      <c r="F635" s="66"/>
      <c r="G635" s="62"/>
      <c r="H635" s="64"/>
      <c r="I635" s="62"/>
      <c r="J635" s="64"/>
    </row>
    <row r="636" spans="2:10" s="61" customFormat="1" x14ac:dyDescent="0.3">
      <c r="B636" s="67"/>
      <c r="C636" s="63"/>
      <c r="D636" s="64"/>
      <c r="E636" s="65"/>
      <c r="F636" s="66"/>
      <c r="G636" s="62"/>
      <c r="H636" s="64"/>
      <c r="I636" s="62"/>
      <c r="J636" s="64"/>
    </row>
    <row r="637" spans="2:10" s="61" customFormat="1" x14ac:dyDescent="0.3">
      <c r="B637" s="67"/>
      <c r="C637" s="63"/>
      <c r="D637" s="64"/>
      <c r="E637" s="65"/>
      <c r="F637" s="66"/>
      <c r="G637" s="62"/>
      <c r="H637" s="64"/>
      <c r="I637" s="62"/>
      <c r="J637" s="64"/>
    </row>
    <row r="638" spans="2:10" s="61" customFormat="1" x14ac:dyDescent="0.3">
      <c r="B638" s="67"/>
      <c r="C638" s="63"/>
      <c r="D638" s="64"/>
      <c r="E638" s="65"/>
      <c r="F638" s="66"/>
      <c r="G638" s="62"/>
      <c r="H638" s="64"/>
      <c r="I638" s="62"/>
      <c r="J638" s="64"/>
    </row>
    <row r="639" spans="2:10" s="61" customFormat="1" x14ac:dyDescent="0.3">
      <c r="B639" s="67"/>
      <c r="C639" s="63"/>
      <c r="D639" s="64"/>
      <c r="E639" s="65"/>
      <c r="F639" s="66"/>
      <c r="G639" s="62"/>
      <c r="H639" s="64"/>
      <c r="I639" s="62"/>
      <c r="J639" s="64"/>
    </row>
    <row r="640" spans="2:10" s="61" customFormat="1" x14ac:dyDescent="0.3">
      <c r="B640" s="67"/>
      <c r="C640" s="63"/>
      <c r="D640" s="64"/>
      <c r="E640" s="65"/>
      <c r="F640" s="66"/>
      <c r="G640" s="62"/>
      <c r="H640" s="64"/>
      <c r="I640" s="62"/>
      <c r="J640" s="64"/>
    </row>
    <row r="641" spans="2:10" s="61" customFormat="1" x14ac:dyDescent="0.3">
      <c r="B641" s="67"/>
      <c r="C641" s="63"/>
      <c r="D641" s="64"/>
      <c r="E641" s="65"/>
      <c r="F641" s="66"/>
      <c r="G641" s="62"/>
      <c r="H641" s="64"/>
      <c r="I641" s="62"/>
      <c r="J641" s="64"/>
    </row>
    <row r="642" spans="2:10" s="61" customFormat="1" x14ac:dyDescent="0.3">
      <c r="B642" s="67"/>
      <c r="C642" s="63"/>
      <c r="D642" s="64"/>
      <c r="E642" s="65"/>
      <c r="F642" s="66"/>
      <c r="G642" s="62"/>
      <c r="H642" s="64"/>
      <c r="I642" s="62"/>
      <c r="J642" s="64"/>
    </row>
    <row r="643" spans="2:10" s="61" customFormat="1" x14ac:dyDescent="0.3">
      <c r="B643" s="67"/>
      <c r="C643" s="63"/>
      <c r="D643" s="64"/>
      <c r="E643" s="65"/>
      <c r="F643" s="66"/>
      <c r="G643" s="62"/>
      <c r="H643" s="64"/>
      <c r="I643" s="62"/>
      <c r="J643" s="64"/>
    </row>
    <row r="644" spans="2:10" s="61" customFormat="1" x14ac:dyDescent="0.3">
      <c r="B644" s="67"/>
      <c r="C644" s="63"/>
      <c r="D644" s="64"/>
      <c r="E644" s="65"/>
      <c r="F644" s="66"/>
      <c r="G644" s="62"/>
      <c r="H644" s="64"/>
      <c r="I644" s="62"/>
      <c r="J644" s="64"/>
    </row>
    <row r="645" spans="2:10" s="61" customFormat="1" x14ac:dyDescent="0.3">
      <c r="B645" s="67"/>
      <c r="C645" s="63"/>
      <c r="D645" s="64"/>
      <c r="E645" s="65"/>
      <c r="F645" s="66"/>
      <c r="G645" s="62"/>
      <c r="H645" s="64"/>
      <c r="I645" s="62"/>
      <c r="J645" s="64"/>
    </row>
    <row r="646" spans="2:10" s="61" customFormat="1" x14ac:dyDescent="0.3">
      <c r="B646" s="67"/>
      <c r="C646" s="63"/>
      <c r="D646" s="64"/>
      <c r="E646" s="65"/>
      <c r="F646" s="66"/>
      <c r="G646" s="62"/>
      <c r="H646" s="64"/>
      <c r="I646" s="62"/>
      <c r="J646" s="64"/>
    </row>
    <row r="647" spans="2:10" s="61" customFormat="1" x14ac:dyDescent="0.3">
      <c r="B647" s="67"/>
      <c r="C647" s="63"/>
      <c r="D647" s="64"/>
      <c r="E647" s="65"/>
      <c r="F647" s="66"/>
      <c r="G647" s="62"/>
      <c r="H647" s="64"/>
      <c r="I647" s="62"/>
      <c r="J647" s="64"/>
    </row>
    <row r="648" spans="2:10" s="61" customFormat="1" x14ac:dyDescent="0.3">
      <c r="B648" s="67"/>
      <c r="C648" s="63"/>
      <c r="D648" s="64"/>
      <c r="E648" s="65"/>
      <c r="F648" s="66"/>
      <c r="G648" s="62"/>
      <c r="H648" s="64"/>
      <c r="I648" s="62"/>
      <c r="J648" s="64"/>
    </row>
    <row r="649" spans="2:10" s="61" customFormat="1" x14ac:dyDescent="0.3">
      <c r="B649" s="67"/>
      <c r="C649" s="63"/>
      <c r="D649" s="64"/>
      <c r="E649" s="65"/>
      <c r="F649" s="66"/>
      <c r="G649" s="62"/>
      <c r="H649" s="64"/>
      <c r="I649" s="62"/>
      <c r="J649" s="64"/>
    </row>
    <row r="650" spans="2:10" s="61" customFormat="1" x14ac:dyDescent="0.3">
      <c r="B650" s="67"/>
      <c r="C650" s="63"/>
      <c r="D650" s="64"/>
      <c r="E650" s="65"/>
      <c r="F650" s="66"/>
      <c r="G650" s="62"/>
      <c r="H650" s="64"/>
      <c r="I650" s="62"/>
      <c r="J650" s="64"/>
    </row>
    <row r="651" spans="2:10" s="61" customFormat="1" x14ac:dyDescent="0.3">
      <c r="B651" s="67"/>
      <c r="C651" s="63"/>
      <c r="D651" s="64"/>
      <c r="E651" s="65"/>
      <c r="F651" s="66"/>
      <c r="G651" s="62"/>
      <c r="H651" s="64"/>
      <c r="I651" s="62"/>
      <c r="J651" s="64"/>
    </row>
    <row r="652" spans="2:10" s="61" customFormat="1" x14ac:dyDescent="0.3">
      <c r="B652" s="67"/>
      <c r="C652" s="63"/>
      <c r="D652" s="64"/>
      <c r="E652" s="65"/>
      <c r="F652" s="66"/>
      <c r="G652" s="62"/>
      <c r="H652" s="64"/>
      <c r="I652" s="62"/>
      <c r="J652" s="64"/>
    </row>
    <row r="653" spans="2:10" s="61" customFormat="1" x14ac:dyDescent="0.3">
      <c r="B653" s="67"/>
      <c r="C653" s="63"/>
      <c r="D653" s="64"/>
      <c r="E653" s="65"/>
      <c r="F653" s="66"/>
      <c r="G653" s="62"/>
      <c r="H653" s="64"/>
      <c r="I653" s="62"/>
      <c r="J653" s="64"/>
    </row>
    <row r="654" spans="2:10" s="61" customFormat="1" x14ac:dyDescent="0.3">
      <c r="B654" s="67"/>
      <c r="C654" s="63"/>
      <c r="D654" s="64"/>
      <c r="E654" s="65"/>
      <c r="F654" s="66"/>
      <c r="G654" s="62"/>
      <c r="H654" s="64"/>
      <c r="I654" s="62"/>
      <c r="J654" s="64"/>
    </row>
    <row r="655" spans="2:10" s="61" customFormat="1" x14ac:dyDescent="0.3">
      <c r="B655" s="67"/>
      <c r="C655" s="63"/>
      <c r="D655" s="64"/>
      <c r="E655" s="65"/>
      <c r="F655" s="66"/>
      <c r="G655" s="62"/>
      <c r="H655" s="64"/>
      <c r="I655" s="62"/>
      <c r="J655" s="64"/>
    </row>
    <row r="656" spans="2:10" s="61" customFormat="1" x14ac:dyDescent="0.3">
      <c r="B656" s="67"/>
      <c r="C656" s="63"/>
      <c r="D656" s="64"/>
      <c r="E656" s="65"/>
      <c r="F656" s="66"/>
      <c r="G656" s="62"/>
      <c r="H656" s="64"/>
      <c r="I656" s="62"/>
      <c r="J656" s="64"/>
    </row>
    <row r="657" spans="2:10" s="61" customFormat="1" x14ac:dyDescent="0.3">
      <c r="B657" s="67"/>
      <c r="C657" s="63"/>
      <c r="D657" s="64"/>
      <c r="E657" s="65"/>
      <c r="F657" s="66"/>
      <c r="G657" s="62"/>
      <c r="H657" s="64"/>
      <c r="I657" s="62"/>
      <c r="J657" s="64"/>
    </row>
    <row r="658" spans="2:10" s="61" customFormat="1" x14ac:dyDescent="0.3">
      <c r="B658" s="67"/>
      <c r="C658" s="63"/>
      <c r="D658" s="64"/>
      <c r="E658" s="65"/>
      <c r="F658" s="66"/>
      <c r="G658" s="62"/>
      <c r="H658" s="64"/>
      <c r="I658" s="62"/>
      <c r="J658" s="64"/>
    </row>
    <row r="659" spans="2:10" s="61" customFormat="1" x14ac:dyDescent="0.3">
      <c r="B659" s="67"/>
      <c r="C659" s="63"/>
      <c r="D659" s="64"/>
      <c r="E659" s="65"/>
      <c r="F659" s="66"/>
      <c r="G659" s="62"/>
      <c r="H659" s="64"/>
      <c r="I659" s="62"/>
      <c r="J659" s="64"/>
    </row>
    <row r="660" spans="2:10" s="61" customFormat="1" x14ac:dyDescent="0.3">
      <c r="B660" s="67"/>
      <c r="C660" s="63"/>
      <c r="D660" s="64"/>
      <c r="E660" s="65"/>
      <c r="F660" s="66"/>
      <c r="G660" s="62"/>
      <c r="H660" s="64"/>
      <c r="I660" s="62"/>
      <c r="J660" s="64"/>
    </row>
    <row r="661" spans="2:10" s="61" customFormat="1" x14ac:dyDescent="0.3">
      <c r="B661" s="67"/>
      <c r="C661" s="63"/>
      <c r="D661" s="64"/>
      <c r="E661" s="65"/>
      <c r="F661" s="66"/>
      <c r="G661" s="62"/>
      <c r="H661" s="64"/>
      <c r="I661" s="62"/>
      <c r="J661" s="64"/>
    </row>
    <row r="662" spans="2:10" s="61" customFormat="1" x14ac:dyDescent="0.3">
      <c r="B662" s="67"/>
      <c r="C662" s="63"/>
      <c r="D662" s="64"/>
      <c r="E662" s="65"/>
      <c r="F662" s="66"/>
      <c r="G662" s="62"/>
      <c r="H662" s="64"/>
      <c r="I662" s="62"/>
      <c r="J662" s="64"/>
    </row>
    <row r="663" spans="2:10" s="61" customFormat="1" x14ac:dyDescent="0.3">
      <c r="B663" s="67"/>
      <c r="C663" s="63"/>
      <c r="D663" s="64"/>
      <c r="E663" s="65"/>
      <c r="F663" s="66"/>
      <c r="G663" s="62"/>
      <c r="H663" s="64"/>
      <c r="I663" s="62"/>
      <c r="J663" s="64"/>
    </row>
    <row r="664" spans="2:10" s="61" customFormat="1" x14ac:dyDescent="0.3">
      <c r="B664" s="67"/>
      <c r="C664" s="63"/>
      <c r="D664" s="64"/>
      <c r="E664" s="65"/>
      <c r="F664" s="66"/>
      <c r="G664" s="62"/>
      <c r="H664" s="64"/>
      <c r="I664" s="62"/>
      <c r="J664" s="64"/>
    </row>
    <row r="665" spans="2:10" s="61" customFormat="1" x14ac:dyDescent="0.3">
      <c r="B665" s="67"/>
      <c r="C665" s="63"/>
      <c r="D665" s="64"/>
      <c r="E665" s="65"/>
      <c r="F665" s="66"/>
      <c r="G665" s="62"/>
      <c r="H665" s="64"/>
      <c r="I665" s="62"/>
      <c r="J665" s="64"/>
    </row>
    <row r="666" spans="2:10" s="61" customFormat="1" x14ac:dyDescent="0.3">
      <c r="B666" s="67"/>
      <c r="C666" s="63"/>
      <c r="D666" s="64"/>
      <c r="E666" s="65"/>
      <c r="F666" s="66"/>
      <c r="G666" s="62"/>
      <c r="H666" s="64"/>
      <c r="I666" s="62"/>
      <c r="J666" s="64"/>
    </row>
    <row r="667" spans="2:10" s="61" customFormat="1" x14ac:dyDescent="0.3">
      <c r="B667" s="67"/>
      <c r="C667" s="63"/>
      <c r="D667" s="64"/>
      <c r="E667" s="65"/>
      <c r="F667" s="66"/>
      <c r="G667" s="62"/>
      <c r="H667" s="64"/>
      <c r="I667" s="62"/>
      <c r="J667" s="64"/>
    </row>
    <row r="668" spans="2:10" s="61" customFormat="1" x14ac:dyDescent="0.3">
      <c r="B668" s="67"/>
      <c r="C668" s="63"/>
      <c r="D668" s="64"/>
      <c r="E668" s="65"/>
      <c r="F668" s="66"/>
      <c r="G668" s="62"/>
      <c r="H668" s="64"/>
      <c r="I668" s="62"/>
      <c r="J668" s="64"/>
    </row>
    <row r="669" spans="2:10" s="61" customFormat="1" x14ac:dyDescent="0.3">
      <c r="B669" s="67"/>
      <c r="C669" s="63"/>
      <c r="D669" s="64"/>
      <c r="E669" s="65"/>
      <c r="F669" s="66"/>
      <c r="G669" s="62"/>
      <c r="H669" s="64"/>
      <c r="I669" s="62"/>
      <c r="J669" s="64"/>
    </row>
    <row r="670" spans="2:10" s="61" customFormat="1" x14ac:dyDescent="0.3">
      <c r="B670" s="67"/>
      <c r="C670" s="63"/>
      <c r="D670" s="64"/>
      <c r="E670" s="65"/>
      <c r="F670" s="66"/>
      <c r="G670" s="62"/>
      <c r="H670" s="64"/>
      <c r="I670" s="62"/>
      <c r="J670" s="64"/>
    </row>
    <row r="671" spans="2:10" s="61" customFormat="1" x14ac:dyDescent="0.3">
      <c r="B671" s="67"/>
      <c r="C671" s="63"/>
      <c r="D671" s="64"/>
      <c r="E671" s="65"/>
      <c r="F671" s="66"/>
      <c r="G671" s="62"/>
      <c r="H671" s="64"/>
      <c r="I671" s="62"/>
      <c r="J671" s="64"/>
    </row>
    <row r="672" spans="2:10" s="61" customFormat="1" x14ac:dyDescent="0.3">
      <c r="B672" s="67"/>
      <c r="C672" s="63"/>
      <c r="D672" s="64"/>
      <c r="E672" s="65"/>
      <c r="F672" s="66"/>
      <c r="G672" s="62"/>
      <c r="H672" s="64"/>
      <c r="I672" s="62"/>
      <c r="J672" s="64"/>
    </row>
    <row r="673" spans="2:10" s="61" customFormat="1" x14ac:dyDescent="0.3">
      <c r="B673" s="67"/>
      <c r="C673" s="63"/>
      <c r="D673" s="64"/>
      <c r="E673" s="65"/>
      <c r="F673" s="66"/>
      <c r="G673" s="62"/>
      <c r="H673" s="64"/>
      <c r="I673" s="62"/>
      <c r="J673" s="64"/>
    </row>
    <row r="674" spans="2:10" s="61" customFormat="1" x14ac:dyDescent="0.3">
      <c r="B674" s="67"/>
      <c r="C674" s="63"/>
      <c r="D674" s="64"/>
      <c r="E674" s="65"/>
      <c r="F674" s="66"/>
      <c r="G674" s="62"/>
      <c r="H674" s="64"/>
      <c r="I674" s="62"/>
      <c r="J674" s="64"/>
    </row>
    <row r="675" spans="2:10" s="61" customFormat="1" x14ac:dyDescent="0.3">
      <c r="B675" s="67"/>
      <c r="C675" s="63"/>
      <c r="D675" s="64"/>
      <c r="E675" s="65"/>
      <c r="F675" s="66"/>
      <c r="G675" s="62"/>
      <c r="H675" s="64"/>
      <c r="I675" s="62"/>
      <c r="J675" s="64"/>
    </row>
    <row r="676" spans="2:10" s="61" customFormat="1" x14ac:dyDescent="0.3">
      <c r="B676" s="67"/>
      <c r="C676" s="63"/>
      <c r="D676" s="64"/>
      <c r="E676" s="65"/>
      <c r="F676" s="66"/>
      <c r="G676" s="62"/>
      <c r="H676" s="64"/>
      <c r="I676" s="62"/>
      <c r="J676" s="64"/>
    </row>
    <row r="677" spans="2:10" s="61" customFormat="1" x14ac:dyDescent="0.3">
      <c r="B677" s="67"/>
      <c r="C677" s="63"/>
      <c r="D677" s="64"/>
      <c r="E677" s="65"/>
      <c r="F677" s="66"/>
      <c r="G677" s="62"/>
      <c r="H677" s="64"/>
      <c r="I677" s="62"/>
      <c r="J677" s="64"/>
    </row>
    <row r="678" spans="2:10" s="61" customFormat="1" x14ac:dyDescent="0.3">
      <c r="B678" s="67"/>
      <c r="C678" s="63"/>
      <c r="D678" s="64"/>
      <c r="E678" s="65"/>
      <c r="F678" s="66"/>
      <c r="G678" s="62"/>
      <c r="H678" s="64"/>
      <c r="I678" s="62"/>
      <c r="J678" s="64"/>
    </row>
    <row r="679" spans="2:10" s="61" customFormat="1" x14ac:dyDescent="0.3">
      <c r="B679" s="67"/>
      <c r="C679" s="63"/>
      <c r="D679" s="64"/>
      <c r="E679" s="65"/>
      <c r="F679" s="66"/>
      <c r="G679" s="62"/>
      <c r="H679" s="64"/>
      <c r="I679" s="62"/>
      <c r="J679" s="64"/>
    </row>
    <row r="680" spans="2:10" s="61" customFormat="1" x14ac:dyDescent="0.3">
      <c r="B680" s="67"/>
      <c r="C680" s="63"/>
      <c r="D680" s="64"/>
      <c r="E680" s="65"/>
      <c r="F680" s="66"/>
      <c r="G680" s="62"/>
      <c r="H680" s="64"/>
      <c r="I680" s="62"/>
      <c r="J680" s="64"/>
    </row>
    <row r="681" spans="2:10" s="61" customFormat="1" x14ac:dyDescent="0.3">
      <c r="B681" s="67"/>
      <c r="C681" s="63"/>
      <c r="D681" s="64"/>
      <c r="E681" s="65"/>
      <c r="F681" s="66"/>
      <c r="G681" s="62"/>
      <c r="H681" s="64"/>
      <c r="I681" s="62"/>
      <c r="J681" s="64"/>
    </row>
    <row r="682" spans="2:10" s="61" customFormat="1" x14ac:dyDescent="0.3">
      <c r="B682" s="67"/>
      <c r="C682" s="63"/>
      <c r="D682" s="64"/>
      <c r="E682" s="65"/>
      <c r="F682" s="66"/>
      <c r="G682" s="62"/>
      <c r="H682" s="64"/>
      <c r="I682" s="62"/>
      <c r="J682" s="64"/>
    </row>
    <row r="683" spans="2:10" s="61" customFormat="1" x14ac:dyDescent="0.3">
      <c r="B683" s="67"/>
      <c r="C683" s="63"/>
      <c r="D683" s="64"/>
      <c r="E683" s="65"/>
      <c r="F683" s="66"/>
      <c r="G683" s="62"/>
      <c r="H683" s="64"/>
      <c r="I683" s="62"/>
      <c r="J683" s="64"/>
    </row>
    <row r="684" spans="2:10" s="61" customFormat="1" x14ac:dyDescent="0.3">
      <c r="B684" s="67"/>
      <c r="C684" s="63"/>
      <c r="D684" s="64"/>
      <c r="E684" s="65"/>
      <c r="F684" s="66"/>
      <c r="G684" s="62"/>
      <c r="H684" s="64"/>
      <c r="I684" s="62"/>
      <c r="J684" s="64"/>
    </row>
    <row r="685" spans="2:10" s="61" customFormat="1" x14ac:dyDescent="0.3">
      <c r="B685" s="67"/>
      <c r="C685" s="63"/>
      <c r="D685" s="64"/>
      <c r="E685" s="65"/>
      <c r="F685" s="66"/>
      <c r="G685" s="62"/>
      <c r="H685" s="64"/>
      <c r="I685" s="62"/>
      <c r="J685" s="64"/>
    </row>
    <row r="686" spans="2:10" s="61" customFormat="1" x14ac:dyDescent="0.3">
      <c r="B686" s="67"/>
      <c r="C686" s="63"/>
      <c r="D686" s="64"/>
      <c r="E686" s="65"/>
      <c r="F686" s="66"/>
      <c r="G686" s="62"/>
      <c r="H686" s="64"/>
      <c r="I686" s="62"/>
      <c r="J686" s="64"/>
    </row>
    <row r="687" spans="2:10" s="61" customFormat="1" x14ac:dyDescent="0.3">
      <c r="B687" s="67"/>
      <c r="C687" s="63"/>
      <c r="D687" s="64"/>
      <c r="E687" s="65"/>
      <c r="F687" s="66"/>
      <c r="G687" s="62"/>
      <c r="H687" s="64"/>
      <c r="I687" s="62"/>
      <c r="J687" s="64"/>
    </row>
    <row r="688" spans="2:10" s="61" customFormat="1" x14ac:dyDescent="0.3">
      <c r="B688" s="67"/>
      <c r="C688" s="63"/>
      <c r="D688" s="64"/>
      <c r="E688" s="65"/>
      <c r="F688" s="66"/>
      <c r="G688" s="62"/>
      <c r="H688" s="64"/>
      <c r="I688" s="62"/>
      <c r="J688" s="64"/>
    </row>
    <row r="689" spans="2:10" s="61" customFormat="1" x14ac:dyDescent="0.3">
      <c r="B689" s="67"/>
      <c r="C689" s="63"/>
      <c r="D689" s="64"/>
      <c r="E689" s="65"/>
      <c r="F689" s="66"/>
      <c r="G689" s="62"/>
      <c r="H689" s="64"/>
      <c r="I689" s="62"/>
      <c r="J689" s="64"/>
    </row>
    <row r="690" spans="2:10" s="61" customFormat="1" x14ac:dyDescent="0.3">
      <c r="B690" s="67"/>
      <c r="C690" s="63"/>
      <c r="D690" s="64"/>
      <c r="E690" s="65"/>
      <c r="F690" s="66"/>
      <c r="G690" s="62"/>
      <c r="H690" s="64"/>
      <c r="I690" s="62"/>
      <c r="J690" s="64"/>
    </row>
    <row r="691" spans="2:10" s="61" customFormat="1" x14ac:dyDescent="0.3">
      <c r="B691" s="67"/>
      <c r="C691" s="63"/>
      <c r="D691" s="64"/>
      <c r="E691" s="65"/>
      <c r="F691" s="66"/>
      <c r="G691" s="62"/>
      <c r="H691" s="64"/>
      <c r="I691" s="62"/>
      <c r="J691" s="64"/>
    </row>
    <row r="692" spans="2:10" s="61" customFormat="1" x14ac:dyDescent="0.3">
      <c r="B692" s="67"/>
      <c r="C692" s="63"/>
      <c r="D692" s="64"/>
      <c r="E692" s="65"/>
      <c r="F692" s="66"/>
      <c r="G692" s="62"/>
      <c r="H692" s="64"/>
      <c r="I692" s="62"/>
      <c r="J692" s="64"/>
    </row>
    <row r="693" spans="2:10" s="61" customFormat="1" x14ac:dyDescent="0.3">
      <c r="B693" s="67"/>
      <c r="C693" s="63"/>
      <c r="D693" s="64"/>
      <c r="E693" s="65"/>
      <c r="F693" s="66"/>
      <c r="G693" s="62"/>
      <c r="H693" s="64"/>
      <c r="I693" s="62"/>
      <c r="J693" s="64"/>
    </row>
    <row r="694" spans="2:10" s="61" customFormat="1" x14ac:dyDescent="0.3">
      <c r="B694" s="67"/>
      <c r="C694" s="63"/>
      <c r="D694" s="64"/>
      <c r="E694" s="65"/>
      <c r="F694" s="66"/>
      <c r="G694" s="62"/>
      <c r="H694" s="64"/>
      <c r="I694" s="62"/>
      <c r="J694" s="64"/>
    </row>
    <row r="695" spans="2:10" s="61" customFormat="1" x14ac:dyDescent="0.3">
      <c r="B695" s="67"/>
      <c r="C695" s="63"/>
      <c r="D695" s="64"/>
      <c r="E695" s="65"/>
      <c r="F695" s="66"/>
      <c r="G695" s="62"/>
      <c r="H695" s="64"/>
      <c r="I695" s="62"/>
      <c r="J695" s="64"/>
    </row>
    <row r="696" spans="2:10" s="61" customFormat="1" x14ac:dyDescent="0.3">
      <c r="B696" s="67"/>
      <c r="C696" s="63"/>
      <c r="D696" s="64"/>
      <c r="E696" s="65"/>
      <c r="F696" s="66"/>
      <c r="G696" s="62"/>
      <c r="H696" s="64"/>
      <c r="I696" s="62"/>
      <c r="J696" s="64"/>
    </row>
    <row r="697" spans="2:10" s="61" customFormat="1" x14ac:dyDescent="0.3">
      <c r="B697" s="67"/>
      <c r="C697" s="63"/>
      <c r="D697" s="64"/>
      <c r="E697" s="65"/>
      <c r="F697" s="66"/>
      <c r="G697" s="62"/>
      <c r="H697" s="64"/>
      <c r="I697" s="62"/>
      <c r="J697" s="64"/>
    </row>
    <row r="698" spans="2:10" s="61" customFormat="1" x14ac:dyDescent="0.3">
      <c r="B698" s="67"/>
      <c r="C698" s="63"/>
      <c r="D698" s="64"/>
      <c r="E698" s="65"/>
      <c r="F698" s="66"/>
      <c r="G698" s="62"/>
      <c r="H698" s="64"/>
      <c r="I698" s="62"/>
      <c r="J698" s="64"/>
    </row>
    <row r="699" spans="2:10" s="61" customFormat="1" x14ac:dyDescent="0.3">
      <c r="B699" s="67"/>
      <c r="C699" s="63"/>
      <c r="D699" s="64"/>
      <c r="E699" s="65"/>
      <c r="F699" s="66"/>
      <c r="G699" s="62"/>
      <c r="H699" s="64"/>
      <c r="I699" s="62"/>
      <c r="J699" s="64"/>
    </row>
    <row r="700" spans="2:10" s="61" customFormat="1" x14ac:dyDescent="0.3">
      <c r="B700" s="67"/>
      <c r="C700" s="63"/>
      <c r="D700" s="64"/>
      <c r="E700" s="65"/>
      <c r="F700" s="66"/>
      <c r="G700" s="62"/>
      <c r="H700" s="64"/>
      <c r="I700" s="62"/>
      <c r="J700" s="64"/>
    </row>
    <row r="701" spans="2:10" s="61" customFormat="1" x14ac:dyDescent="0.3">
      <c r="B701" s="67"/>
      <c r="C701" s="63"/>
      <c r="D701" s="64"/>
      <c r="E701" s="65"/>
      <c r="F701" s="66"/>
      <c r="G701" s="62"/>
      <c r="H701" s="64"/>
      <c r="I701" s="62"/>
      <c r="J701" s="64"/>
    </row>
    <row r="702" spans="2:10" s="61" customFormat="1" x14ac:dyDescent="0.3">
      <c r="B702" s="67"/>
      <c r="C702" s="63"/>
      <c r="D702" s="64"/>
      <c r="E702" s="65"/>
      <c r="F702" s="66"/>
      <c r="G702" s="62"/>
      <c r="H702" s="64"/>
      <c r="I702" s="62"/>
      <c r="J702" s="64"/>
    </row>
    <row r="703" spans="2:10" s="61" customFormat="1" x14ac:dyDescent="0.3">
      <c r="B703" s="67"/>
      <c r="C703" s="63"/>
      <c r="D703" s="64"/>
      <c r="E703" s="65"/>
      <c r="F703" s="66"/>
      <c r="G703" s="62"/>
      <c r="H703" s="64"/>
      <c r="I703" s="62"/>
      <c r="J703" s="64"/>
    </row>
    <row r="704" spans="2:10" s="61" customFormat="1" x14ac:dyDescent="0.3">
      <c r="B704" s="67"/>
      <c r="C704" s="63"/>
      <c r="D704" s="64"/>
      <c r="E704" s="65"/>
      <c r="F704" s="66"/>
      <c r="G704" s="62"/>
      <c r="H704" s="64"/>
      <c r="I704" s="62"/>
      <c r="J704" s="64"/>
    </row>
    <row r="705" spans="2:10" s="61" customFormat="1" x14ac:dyDescent="0.3">
      <c r="B705" s="67"/>
      <c r="C705" s="63"/>
      <c r="D705" s="64"/>
      <c r="E705" s="65"/>
      <c r="F705" s="66"/>
      <c r="G705" s="62"/>
      <c r="H705" s="64"/>
      <c r="I705" s="62"/>
      <c r="J705" s="64"/>
    </row>
    <row r="706" spans="2:10" s="61" customFormat="1" x14ac:dyDescent="0.3">
      <c r="B706" s="67"/>
      <c r="C706" s="63"/>
      <c r="D706" s="64"/>
      <c r="E706" s="65"/>
      <c r="F706" s="66"/>
      <c r="G706" s="62"/>
      <c r="H706" s="64"/>
      <c r="I706" s="62"/>
      <c r="J706" s="64"/>
    </row>
    <row r="707" spans="2:10" s="61" customFormat="1" x14ac:dyDescent="0.3">
      <c r="B707" s="67"/>
      <c r="C707" s="63"/>
      <c r="D707" s="64"/>
      <c r="E707" s="65"/>
      <c r="F707" s="66"/>
      <c r="G707" s="62"/>
      <c r="H707" s="64"/>
      <c r="I707" s="62"/>
      <c r="J707" s="64"/>
    </row>
    <row r="708" spans="2:10" s="61" customFormat="1" x14ac:dyDescent="0.3">
      <c r="B708" s="67"/>
      <c r="C708" s="63"/>
      <c r="D708" s="64"/>
      <c r="E708" s="65"/>
      <c r="F708" s="66"/>
      <c r="G708" s="62"/>
      <c r="H708" s="64"/>
      <c r="I708" s="62"/>
      <c r="J708" s="64"/>
    </row>
    <row r="709" spans="2:10" s="61" customFormat="1" x14ac:dyDescent="0.3">
      <c r="B709" s="67"/>
      <c r="C709" s="63"/>
      <c r="D709" s="64"/>
      <c r="E709" s="65"/>
      <c r="F709" s="66"/>
      <c r="G709" s="62"/>
      <c r="H709" s="64"/>
      <c r="I709" s="62"/>
      <c r="J709" s="64"/>
    </row>
    <row r="710" spans="2:10" s="61" customFormat="1" x14ac:dyDescent="0.3">
      <c r="B710" s="67"/>
      <c r="C710" s="63"/>
      <c r="D710" s="64"/>
      <c r="E710" s="65"/>
      <c r="F710" s="66"/>
      <c r="G710" s="62"/>
      <c r="H710" s="64"/>
      <c r="I710" s="62"/>
      <c r="J710" s="64"/>
    </row>
    <row r="711" spans="2:10" s="61" customFormat="1" x14ac:dyDescent="0.3">
      <c r="B711" s="67"/>
      <c r="C711" s="63"/>
      <c r="D711" s="64"/>
      <c r="E711" s="65"/>
      <c r="F711" s="66"/>
      <c r="G711" s="62"/>
      <c r="H711" s="64"/>
      <c r="I711" s="62"/>
      <c r="J711" s="64"/>
    </row>
    <row r="712" spans="2:10" s="61" customFormat="1" x14ac:dyDescent="0.3">
      <c r="B712" s="67"/>
      <c r="C712" s="63"/>
      <c r="D712" s="64"/>
      <c r="E712" s="65"/>
      <c r="F712" s="66"/>
      <c r="G712" s="62"/>
      <c r="H712" s="64"/>
      <c r="I712" s="62"/>
      <c r="J712" s="64"/>
    </row>
    <row r="713" spans="2:10" s="61" customFormat="1" x14ac:dyDescent="0.3">
      <c r="B713" s="67"/>
      <c r="C713" s="63"/>
      <c r="D713" s="64"/>
      <c r="E713" s="65"/>
      <c r="F713" s="66"/>
      <c r="G713" s="62"/>
      <c r="H713" s="64"/>
      <c r="I713" s="62"/>
      <c r="J713" s="64"/>
    </row>
    <row r="714" spans="2:10" s="61" customFormat="1" x14ac:dyDescent="0.3">
      <c r="B714" s="67"/>
      <c r="C714" s="63"/>
      <c r="D714" s="64"/>
      <c r="E714" s="65"/>
      <c r="F714" s="66"/>
      <c r="G714" s="62"/>
      <c r="H714" s="64"/>
      <c r="I714" s="62"/>
      <c r="J714" s="64"/>
    </row>
    <row r="715" spans="2:10" s="61" customFormat="1" x14ac:dyDescent="0.3">
      <c r="B715" s="67"/>
      <c r="C715" s="63"/>
      <c r="D715" s="64"/>
      <c r="E715" s="65"/>
      <c r="F715" s="66"/>
      <c r="G715" s="62"/>
      <c r="H715" s="64"/>
      <c r="I715" s="62"/>
      <c r="J715" s="64"/>
    </row>
    <row r="716" spans="2:10" s="61" customFormat="1" x14ac:dyDescent="0.3">
      <c r="B716" s="67"/>
      <c r="C716" s="63"/>
      <c r="D716" s="64"/>
      <c r="E716" s="65"/>
      <c r="F716" s="66"/>
      <c r="G716" s="62"/>
      <c r="H716" s="64"/>
      <c r="I716" s="62"/>
      <c r="J716" s="64"/>
    </row>
    <row r="717" spans="2:10" s="61" customFormat="1" x14ac:dyDescent="0.3">
      <c r="B717" s="67"/>
      <c r="C717" s="63"/>
      <c r="D717" s="64"/>
      <c r="E717" s="65"/>
      <c r="F717" s="66"/>
      <c r="G717" s="62"/>
      <c r="H717" s="64"/>
      <c r="I717" s="62"/>
      <c r="J717" s="64"/>
    </row>
    <row r="718" spans="2:10" s="61" customFormat="1" x14ac:dyDescent="0.3">
      <c r="B718" s="67"/>
      <c r="C718" s="63"/>
      <c r="D718" s="64"/>
      <c r="E718" s="65"/>
      <c r="F718" s="66"/>
      <c r="G718" s="62"/>
      <c r="H718" s="64"/>
      <c r="I718" s="62"/>
      <c r="J718" s="64"/>
    </row>
    <row r="719" spans="2:10" s="61" customFormat="1" x14ac:dyDescent="0.3">
      <c r="B719" s="67"/>
      <c r="C719" s="63"/>
      <c r="D719" s="64"/>
      <c r="E719" s="65"/>
      <c r="F719" s="66"/>
      <c r="G719" s="62"/>
      <c r="H719" s="64"/>
      <c r="I719" s="62"/>
      <c r="J719" s="64"/>
    </row>
    <row r="720" spans="2:10" s="61" customFormat="1" x14ac:dyDescent="0.3">
      <c r="B720" s="67"/>
      <c r="C720" s="63"/>
      <c r="D720" s="64"/>
      <c r="E720" s="65"/>
      <c r="F720" s="66"/>
      <c r="G720" s="62"/>
      <c r="H720" s="64"/>
      <c r="I720" s="62"/>
      <c r="J720" s="64"/>
    </row>
    <row r="721" spans="2:10" s="61" customFormat="1" x14ac:dyDescent="0.3">
      <c r="B721" s="67"/>
      <c r="C721" s="63"/>
      <c r="D721" s="64"/>
      <c r="E721" s="65"/>
      <c r="F721" s="66"/>
      <c r="G721" s="62"/>
      <c r="H721" s="64"/>
      <c r="I721" s="62"/>
      <c r="J721" s="64"/>
    </row>
    <row r="722" spans="2:10" s="61" customFormat="1" x14ac:dyDescent="0.3">
      <c r="B722" s="67"/>
      <c r="C722" s="63"/>
      <c r="D722" s="64"/>
      <c r="E722" s="65"/>
      <c r="F722" s="66"/>
      <c r="G722" s="62"/>
      <c r="H722" s="64"/>
      <c r="I722" s="62"/>
      <c r="J722" s="64"/>
    </row>
    <row r="723" spans="2:10" s="61" customFormat="1" x14ac:dyDescent="0.3">
      <c r="B723" s="67"/>
      <c r="C723" s="63"/>
      <c r="D723" s="64"/>
      <c r="E723" s="65"/>
      <c r="F723" s="66"/>
      <c r="G723" s="62"/>
      <c r="H723" s="64"/>
      <c r="I723" s="62"/>
      <c r="J723" s="64"/>
    </row>
    <row r="724" spans="2:10" s="61" customFormat="1" x14ac:dyDescent="0.3">
      <c r="B724" s="67"/>
      <c r="C724" s="63"/>
      <c r="D724" s="64"/>
      <c r="E724" s="65"/>
      <c r="F724" s="66"/>
      <c r="G724" s="62"/>
      <c r="H724" s="64"/>
      <c r="I724" s="62"/>
      <c r="J724" s="64"/>
    </row>
    <row r="725" spans="2:10" s="61" customFormat="1" x14ac:dyDescent="0.3">
      <c r="B725" s="67"/>
      <c r="C725" s="63"/>
      <c r="D725" s="64"/>
      <c r="E725" s="65"/>
      <c r="F725" s="66"/>
      <c r="G725" s="62"/>
      <c r="H725" s="64"/>
      <c r="I725" s="62"/>
      <c r="J725" s="64"/>
    </row>
    <row r="726" spans="2:10" s="61" customFormat="1" x14ac:dyDescent="0.3">
      <c r="B726" s="67"/>
      <c r="C726" s="63"/>
      <c r="D726" s="64"/>
      <c r="E726" s="65"/>
      <c r="F726" s="66"/>
      <c r="G726" s="62"/>
      <c r="H726" s="64"/>
      <c r="I726" s="62"/>
      <c r="J726" s="64"/>
    </row>
    <row r="727" spans="2:10" s="61" customFormat="1" x14ac:dyDescent="0.3">
      <c r="B727" s="67"/>
      <c r="C727" s="63"/>
      <c r="D727" s="64"/>
      <c r="E727" s="65"/>
      <c r="F727" s="66"/>
      <c r="G727" s="62"/>
      <c r="H727" s="64"/>
      <c r="I727" s="62"/>
      <c r="J727" s="64"/>
    </row>
    <row r="728" spans="2:10" s="61" customFormat="1" x14ac:dyDescent="0.3">
      <c r="B728" s="67"/>
      <c r="C728" s="63"/>
      <c r="D728" s="64"/>
      <c r="E728" s="65"/>
      <c r="F728" s="66"/>
      <c r="G728" s="62"/>
      <c r="H728" s="64"/>
      <c r="I728" s="62"/>
      <c r="J728" s="64"/>
    </row>
    <row r="729" spans="2:10" s="61" customFormat="1" x14ac:dyDescent="0.3">
      <c r="B729" s="67"/>
      <c r="C729" s="63"/>
      <c r="D729" s="64"/>
      <c r="E729" s="65"/>
      <c r="F729" s="66"/>
      <c r="G729" s="62"/>
      <c r="H729" s="64"/>
      <c r="I729" s="62"/>
      <c r="J729" s="64"/>
    </row>
    <row r="730" spans="2:10" s="61" customFormat="1" x14ac:dyDescent="0.3">
      <c r="B730" s="67"/>
      <c r="C730" s="63"/>
      <c r="D730" s="64"/>
      <c r="E730" s="65"/>
      <c r="F730" s="66"/>
      <c r="G730" s="62"/>
      <c r="H730" s="64"/>
      <c r="I730" s="62"/>
      <c r="J730" s="64"/>
    </row>
    <row r="731" spans="2:10" s="61" customFormat="1" x14ac:dyDescent="0.3">
      <c r="B731" s="67"/>
      <c r="C731" s="63"/>
      <c r="D731" s="64"/>
      <c r="E731" s="65"/>
      <c r="F731" s="66"/>
      <c r="G731" s="62"/>
      <c r="H731" s="64"/>
      <c r="I731" s="62"/>
      <c r="J731" s="64"/>
    </row>
    <row r="732" spans="2:10" s="61" customFormat="1" x14ac:dyDescent="0.3">
      <c r="B732" s="67"/>
      <c r="C732" s="63"/>
      <c r="D732" s="64"/>
      <c r="E732" s="65"/>
      <c r="F732" s="66"/>
      <c r="G732" s="62"/>
      <c r="H732" s="64"/>
      <c r="I732" s="62"/>
      <c r="J732" s="64"/>
    </row>
    <row r="733" spans="2:10" s="61" customFormat="1" x14ac:dyDescent="0.3">
      <c r="B733" s="67"/>
      <c r="C733" s="63"/>
      <c r="D733" s="64"/>
      <c r="E733" s="65"/>
      <c r="F733" s="66"/>
      <c r="G733" s="62"/>
      <c r="H733" s="64"/>
      <c r="I733" s="62"/>
      <c r="J733" s="64"/>
    </row>
    <row r="734" spans="2:10" s="61" customFormat="1" x14ac:dyDescent="0.3">
      <c r="B734" s="67"/>
      <c r="C734" s="63"/>
      <c r="D734" s="64"/>
      <c r="E734" s="65"/>
      <c r="F734" s="66"/>
      <c r="G734" s="62"/>
      <c r="H734" s="64"/>
      <c r="I734" s="62"/>
      <c r="J734" s="64"/>
    </row>
    <row r="735" spans="2:10" s="61" customFormat="1" x14ac:dyDescent="0.3">
      <c r="B735" s="67"/>
      <c r="C735" s="63"/>
      <c r="D735" s="64"/>
      <c r="E735" s="65"/>
      <c r="F735" s="66"/>
      <c r="G735" s="62"/>
      <c r="H735" s="64"/>
      <c r="I735" s="62"/>
      <c r="J735" s="64"/>
    </row>
    <row r="736" spans="2:10" s="61" customFormat="1" x14ac:dyDescent="0.3">
      <c r="B736" s="67"/>
      <c r="C736" s="63"/>
      <c r="D736" s="64"/>
      <c r="E736" s="65"/>
      <c r="F736" s="66"/>
      <c r="G736" s="62"/>
      <c r="H736" s="64"/>
      <c r="I736" s="62"/>
      <c r="J736" s="64"/>
    </row>
    <row r="737" spans="2:10" s="61" customFormat="1" x14ac:dyDescent="0.3">
      <c r="B737" s="67"/>
      <c r="C737" s="63"/>
      <c r="D737" s="64"/>
      <c r="E737" s="65"/>
      <c r="F737" s="66"/>
      <c r="G737" s="62"/>
      <c r="H737" s="64"/>
      <c r="I737" s="62"/>
      <c r="J737" s="64"/>
    </row>
    <row r="738" spans="2:10" s="61" customFormat="1" x14ac:dyDescent="0.3">
      <c r="B738" s="67"/>
      <c r="C738" s="63"/>
      <c r="D738" s="64"/>
      <c r="E738" s="65"/>
      <c r="F738" s="66"/>
      <c r="G738" s="62"/>
      <c r="H738" s="64"/>
      <c r="I738" s="62"/>
      <c r="J738" s="64"/>
    </row>
    <row r="739" spans="2:10" s="61" customFormat="1" x14ac:dyDescent="0.3">
      <c r="B739" s="67"/>
      <c r="C739" s="63"/>
      <c r="D739" s="64"/>
      <c r="E739" s="65"/>
      <c r="F739" s="66"/>
      <c r="G739" s="62"/>
      <c r="H739" s="64"/>
      <c r="I739" s="62"/>
      <c r="J739" s="64"/>
    </row>
    <row r="740" spans="2:10" s="61" customFormat="1" x14ac:dyDescent="0.3">
      <c r="B740" s="67"/>
      <c r="C740" s="63"/>
      <c r="D740" s="64"/>
      <c r="E740" s="65"/>
      <c r="F740" s="66"/>
      <c r="G740" s="62"/>
      <c r="H740" s="64"/>
      <c r="I740" s="62"/>
      <c r="J740" s="64"/>
    </row>
    <row r="741" spans="2:10" s="61" customFormat="1" x14ac:dyDescent="0.3">
      <c r="B741" s="67"/>
      <c r="C741" s="63"/>
      <c r="D741" s="64"/>
      <c r="E741" s="65"/>
      <c r="F741" s="66"/>
      <c r="G741" s="62"/>
      <c r="H741" s="64"/>
      <c r="I741" s="62"/>
      <c r="J741" s="64"/>
    </row>
    <row r="742" spans="2:10" s="61" customFormat="1" x14ac:dyDescent="0.3">
      <c r="B742" s="67"/>
      <c r="C742" s="63"/>
      <c r="D742" s="64"/>
      <c r="E742" s="65"/>
      <c r="F742" s="66"/>
      <c r="G742" s="62"/>
      <c r="H742" s="64"/>
      <c r="I742" s="62"/>
      <c r="J742" s="64"/>
    </row>
    <row r="743" spans="2:10" s="61" customFormat="1" x14ac:dyDescent="0.3">
      <c r="B743" s="67"/>
      <c r="C743" s="63"/>
      <c r="D743" s="64"/>
      <c r="E743" s="65"/>
      <c r="F743" s="66"/>
      <c r="G743" s="62"/>
      <c r="H743" s="64"/>
      <c r="I743" s="62"/>
      <c r="J743" s="64"/>
    </row>
    <row r="744" spans="2:10" s="61" customFormat="1" x14ac:dyDescent="0.3">
      <c r="B744" s="67"/>
      <c r="C744" s="63"/>
      <c r="D744" s="64"/>
      <c r="E744" s="65"/>
      <c r="F744" s="66"/>
      <c r="G744" s="62"/>
      <c r="H744" s="64"/>
      <c r="I744" s="62"/>
      <c r="J744" s="64"/>
    </row>
    <row r="745" spans="2:10" s="61" customFormat="1" x14ac:dyDescent="0.3">
      <c r="B745" s="67"/>
      <c r="C745" s="63"/>
      <c r="D745" s="64"/>
      <c r="E745" s="65"/>
      <c r="F745" s="66"/>
      <c r="G745" s="62"/>
      <c r="H745" s="64"/>
      <c r="I745" s="62"/>
      <c r="J745" s="64"/>
    </row>
    <row r="746" spans="2:10" s="61" customFormat="1" x14ac:dyDescent="0.3">
      <c r="B746" s="67"/>
      <c r="C746" s="63"/>
      <c r="D746" s="64"/>
      <c r="E746" s="65"/>
      <c r="F746" s="66"/>
      <c r="G746" s="62"/>
      <c r="H746" s="64"/>
      <c r="I746" s="62"/>
      <c r="J746" s="64"/>
    </row>
    <row r="747" spans="2:10" s="61" customFormat="1" x14ac:dyDescent="0.3">
      <c r="B747" s="67"/>
      <c r="C747" s="63"/>
      <c r="D747" s="64"/>
      <c r="E747" s="65"/>
      <c r="F747" s="66"/>
      <c r="G747" s="62"/>
      <c r="H747" s="64"/>
      <c r="I747" s="62"/>
      <c r="J747" s="64"/>
    </row>
    <row r="748" spans="2:10" s="61" customFormat="1" x14ac:dyDescent="0.3">
      <c r="B748" s="67"/>
      <c r="C748" s="63"/>
      <c r="D748" s="64"/>
      <c r="E748" s="65"/>
      <c r="F748" s="66"/>
      <c r="G748" s="62"/>
      <c r="H748" s="64"/>
      <c r="I748" s="62"/>
      <c r="J748" s="64"/>
    </row>
    <row r="749" spans="2:10" s="61" customFormat="1" x14ac:dyDescent="0.3">
      <c r="B749" s="67"/>
      <c r="C749" s="63"/>
      <c r="D749" s="64"/>
      <c r="E749" s="65"/>
      <c r="F749" s="66"/>
      <c r="G749" s="62"/>
      <c r="H749" s="64"/>
      <c r="I749" s="62"/>
      <c r="J749" s="64"/>
    </row>
    <row r="750" spans="2:10" s="61" customFormat="1" x14ac:dyDescent="0.3">
      <c r="B750" s="67"/>
      <c r="C750" s="63"/>
      <c r="D750" s="64"/>
      <c r="E750" s="65"/>
      <c r="F750" s="66"/>
      <c r="G750" s="62"/>
      <c r="H750" s="64"/>
      <c r="I750" s="62"/>
      <c r="J750" s="64"/>
    </row>
    <row r="751" spans="2:10" s="61" customFormat="1" x14ac:dyDescent="0.3">
      <c r="B751" s="67"/>
      <c r="C751" s="63"/>
      <c r="D751" s="64"/>
      <c r="E751" s="65"/>
      <c r="F751" s="66"/>
      <c r="G751" s="62"/>
      <c r="H751" s="64"/>
      <c r="I751" s="62"/>
      <c r="J751" s="64"/>
    </row>
    <row r="752" spans="2:10" s="61" customFormat="1" x14ac:dyDescent="0.3">
      <c r="B752" s="67"/>
      <c r="C752" s="63"/>
      <c r="D752" s="64"/>
      <c r="E752" s="65"/>
      <c r="F752" s="66"/>
      <c r="G752" s="62"/>
      <c r="H752" s="64"/>
      <c r="I752" s="62"/>
      <c r="J752" s="64"/>
    </row>
    <row r="753" spans="2:10" s="61" customFormat="1" x14ac:dyDescent="0.3">
      <c r="B753" s="67"/>
      <c r="C753" s="63"/>
      <c r="D753" s="64"/>
      <c r="E753" s="65"/>
      <c r="F753" s="66"/>
      <c r="G753" s="62"/>
      <c r="H753" s="64"/>
      <c r="I753" s="62"/>
      <c r="J753" s="64"/>
    </row>
    <row r="754" spans="2:10" s="61" customFormat="1" x14ac:dyDescent="0.3">
      <c r="B754" s="67"/>
      <c r="C754" s="63"/>
      <c r="D754" s="64"/>
      <c r="E754" s="65"/>
      <c r="F754" s="66"/>
      <c r="G754" s="62"/>
      <c r="H754" s="64"/>
      <c r="I754" s="62"/>
      <c r="J754" s="64"/>
    </row>
    <row r="755" spans="2:10" s="61" customFormat="1" x14ac:dyDescent="0.3">
      <c r="B755" s="67"/>
      <c r="C755" s="63"/>
      <c r="D755" s="64"/>
      <c r="E755" s="65"/>
      <c r="F755" s="66"/>
      <c r="G755" s="62"/>
      <c r="H755" s="64"/>
      <c r="I755" s="62"/>
      <c r="J755" s="64"/>
    </row>
    <row r="756" spans="2:10" s="61" customFormat="1" x14ac:dyDescent="0.3">
      <c r="B756" s="67"/>
      <c r="C756" s="63"/>
      <c r="D756" s="64"/>
      <c r="E756" s="65"/>
      <c r="F756" s="66"/>
      <c r="G756" s="62"/>
      <c r="H756" s="64"/>
      <c r="I756" s="62"/>
      <c r="J756" s="64"/>
    </row>
    <row r="757" spans="2:10" s="61" customFormat="1" x14ac:dyDescent="0.3">
      <c r="B757" s="67"/>
      <c r="C757" s="63"/>
      <c r="D757" s="64"/>
      <c r="E757" s="65"/>
      <c r="F757" s="66"/>
      <c r="G757" s="62"/>
      <c r="H757" s="64"/>
      <c r="I757" s="62"/>
      <c r="J757" s="64"/>
    </row>
    <row r="758" spans="2:10" s="61" customFormat="1" x14ac:dyDescent="0.3">
      <c r="B758" s="67"/>
      <c r="C758" s="63"/>
      <c r="D758" s="64"/>
      <c r="E758" s="65"/>
      <c r="F758" s="66"/>
      <c r="G758" s="62"/>
      <c r="H758" s="64"/>
      <c r="I758" s="62"/>
      <c r="J758" s="64"/>
    </row>
    <row r="759" spans="2:10" s="61" customFormat="1" x14ac:dyDescent="0.3">
      <c r="B759" s="67"/>
      <c r="C759" s="63"/>
      <c r="D759" s="64"/>
      <c r="E759" s="65"/>
      <c r="F759" s="66"/>
      <c r="G759" s="62"/>
      <c r="H759" s="64"/>
      <c r="I759" s="62"/>
      <c r="J759" s="64"/>
    </row>
    <row r="760" spans="2:10" s="61" customFormat="1" x14ac:dyDescent="0.3">
      <c r="B760" s="67"/>
      <c r="C760" s="63"/>
      <c r="D760" s="64"/>
      <c r="E760" s="65"/>
      <c r="F760" s="66"/>
      <c r="G760" s="62"/>
      <c r="H760" s="64"/>
      <c r="I760" s="62"/>
      <c r="J760" s="64"/>
    </row>
    <row r="761" spans="2:10" s="61" customFormat="1" x14ac:dyDescent="0.3">
      <c r="B761" s="67"/>
      <c r="C761" s="63"/>
      <c r="D761" s="64"/>
      <c r="E761" s="65"/>
      <c r="F761" s="66"/>
      <c r="G761" s="62"/>
      <c r="H761" s="64"/>
      <c r="I761" s="62"/>
      <c r="J761" s="64"/>
    </row>
    <row r="762" spans="2:10" s="61" customFormat="1" x14ac:dyDescent="0.3">
      <c r="B762" s="67"/>
      <c r="C762" s="63"/>
      <c r="D762" s="64"/>
      <c r="E762" s="65"/>
      <c r="F762" s="66"/>
      <c r="G762" s="62"/>
      <c r="H762" s="64"/>
      <c r="I762" s="62"/>
      <c r="J762" s="64"/>
    </row>
    <row r="763" spans="2:10" s="61" customFormat="1" x14ac:dyDescent="0.3">
      <c r="B763" s="67"/>
      <c r="C763" s="63"/>
      <c r="D763" s="64"/>
      <c r="E763" s="65"/>
      <c r="F763" s="66"/>
      <c r="G763" s="62"/>
      <c r="H763" s="64"/>
      <c r="I763" s="62"/>
      <c r="J763" s="64"/>
    </row>
    <row r="764" spans="2:10" s="61" customFormat="1" x14ac:dyDescent="0.3">
      <c r="B764" s="67"/>
      <c r="C764" s="63"/>
      <c r="D764" s="64"/>
      <c r="E764" s="65"/>
      <c r="F764" s="66"/>
      <c r="G764" s="62"/>
      <c r="H764" s="64"/>
      <c r="I764" s="62"/>
      <c r="J764" s="64"/>
    </row>
    <row r="765" spans="2:10" s="61" customFormat="1" x14ac:dyDescent="0.3">
      <c r="B765" s="67"/>
      <c r="C765" s="63"/>
      <c r="D765" s="64"/>
      <c r="E765" s="65"/>
      <c r="F765" s="66"/>
      <c r="G765" s="62"/>
      <c r="H765" s="64"/>
      <c r="I765" s="62"/>
      <c r="J765" s="64"/>
    </row>
    <row r="766" spans="2:10" s="61" customFormat="1" x14ac:dyDescent="0.3">
      <c r="B766" s="67"/>
      <c r="C766" s="63"/>
      <c r="D766" s="64"/>
      <c r="E766" s="65"/>
      <c r="F766" s="66"/>
      <c r="G766" s="62"/>
      <c r="H766" s="64"/>
      <c r="I766" s="62"/>
      <c r="J766" s="64"/>
    </row>
    <row r="767" spans="2:10" s="61" customFormat="1" x14ac:dyDescent="0.3">
      <c r="B767" s="67"/>
      <c r="C767" s="63"/>
      <c r="D767" s="64"/>
      <c r="E767" s="65"/>
      <c r="F767" s="66"/>
      <c r="G767" s="62"/>
      <c r="H767" s="64"/>
      <c r="I767" s="62"/>
      <c r="J767" s="64"/>
    </row>
    <row r="768" spans="2:10" s="61" customFormat="1" x14ac:dyDescent="0.3">
      <c r="B768" s="67"/>
      <c r="C768" s="63"/>
      <c r="D768" s="64"/>
      <c r="E768" s="65"/>
      <c r="F768" s="66"/>
      <c r="G768" s="62"/>
      <c r="H768" s="64"/>
      <c r="I768" s="62"/>
      <c r="J768" s="64"/>
    </row>
    <row r="769" spans="2:10" s="61" customFormat="1" x14ac:dyDescent="0.3">
      <c r="B769" s="67"/>
      <c r="C769" s="63"/>
      <c r="D769" s="64"/>
      <c r="E769" s="65"/>
      <c r="F769" s="66"/>
      <c r="G769" s="62"/>
      <c r="H769" s="64"/>
      <c r="I769" s="62"/>
      <c r="J769" s="64"/>
    </row>
    <row r="770" spans="2:10" s="61" customFormat="1" x14ac:dyDescent="0.3">
      <c r="B770" s="67"/>
      <c r="C770" s="63"/>
      <c r="D770" s="64"/>
      <c r="E770" s="65"/>
      <c r="F770" s="66"/>
      <c r="G770" s="62"/>
      <c r="H770" s="64"/>
      <c r="I770" s="62"/>
      <c r="J770" s="64"/>
    </row>
    <row r="771" spans="2:10" s="61" customFormat="1" x14ac:dyDescent="0.3">
      <c r="B771" s="67"/>
      <c r="C771" s="63"/>
      <c r="D771" s="64"/>
      <c r="E771" s="65"/>
      <c r="F771" s="66"/>
      <c r="G771" s="62"/>
      <c r="H771" s="64"/>
      <c r="I771" s="62"/>
      <c r="J771" s="64"/>
    </row>
    <row r="772" spans="2:10" s="61" customFormat="1" x14ac:dyDescent="0.3">
      <c r="B772" s="67"/>
      <c r="C772" s="63"/>
      <c r="D772" s="64"/>
      <c r="E772" s="65"/>
      <c r="F772" s="66"/>
      <c r="G772" s="62"/>
      <c r="H772" s="64"/>
      <c r="I772" s="62"/>
      <c r="J772" s="64"/>
    </row>
    <row r="773" spans="2:10" s="61" customFormat="1" x14ac:dyDescent="0.3">
      <c r="B773" s="67"/>
      <c r="C773" s="63"/>
      <c r="D773" s="64"/>
      <c r="E773" s="65"/>
      <c r="F773" s="66"/>
      <c r="G773" s="62"/>
      <c r="H773" s="64"/>
      <c r="I773" s="62"/>
      <c r="J773" s="64"/>
    </row>
    <row r="774" spans="2:10" s="61" customFormat="1" x14ac:dyDescent="0.3">
      <c r="B774" s="67"/>
      <c r="C774" s="63"/>
      <c r="D774" s="64"/>
      <c r="E774" s="65"/>
      <c r="F774" s="66"/>
      <c r="G774" s="62"/>
      <c r="H774" s="64"/>
      <c r="I774" s="62"/>
      <c r="J774" s="64"/>
    </row>
    <row r="775" spans="2:10" s="61" customFormat="1" x14ac:dyDescent="0.3">
      <c r="B775" s="67"/>
      <c r="C775" s="63"/>
      <c r="D775" s="64"/>
      <c r="E775" s="65"/>
      <c r="F775" s="66"/>
      <c r="G775" s="62"/>
      <c r="H775" s="64"/>
      <c r="I775" s="62"/>
      <c r="J775" s="64"/>
    </row>
    <row r="776" spans="2:10" s="61" customFormat="1" x14ac:dyDescent="0.3">
      <c r="B776" s="67"/>
      <c r="C776" s="63"/>
      <c r="D776" s="64"/>
      <c r="E776" s="65"/>
      <c r="F776" s="66"/>
      <c r="G776" s="62"/>
      <c r="H776" s="64"/>
      <c r="I776" s="62"/>
      <c r="J776" s="64"/>
    </row>
    <row r="777" spans="2:10" s="61" customFormat="1" x14ac:dyDescent="0.3">
      <c r="B777" s="67"/>
      <c r="C777" s="63"/>
      <c r="D777" s="64"/>
      <c r="E777" s="65"/>
      <c r="F777" s="66"/>
      <c r="G777" s="62"/>
      <c r="H777" s="64"/>
      <c r="I777" s="62"/>
      <c r="J777" s="64"/>
    </row>
    <row r="778" spans="2:10" s="61" customFormat="1" x14ac:dyDescent="0.3">
      <c r="B778" s="67"/>
      <c r="C778" s="63"/>
      <c r="D778" s="64"/>
      <c r="E778" s="65"/>
      <c r="F778" s="66"/>
      <c r="G778" s="62"/>
      <c r="H778" s="64"/>
      <c r="I778" s="62"/>
      <c r="J778" s="64"/>
    </row>
    <row r="779" spans="2:10" s="61" customFormat="1" x14ac:dyDescent="0.3">
      <c r="B779" s="67"/>
      <c r="C779" s="63"/>
      <c r="D779" s="64"/>
      <c r="E779" s="65"/>
      <c r="F779" s="66"/>
      <c r="G779" s="62"/>
      <c r="H779" s="64"/>
      <c r="I779" s="62"/>
      <c r="J779" s="64"/>
    </row>
    <row r="780" spans="2:10" s="61" customFormat="1" x14ac:dyDescent="0.3">
      <c r="B780" s="67"/>
      <c r="C780" s="63"/>
      <c r="D780" s="64"/>
      <c r="E780" s="65"/>
      <c r="F780" s="66"/>
      <c r="G780" s="62"/>
      <c r="H780" s="64"/>
      <c r="I780" s="62"/>
      <c r="J780" s="64"/>
    </row>
    <row r="781" spans="2:10" s="61" customFormat="1" x14ac:dyDescent="0.3">
      <c r="B781" s="67"/>
      <c r="C781" s="63"/>
      <c r="D781" s="64"/>
      <c r="E781" s="65"/>
      <c r="F781" s="66"/>
      <c r="G781" s="62"/>
      <c r="H781" s="64"/>
      <c r="I781" s="62"/>
      <c r="J781" s="64"/>
    </row>
    <row r="782" spans="2:10" s="61" customFormat="1" x14ac:dyDescent="0.3">
      <c r="B782" s="67"/>
      <c r="C782" s="63"/>
      <c r="D782" s="64"/>
      <c r="E782" s="65"/>
      <c r="F782" s="66"/>
      <c r="G782" s="62"/>
      <c r="H782" s="64"/>
      <c r="I782" s="62"/>
      <c r="J782" s="64"/>
    </row>
    <row r="783" spans="2:10" s="61" customFormat="1" x14ac:dyDescent="0.3">
      <c r="B783" s="67"/>
      <c r="C783" s="63"/>
      <c r="D783" s="64"/>
      <c r="E783" s="65"/>
      <c r="F783" s="66"/>
      <c r="G783" s="62"/>
      <c r="H783" s="64"/>
      <c r="I783" s="62"/>
      <c r="J783" s="64"/>
    </row>
    <row r="784" spans="2:10" s="61" customFormat="1" x14ac:dyDescent="0.3">
      <c r="B784" s="67"/>
      <c r="C784" s="63"/>
      <c r="D784" s="64"/>
      <c r="E784" s="65"/>
      <c r="F784" s="66"/>
      <c r="G784" s="62"/>
      <c r="H784" s="64"/>
      <c r="I784" s="62"/>
      <c r="J784" s="64"/>
    </row>
    <row r="785" spans="2:10" s="61" customFormat="1" x14ac:dyDescent="0.3">
      <c r="B785" s="67"/>
      <c r="C785" s="63"/>
      <c r="D785" s="64"/>
      <c r="E785" s="65"/>
      <c r="F785" s="66"/>
      <c r="G785" s="62"/>
      <c r="H785" s="64"/>
      <c r="I785" s="62"/>
      <c r="J785" s="64"/>
    </row>
    <row r="786" spans="2:10" s="61" customFormat="1" x14ac:dyDescent="0.3">
      <c r="B786" s="67"/>
      <c r="C786" s="63"/>
      <c r="D786" s="64"/>
      <c r="E786" s="65"/>
      <c r="F786" s="66"/>
      <c r="G786" s="62"/>
      <c r="H786" s="64"/>
      <c r="I786" s="62"/>
      <c r="J786" s="64"/>
    </row>
    <row r="787" spans="2:10" s="61" customFormat="1" x14ac:dyDescent="0.3">
      <c r="B787" s="67"/>
      <c r="C787" s="63"/>
      <c r="D787" s="64"/>
      <c r="E787" s="65"/>
      <c r="F787" s="66"/>
      <c r="G787" s="62"/>
      <c r="H787" s="64"/>
      <c r="I787" s="62"/>
      <c r="J787" s="64"/>
    </row>
    <row r="788" spans="2:10" s="61" customFormat="1" x14ac:dyDescent="0.3">
      <c r="B788" s="67"/>
      <c r="C788" s="63"/>
      <c r="D788" s="64"/>
      <c r="E788" s="65"/>
      <c r="F788" s="66"/>
      <c r="G788" s="62"/>
      <c r="H788" s="64"/>
      <c r="I788" s="62"/>
      <c r="J788" s="64"/>
    </row>
    <row r="789" spans="2:10" s="61" customFormat="1" x14ac:dyDescent="0.3">
      <c r="B789" s="67"/>
      <c r="C789" s="63"/>
      <c r="D789" s="64"/>
      <c r="E789" s="65"/>
      <c r="F789" s="66"/>
      <c r="G789" s="62"/>
      <c r="H789" s="64"/>
      <c r="I789" s="62"/>
      <c r="J789" s="64"/>
    </row>
    <row r="790" spans="2:10" s="61" customFormat="1" x14ac:dyDescent="0.3">
      <c r="B790" s="67"/>
      <c r="C790" s="63"/>
      <c r="D790" s="64"/>
      <c r="E790" s="65"/>
      <c r="F790" s="66"/>
      <c r="G790" s="62"/>
      <c r="H790" s="64"/>
      <c r="I790" s="62"/>
      <c r="J790" s="64"/>
    </row>
    <row r="791" spans="2:10" s="61" customFormat="1" x14ac:dyDescent="0.3">
      <c r="B791" s="67"/>
      <c r="C791" s="63"/>
      <c r="D791" s="64"/>
      <c r="E791" s="65"/>
      <c r="F791" s="66"/>
      <c r="G791" s="62"/>
      <c r="H791" s="64"/>
      <c r="I791" s="62"/>
      <c r="J791" s="64"/>
    </row>
    <row r="792" spans="2:10" s="61" customFormat="1" x14ac:dyDescent="0.3">
      <c r="B792" s="67"/>
      <c r="C792" s="63"/>
      <c r="D792" s="64"/>
      <c r="E792" s="65"/>
      <c r="F792" s="66"/>
      <c r="G792" s="62"/>
      <c r="H792" s="64"/>
      <c r="I792" s="62"/>
      <c r="J792" s="64"/>
    </row>
    <row r="793" spans="2:10" s="61" customFormat="1" x14ac:dyDescent="0.3">
      <c r="B793" s="67"/>
      <c r="C793" s="63"/>
      <c r="D793" s="64"/>
      <c r="E793" s="65"/>
      <c r="F793" s="66"/>
      <c r="G793" s="62"/>
      <c r="H793" s="64"/>
      <c r="I793" s="62"/>
      <c r="J793" s="64"/>
    </row>
    <row r="794" spans="2:10" s="61" customFormat="1" x14ac:dyDescent="0.3">
      <c r="B794" s="67"/>
      <c r="C794" s="63"/>
      <c r="D794" s="64"/>
      <c r="E794" s="65"/>
      <c r="F794" s="66"/>
      <c r="G794" s="62"/>
      <c r="H794" s="64"/>
      <c r="I794" s="62"/>
      <c r="J794" s="64"/>
    </row>
    <row r="795" spans="2:10" s="61" customFormat="1" x14ac:dyDescent="0.3">
      <c r="B795" s="67"/>
      <c r="C795" s="63"/>
      <c r="D795" s="64"/>
      <c r="E795" s="65"/>
      <c r="F795" s="66"/>
      <c r="G795" s="62"/>
      <c r="H795" s="64"/>
      <c r="I795" s="62"/>
      <c r="J795" s="64"/>
    </row>
    <row r="796" spans="2:10" s="61" customFormat="1" x14ac:dyDescent="0.3">
      <c r="B796" s="67"/>
      <c r="C796" s="63"/>
      <c r="D796" s="64"/>
      <c r="E796" s="65"/>
      <c r="F796" s="66"/>
      <c r="G796" s="62"/>
      <c r="H796" s="64"/>
      <c r="I796" s="62"/>
      <c r="J796" s="64"/>
    </row>
    <row r="797" spans="2:10" s="61" customFormat="1" x14ac:dyDescent="0.3">
      <c r="B797" s="67"/>
      <c r="C797" s="63"/>
      <c r="D797" s="64"/>
      <c r="E797" s="65"/>
      <c r="F797" s="66"/>
      <c r="G797" s="62"/>
      <c r="H797" s="64"/>
      <c r="I797" s="62"/>
      <c r="J797" s="64"/>
    </row>
    <row r="798" spans="2:10" s="61" customFormat="1" x14ac:dyDescent="0.3">
      <c r="B798" s="67"/>
      <c r="C798" s="63"/>
      <c r="D798" s="64"/>
      <c r="E798" s="65"/>
      <c r="F798" s="66"/>
      <c r="G798" s="62"/>
      <c r="H798" s="64"/>
      <c r="I798" s="62"/>
      <c r="J798" s="64"/>
    </row>
    <row r="799" spans="2:10" s="61" customFormat="1" x14ac:dyDescent="0.3">
      <c r="B799" s="67"/>
      <c r="C799" s="63"/>
      <c r="D799" s="64"/>
      <c r="E799" s="65"/>
      <c r="F799" s="66"/>
      <c r="G799" s="62"/>
      <c r="H799" s="64"/>
      <c r="I799" s="62"/>
      <c r="J799" s="64"/>
    </row>
    <row r="800" spans="2:10" s="61" customFormat="1" x14ac:dyDescent="0.3">
      <c r="B800" s="67"/>
      <c r="C800" s="63"/>
      <c r="D800" s="64"/>
      <c r="E800" s="65"/>
      <c r="F800" s="66"/>
      <c r="G800" s="62"/>
      <c r="H800" s="64"/>
      <c r="I800" s="62"/>
      <c r="J800" s="64"/>
    </row>
    <row r="801" spans="2:10" s="61" customFormat="1" x14ac:dyDescent="0.3">
      <c r="B801" s="67"/>
      <c r="C801" s="63"/>
      <c r="D801" s="64"/>
      <c r="E801" s="65"/>
      <c r="F801" s="66"/>
      <c r="G801" s="62"/>
      <c r="H801" s="64"/>
      <c r="I801" s="62"/>
      <c r="J801" s="64"/>
    </row>
    <row r="802" spans="2:10" s="61" customFormat="1" x14ac:dyDescent="0.3">
      <c r="B802" s="67"/>
      <c r="C802" s="63"/>
      <c r="D802" s="64"/>
      <c r="E802" s="65"/>
      <c r="F802" s="66"/>
      <c r="G802" s="62"/>
      <c r="H802" s="64"/>
      <c r="I802" s="62"/>
      <c r="J802" s="64"/>
    </row>
    <row r="803" spans="2:10" s="61" customFormat="1" x14ac:dyDescent="0.3">
      <c r="B803" s="67"/>
      <c r="C803" s="63"/>
      <c r="D803" s="64"/>
      <c r="E803" s="65"/>
      <c r="F803" s="66"/>
      <c r="G803" s="62"/>
      <c r="H803" s="64"/>
      <c r="I803" s="62"/>
      <c r="J803" s="64"/>
    </row>
    <row r="804" spans="2:10" s="61" customFormat="1" x14ac:dyDescent="0.3">
      <c r="B804" s="67"/>
      <c r="C804" s="63"/>
      <c r="D804" s="64"/>
      <c r="E804" s="65"/>
      <c r="F804" s="66"/>
      <c r="G804" s="62"/>
      <c r="H804" s="64"/>
      <c r="I804" s="62"/>
      <c r="J804" s="64"/>
    </row>
    <row r="805" spans="2:10" s="61" customFormat="1" x14ac:dyDescent="0.3">
      <c r="B805" s="67"/>
      <c r="C805" s="63"/>
      <c r="D805" s="64"/>
      <c r="E805" s="65"/>
      <c r="F805" s="66"/>
      <c r="G805" s="62"/>
      <c r="H805" s="64"/>
      <c r="I805" s="62"/>
      <c r="J805" s="64"/>
    </row>
    <row r="806" spans="2:10" s="61" customFormat="1" x14ac:dyDescent="0.3">
      <c r="B806" s="67"/>
      <c r="C806" s="63"/>
      <c r="D806" s="64"/>
      <c r="E806" s="65"/>
      <c r="F806" s="66"/>
      <c r="G806" s="62"/>
      <c r="H806" s="64"/>
      <c r="I806" s="62"/>
      <c r="J806" s="64"/>
    </row>
    <row r="807" spans="2:10" s="61" customFormat="1" x14ac:dyDescent="0.3">
      <c r="B807" s="67"/>
      <c r="C807" s="63"/>
      <c r="D807" s="64"/>
      <c r="E807" s="65"/>
      <c r="F807" s="66"/>
      <c r="G807" s="62"/>
      <c r="H807" s="64"/>
      <c r="I807" s="62"/>
      <c r="J807" s="64"/>
    </row>
    <row r="808" spans="2:10" s="61" customFormat="1" x14ac:dyDescent="0.3">
      <c r="B808" s="67"/>
      <c r="C808" s="63"/>
      <c r="D808" s="64"/>
      <c r="E808" s="65"/>
      <c r="F808" s="66"/>
      <c r="G808" s="62"/>
      <c r="H808" s="64"/>
      <c r="I808" s="62"/>
      <c r="J808" s="64"/>
    </row>
    <row r="809" spans="2:10" s="61" customFormat="1" x14ac:dyDescent="0.3">
      <c r="B809" s="67"/>
      <c r="C809" s="63"/>
      <c r="D809" s="64"/>
      <c r="E809" s="65"/>
      <c r="F809" s="66"/>
      <c r="G809" s="62"/>
      <c r="H809" s="64"/>
      <c r="I809" s="62"/>
      <c r="J809" s="64"/>
    </row>
    <row r="810" spans="2:10" s="61" customFormat="1" x14ac:dyDescent="0.3">
      <c r="B810" s="67"/>
      <c r="C810" s="63"/>
      <c r="D810" s="64"/>
      <c r="E810" s="65"/>
      <c r="F810" s="66"/>
      <c r="G810" s="62"/>
      <c r="H810" s="64"/>
      <c r="I810" s="62"/>
      <c r="J810" s="64"/>
    </row>
    <row r="811" spans="2:10" s="61" customFormat="1" x14ac:dyDescent="0.3">
      <c r="B811" s="67"/>
      <c r="C811" s="63"/>
      <c r="D811" s="64"/>
      <c r="E811" s="65"/>
      <c r="F811" s="66"/>
      <c r="G811" s="62"/>
      <c r="H811" s="64"/>
      <c r="I811" s="62"/>
      <c r="J811" s="64"/>
    </row>
    <row r="812" spans="2:10" s="61" customFormat="1" x14ac:dyDescent="0.3">
      <c r="B812" s="67"/>
      <c r="C812" s="63"/>
      <c r="D812" s="64"/>
      <c r="E812" s="65"/>
      <c r="F812" s="66"/>
      <c r="G812" s="62"/>
      <c r="H812" s="64"/>
      <c r="I812" s="62"/>
      <c r="J812" s="64"/>
    </row>
    <row r="813" spans="2:10" s="61" customFormat="1" x14ac:dyDescent="0.3">
      <c r="B813" s="67"/>
      <c r="C813" s="63"/>
      <c r="D813" s="64"/>
      <c r="E813" s="65"/>
      <c r="F813" s="66"/>
      <c r="G813" s="62"/>
      <c r="H813" s="64"/>
      <c r="I813" s="62"/>
      <c r="J813" s="64"/>
    </row>
    <row r="814" spans="2:10" s="61" customFormat="1" x14ac:dyDescent="0.3">
      <c r="B814" s="67"/>
      <c r="C814" s="63"/>
      <c r="D814" s="64"/>
      <c r="E814" s="65"/>
      <c r="F814" s="66"/>
      <c r="G814" s="62"/>
      <c r="H814" s="64"/>
      <c r="I814" s="62"/>
      <c r="J814" s="64"/>
    </row>
    <row r="815" spans="2:10" s="61" customFormat="1" x14ac:dyDescent="0.3">
      <c r="B815" s="67"/>
      <c r="C815" s="63"/>
      <c r="D815" s="64"/>
      <c r="E815" s="65"/>
      <c r="F815" s="66"/>
      <c r="G815" s="62"/>
      <c r="H815" s="64"/>
      <c r="I815" s="62"/>
      <c r="J815" s="64"/>
    </row>
    <row r="816" spans="2:10" s="61" customFormat="1" x14ac:dyDescent="0.3">
      <c r="B816" s="67"/>
      <c r="C816" s="63"/>
      <c r="D816" s="64"/>
      <c r="E816" s="65"/>
      <c r="F816" s="66"/>
      <c r="G816" s="62"/>
      <c r="H816" s="64"/>
      <c r="I816" s="62"/>
      <c r="J816" s="64"/>
    </row>
    <row r="817" spans="2:10" s="61" customFormat="1" x14ac:dyDescent="0.3">
      <c r="B817" s="67"/>
      <c r="C817" s="63"/>
      <c r="D817" s="64"/>
      <c r="E817" s="65"/>
      <c r="F817" s="66"/>
      <c r="G817" s="62"/>
      <c r="H817" s="64"/>
      <c r="I817" s="62"/>
      <c r="J817" s="64"/>
    </row>
    <row r="818" spans="2:10" s="61" customFormat="1" x14ac:dyDescent="0.3">
      <c r="B818" s="67"/>
      <c r="C818" s="63"/>
      <c r="D818" s="64"/>
      <c r="E818" s="65"/>
      <c r="F818" s="66"/>
      <c r="G818" s="62"/>
      <c r="H818" s="64"/>
      <c r="I818" s="62"/>
      <c r="J818" s="64"/>
    </row>
    <row r="819" spans="2:10" s="61" customFormat="1" x14ac:dyDescent="0.3">
      <c r="B819" s="67"/>
      <c r="C819" s="63"/>
      <c r="D819" s="64"/>
      <c r="E819" s="65"/>
      <c r="F819" s="66"/>
      <c r="G819" s="62"/>
      <c r="H819" s="64"/>
      <c r="I819" s="62"/>
      <c r="J819" s="64"/>
    </row>
    <row r="820" spans="2:10" s="61" customFormat="1" x14ac:dyDescent="0.3">
      <c r="B820" s="67"/>
      <c r="C820" s="63"/>
      <c r="D820" s="64"/>
      <c r="E820" s="65"/>
      <c r="F820" s="66"/>
      <c r="G820" s="62"/>
      <c r="H820" s="64"/>
      <c r="I820" s="62"/>
      <c r="J820" s="64"/>
    </row>
    <row r="821" spans="2:10" s="61" customFormat="1" x14ac:dyDescent="0.3">
      <c r="B821" s="67"/>
      <c r="C821" s="63"/>
      <c r="D821" s="64"/>
      <c r="E821" s="65"/>
      <c r="F821" s="66"/>
      <c r="G821" s="62"/>
      <c r="H821" s="64"/>
      <c r="I821" s="62"/>
      <c r="J821" s="64"/>
    </row>
    <row r="822" spans="2:10" s="61" customFormat="1" x14ac:dyDescent="0.3">
      <c r="B822" s="67"/>
      <c r="C822" s="63"/>
      <c r="D822" s="64"/>
      <c r="E822" s="65"/>
      <c r="F822" s="66"/>
      <c r="G822" s="62"/>
      <c r="H822" s="64"/>
      <c r="I822" s="62"/>
      <c r="J822" s="64"/>
    </row>
    <row r="823" spans="2:10" s="61" customFormat="1" x14ac:dyDescent="0.3">
      <c r="B823" s="67"/>
      <c r="C823" s="63"/>
      <c r="D823" s="64"/>
      <c r="E823" s="65"/>
      <c r="F823" s="66"/>
      <c r="G823" s="62"/>
      <c r="H823" s="64"/>
      <c r="I823" s="62"/>
      <c r="J823" s="64"/>
    </row>
    <row r="824" spans="2:10" s="61" customFormat="1" x14ac:dyDescent="0.3">
      <c r="B824" s="67"/>
      <c r="C824" s="63"/>
      <c r="D824" s="64"/>
      <c r="E824" s="65"/>
      <c r="F824" s="66"/>
      <c r="G824" s="62"/>
      <c r="H824" s="64"/>
      <c r="I824" s="62"/>
      <c r="J824" s="64"/>
    </row>
    <row r="825" spans="2:10" s="61" customFormat="1" x14ac:dyDescent="0.3">
      <c r="B825" s="67"/>
      <c r="C825" s="63"/>
      <c r="D825" s="64"/>
      <c r="E825" s="65"/>
      <c r="F825" s="66"/>
      <c r="G825" s="62"/>
      <c r="H825" s="64"/>
      <c r="I825" s="62"/>
      <c r="J825" s="64"/>
    </row>
    <row r="826" spans="2:10" s="61" customFormat="1" x14ac:dyDescent="0.3">
      <c r="B826" s="67"/>
      <c r="C826" s="63"/>
      <c r="D826" s="64"/>
      <c r="E826" s="65"/>
      <c r="F826" s="66"/>
      <c r="G826" s="62"/>
      <c r="H826" s="64"/>
      <c r="I826" s="62"/>
      <c r="J826" s="64"/>
    </row>
    <row r="827" spans="2:10" s="61" customFormat="1" x14ac:dyDescent="0.3">
      <c r="B827" s="67"/>
      <c r="C827" s="63"/>
      <c r="D827" s="64"/>
      <c r="E827" s="65"/>
      <c r="F827" s="66"/>
      <c r="G827" s="62"/>
      <c r="H827" s="64"/>
      <c r="I827" s="62"/>
      <c r="J827" s="64"/>
    </row>
    <row r="828" spans="2:10" s="61" customFormat="1" x14ac:dyDescent="0.3">
      <c r="B828" s="67"/>
      <c r="C828" s="63"/>
      <c r="D828" s="64"/>
      <c r="E828" s="65"/>
      <c r="F828" s="66"/>
      <c r="G828" s="62"/>
      <c r="H828" s="64"/>
      <c r="I828" s="62"/>
      <c r="J828" s="64"/>
    </row>
    <row r="829" spans="2:10" s="61" customFormat="1" x14ac:dyDescent="0.3">
      <c r="B829" s="67"/>
      <c r="C829" s="63"/>
      <c r="D829" s="64"/>
      <c r="E829" s="65"/>
      <c r="F829" s="66"/>
      <c r="G829" s="62"/>
      <c r="H829" s="64"/>
      <c r="I829" s="62"/>
      <c r="J829" s="64"/>
    </row>
    <row r="830" spans="2:10" s="61" customFormat="1" x14ac:dyDescent="0.3">
      <c r="B830" s="67"/>
      <c r="C830" s="63"/>
      <c r="D830" s="64"/>
      <c r="E830" s="65"/>
      <c r="F830" s="66"/>
      <c r="G830" s="62"/>
      <c r="H830" s="64"/>
      <c r="I830" s="62"/>
      <c r="J830" s="64"/>
    </row>
    <row r="831" spans="2:10" s="61" customFormat="1" x14ac:dyDescent="0.3">
      <c r="B831" s="67"/>
      <c r="C831" s="63"/>
      <c r="D831" s="64"/>
      <c r="E831" s="65"/>
      <c r="F831" s="66"/>
      <c r="G831" s="62"/>
      <c r="H831" s="64"/>
      <c r="I831" s="62"/>
      <c r="J831" s="64"/>
    </row>
    <row r="832" spans="2:10" s="61" customFormat="1" x14ac:dyDescent="0.3">
      <c r="B832" s="67"/>
      <c r="C832" s="63"/>
      <c r="D832" s="64"/>
      <c r="E832" s="65"/>
      <c r="F832" s="66"/>
      <c r="G832" s="62"/>
      <c r="H832" s="64"/>
      <c r="I832" s="62"/>
      <c r="J832" s="64"/>
    </row>
    <row r="833" spans="2:10" s="61" customFormat="1" x14ac:dyDescent="0.3">
      <c r="B833" s="67"/>
      <c r="C833" s="63"/>
      <c r="D833" s="64"/>
      <c r="E833" s="65"/>
      <c r="F833" s="66"/>
      <c r="G833" s="62"/>
      <c r="H833" s="64"/>
      <c r="I833" s="62"/>
      <c r="J833" s="64"/>
    </row>
    <row r="834" spans="2:10" s="61" customFormat="1" x14ac:dyDescent="0.3">
      <c r="B834" s="67"/>
      <c r="C834" s="63"/>
      <c r="D834" s="64"/>
      <c r="E834" s="65"/>
      <c r="F834" s="66"/>
      <c r="G834" s="62"/>
      <c r="H834" s="64"/>
      <c r="I834" s="62"/>
      <c r="J834" s="64"/>
    </row>
    <row r="835" spans="2:10" s="61" customFormat="1" x14ac:dyDescent="0.3">
      <c r="B835" s="67"/>
      <c r="C835" s="63"/>
      <c r="D835" s="64"/>
      <c r="E835" s="65"/>
      <c r="F835" s="66"/>
      <c r="G835" s="62"/>
      <c r="H835" s="64"/>
      <c r="I835" s="62"/>
      <c r="J835" s="64"/>
    </row>
    <row r="836" spans="2:10" s="61" customFormat="1" x14ac:dyDescent="0.3">
      <c r="B836" s="67"/>
      <c r="C836" s="63"/>
      <c r="D836" s="64"/>
      <c r="E836" s="65"/>
      <c r="F836" s="66"/>
      <c r="G836" s="62"/>
      <c r="H836" s="64"/>
      <c r="I836" s="62"/>
      <c r="J836" s="64"/>
    </row>
    <row r="837" spans="2:10" s="61" customFormat="1" x14ac:dyDescent="0.3">
      <c r="B837" s="67"/>
      <c r="C837" s="63"/>
      <c r="D837" s="64"/>
      <c r="E837" s="65"/>
      <c r="F837" s="66"/>
      <c r="G837" s="62"/>
      <c r="H837" s="64"/>
      <c r="I837" s="62"/>
      <c r="J837" s="64"/>
    </row>
    <row r="838" spans="2:10" s="61" customFormat="1" x14ac:dyDescent="0.3">
      <c r="B838" s="67"/>
      <c r="C838" s="63"/>
      <c r="D838" s="64"/>
      <c r="E838" s="65"/>
      <c r="F838" s="66"/>
      <c r="G838" s="62"/>
      <c r="H838" s="64"/>
      <c r="I838" s="62"/>
      <c r="J838" s="64"/>
    </row>
    <row r="839" spans="2:10" s="61" customFormat="1" x14ac:dyDescent="0.3">
      <c r="B839" s="67"/>
      <c r="C839" s="63"/>
      <c r="D839" s="64"/>
      <c r="E839" s="65"/>
      <c r="F839" s="66"/>
      <c r="G839" s="62"/>
      <c r="H839" s="64"/>
      <c r="I839" s="62"/>
      <c r="J839" s="64"/>
    </row>
    <row r="840" spans="2:10" s="61" customFormat="1" x14ac:dyDescent="0.3">
      <c r="B840" s="67"/>
      <c r="C840" s="63"/>
      <c r="D840" s="64"/>
      <c r="E840" s="65"/>
      <c r="F840" s="66"/>
      <c r="G840" s="62"/>
      <c r="H840" s="64"/>
      <c r="I840" s="62"/>
      <c r="J840" s="64"/>
    </row>
    <row r="841" spans="2:10" s="61" customFormat="1" x14ac:dyDescent="0.3">
      <c r="B841" s="67"/>
      <c r="C841" s="63"/>
      <c r="D841" s="64"/>
      <c r="E841" s="65"/>
      <c r="F841" s="66"/>
      <c r="G841" s="62"/>
      <c r="H841" s="64"/>
      <c r="I841" s="62"/>
      <c r="J841" s="64"/>
    </row>
    <row r="842" spans="2:10" s="61" customFormat="1" x14ac:dyDescent="0.3">
      <c r="B842" s="67"/>
      <c r="C842" s="63"/>
      <c r="D842" s="64"/>
      <c r="E842" s="65"/>
      <c r="F842" s="66"/>
      <c r="G842" s="62"/>
      <c r="H842" s="64"/>
      <c r="I842" s="62"/>
      <c r="J842" s="64"/>
    </row>
    <row r="843" spans="2:10" s="61" customFormat="1" x14ac:dyDescent="0.3">
      <c r="B843" s="67"/>
      <c r="C843" s="63"/>
      <c r="D843" s="64"/>
      <c r="E843" s="65"/>
      <c r="F843" s="66"/>
      <c r="G843" s="62"/>
      <c r="H843" s="64"/>
      <c r="I843" s="62"/>
      <c r="J843" s="64"/>
    </row>
    <row r="844" spans="2:10" s="61" customFormat="1" x14ac:dyDescent="0.3">
      <c r="B844" s="67"/>
      <c r="C844" s="63"/>
      <c r="D844" s="64"/>
      <c r="E844" s="65"/>
      <c r="F844" s="66"/>
      <c r="G844" s="62"/>
      <c r="H844" s="64"/>
      <c r="I844" s="62"/>
      <c r="J844" s="64"/>
    </row>
    <row r="845" spans="2:10" s="61" customFormat="1" x14ac:dyDescent="0.3">
      <c r="B845" s="67"/>
      <c r="C845" s="63"/>
      <c r="D845" s="64"/>
      <c r="E845" s="65"/>
      <c r="F845" s="66"/>
      <c r="G845" s="62"/>
      <c r="H845" s="64"/>
      <c r="I845" s="62"/>
      <c r="J845" s="64"/>
    </row>
    <row r="846" spans="2:10" s="61" customFormat="1" x14ac:dyDescent="0.3">
      <c r="B846" s="67"/>
      <c r="C846" s="63"/>
      <c r="D846" s="64"/>
      <c r="E846" s="65"/>
      <c r="F846" s="66"/>
      <c r="G846" s="62"/>
      <c r="H846" s="64"/>
      <c r="I846" s="62"/>
      <c r="J846" s="64"/>
    </row>
    <row r="847" spans="2:10" s="61" customFormat="1" x14ac:dyDescent="0.3">
      <c r="B847" s="67"/>
      <c r="C847" s="63"/>
      <c r="D847" s="64"/>
      <c r="E847" s="65"/>
      <c r="F847" s="66"/>
      <c r="G847" s="62"/>
      <c r="H847" s="64"/>
      <c r="I847" s="62"/>
      <c r="J847" s="64"/>
    </row>
    <row r="848" spans="2:10" s="61" customFormat="1" x14ac:dyDescent="0.3">
      <c r="B848" s="67"/>
      <c r="C848" s="63"/>
      <c r="D848" s="64"/>
      <c r="E848" s="65"/>
      <c r="F848" s="66"/>
      <c r="G848" s="62"/>
      <c r="H848" s="64"/>
      <c r="I848" s="62"/>
      <c r="J848" s="64"/>
    </row>
    <row r="849" spans="2:10" s="61" customFormat="1" x14ac:dyDescent="0.3">
      <c r="B849" s="67"/>
      <c r="C849" s="63"/>
      <c r="D849" s="64"/>
      <c r="E849" s="65"/>
      <c r="F849" s="66"/>
      <c r="G849" s="62"/>
      <c r="H849" s="64"/>
      <c r="I849" s="62"/>
      <c r="J849" s="64"/>
    </row>
    <row r="850" spans="2:10" s="61" customFormat="1" x14ac:dyDescent="0.3">
      <c r="B850" s="67"/>
      <c r="C850" s="63"/>
      <c r="D850" s="64"/>
      <c r="E850" s="65"/>
      <c r="F850" s="66"/>
      <c r="G850" s="62"/>
      <c r="H850" s="64"/>
      <c r="I850" s="62"/>
      <c r="J850" s="64"/>
    </row>
    <row r="851" spans="2:10" s="61" customFormat="1" x14ac:dyDescent="0.3">
      <c r="B851" s="67"/>
      <c r="C851" s="63"/>
      <c r="D851" s="64"/>
      <c r="E851" s="65"/>
      <c r="F851" s="66"/>
      <c r="G851" s="62"/>
      <c r="H851" s="64"/>
      <c r="I851" s="62"/>
      <c r="J851" s="64"/>
    </row>
    <row r="852" spans="2:10" s="61" customFormat="1" x14ac:dyDescent="0.3">
      <c r="B852" s="67"/>
      <c r="C852" s="63"/>
      <c r="D852" s="64"/>
      <c r="E852" s="65"/>
      <c r="F852" s="66"/>
      <c r="G852" s="62"/>
      <c r="H852" s="64"/>
      <c r="I852" s="62"/>
      <c r="J852" s="64"/>
    </row>
    <row r="853" spans="2:10" s="61" customFormat="1" x14ac:dyDescent="0.3">
      <c r="B853" s="67"/>
      <c r="C853" s="63"/>
      <c r="D853" s="64"/>
      <c r="E853" s="65"/>
      <c r="F853" s="66"/>
      <c r="G853" s="62"/>
      <c r="H853" s="64"/>
      <c r="I853" s="62"/>
      <c r="J853" s="64"/>
    </row>
    <row r="854" spans="2:10" s="61" customFormat="1" x14ac:dyDescent="0.3">
      <c r="B854" s="67"/>
      <c r="C854" s="63"/>
      <c r="D854" s="64"/>
      <c r="E854" s="65"/>
      <c r="F854" s="66"/>
      <c r="G854" s="62"/>
      <c r="H854" s="64"/>
      <c r="I854" s="62"/>
      <c r="J854" s="64"/>
    </row>
    <row r="855" spans="2:10" s="61" customFormat="1" x14ac:dyDescent="0.3">
      <c r="B855" s="67"/>
      <c r="C855" s="63"/>
      <c r="D855" s="64"/>
      <c r="E855" s="65"/>
      <c r="F855" s="66"/>
      <c r="G855" s="62"/>
      <c r="H855" s="64"/>
      <c r="I855" s="62"/>
      <c r="J855" s="64"/>
    </row>
    <row r="856" spans="2:10" s="61" customFormat="1" x14ac:dyDescent="0.3">
      <c r="B856" s="67"/>
      <c r="C856" s="63"/>
      <c r="D856" s="64"/>
      <c r="E856" s="65"/>
      <c r="F856" s="66"/>
      <c r="G856" s="62"/>
      <c r="H856" s="64"/>
      <c r="I856" s="62"/>
      <c r="J856" s="64"/>
    </row>
    <row r="857" spans="2:10" s="61" customFormat="1" x14ac:dyDescent="0.3">
      <c r="B857" s="67"/>
      <c r="C857" s="63"/>
      <c r="D857" s="64"/>
      <c r="E857" s="65"/>
      <c r="F857" s="66"/>
      <c r="G857" s="62"/>
      <c r="H857" s="64"/>
      <c r="I857" s="62"/>
      <c r="J857" s="64"/>
    </row>
    <row r="858" spans="2:10" s="61" customFormat="1" x14ac:dyDescent="0.3">
      <c r="B858" s="67"/>
      <c r="C858" s="63"/>
      <c r="D858" s="64"/>
      <c r="E858" s="65"/>
      <c r="F858" s="66"/>
      <c r="G858" s="62"/>
      <c r="H858" s="64"/>
      <c r="I858" s="62"/>
      <c r="J858" s="64"/>
    </row>
    <row r="859" spans="2:10" s="61" customFormat="1" x14ac:dyDescent="0.3">
      <c r="B859" s="67"/>
      <c r="C859" s="63"/>
      <c r="D859" s="64"/>
      <c r="E859" s="65"/>
      <c r="F859" s="66"/>
      <c r="G859" s="62"/>
      <c r="H859" s="64"/>
      <c r="I859" s="62"/>
      <c r="J859" s="64"/>
    </row>
    <row r="860" spans="2:10" s="61" customFormat="1" x14ac:dyDescent="0.3">
      <c r="B860" s="67"/>
      <c r="C860" s="63"/>
      <c r="D860" s="64"/>
      <c r="E860" s="65"/>
      <c r="F860" s="66"/>
      <c r="G860" s="62"/>
      <c r="H860" s="64"/>
      <c r="I860" s="62"/>
      <c r="J860" s="64"/>
    </row>
    <row r="861" spans="2:10" s="61" customFormat="1" x14ac:dyDescent="0.3">
      <c r="B861" s="67"/>
      <c r="C861" s="63"/>
      <c r="D861" s="64"/>
      <c r="E861" s="65"/>
      <c r="F861" s="66"/>
      <c r="G861" s="62"/>
      <c r="H861" s="64"/>
      <c r="I861" s="62"/>
      <c r="J861" s="64"/>
    </row>
    <row r="862" spans="2:10" s="61" customFormat="1" x14ac:dyDescent="0.3">
      <c r="B862" s="67"/>
      <c r="C862" s="63"/>
      <c r="D862" s="64"/>
      <c r="E862" s="65"/>
      <c r="F862" s="66"/>
      <c r="G862" s="62"/>
      <c r="H862" s="64"/>
      <c r="I862" s="62"/>
      <c r="J862" s="64"/>
    </row>
    <row r="863" spans="2:10" s="61" customFormat="1" x14ac:dyDescent="0.3">
      <c r="B863" s="67"/>
      <c r="C863" s="63"/>
      <c r="D863" s="64"/>
      <c r="E863" s="65"/>
      <c r="F863" s="66"/>
      <c r="G863" s="62"/>
      <c r="H863" s="64"/>
      <c r="I863" s="62"/>
      <c r="J863" s="64"/>
    </row>
    <row r="864" spans="2:10" s="61" customFormat="1" x14ac:dyDescent="0.3">
      <c r="B864" s="67"/>
      <c r="C864" s="63"/>
      <c r="D864" s="64"/>
      <c r="E864" s="65"/>
      <c r="F864" s="66"/>
      <c r="G864" s="62"/>
      <c r="H864" s="64"/>
      <c r="I864" s="62"/>
      <c r="J864" s="64"/>
    </row>
    <row r="865" spans="2:10" s="61" customFormat="1" x14ac:dyDescent="0.3">
      <c r="B865" s="67"/>
      <c r="C865" s="63"/>
      <c r="D865" s="64"/>
      <c r="E865" s="65"/>
      <c r="F865" s="66"/>
      <c r="G865" s="62"/>
      <c r="H865" s="64"/>
      <c r="I865" s="62"/>
      <c r="J865" s="64"/>
    </row>
    <row r="866" spans="2:10" s="61" customFormat="1" x14ac:dyDescent="0.3">
      <c r="B866" s="67"/>
      <c r="C866" s="63"/>
      <c r="D866" s="64"/>
      <c r="E866" s="65"/>
      <c r="F866" s="66"/>
      <c r="G866" s="62"/>
      <c r="H866" s="64"/>
      <c r="I866" s="62"/>
      <c r="J866" s="64"/>
    </row>
    <row r="867" spans="2:10" s="61" customFormat="1" x14ac:dyDescent="0.3">
      <c r="B867" s="67"/>
      <c r="C867" s="63"/>
      <c r="D867" s="64"/>
      <c r="E867" s="65"/>
      <c r="F867" s="66"/>
      <c r="G867" s="62"/>
      <c r="H867" s="64"/>
      <c r="I867" s="62"/>
      <c r="J867" s="64"/>
    </row>
    <row r="868" spans="2:10" s="61" customFormat="1" x14ac:dyDescent="0.3">
      <c r="B868" s="67"/>
      <c r="C868" s="63"/>
      <c r="D868" s="64"/>
      <c r="E868" s="65"/>
      <c r="F868" s="66"/>
      <c r="G868" s="62"/>
      <c r="H868" s="64"/>
      <c r="I868" s="62"/>
      <c r="J868" s="64"/>
    </row>
    <row r="869" spans="2:10" s="61" customFormat="1" x14ac:dyDescent="0.3">
      <c r="B869" s="67"/>
      <c r="C869" s="63"/>
      <c r="D869" s="64"/>
      <c r="E869" s="65"/>
      <c r="F869" s="66"/>
      <c r="G869" s="62"/>
      <c r="H869" s="64"/>
      <c r="I869" s="62"/>
      <c r="J869" s="64"/>
    </row>
    <row r="870" spans="2:10" s="61" customFormat="1" x14ac:dyDescent="0.3">
      <c r="B870" s="67"/>
      <c r="C870" s="63"/>
      <c r="D870" s="64"/>
      <c r="E870" s="65"/>
      <c r="F870" s="66"/>
      <c r="G870" s="62"/>
      <c r="H870" s="64"/>
      <c r="I870" s="62"/>
      <c r="J870" s="64"/>
    </row>
    <row r="871" spans="2:10" s="61" customFormat="1" x14ac:dyDescent="0.3">
      <c r="B871" s="67"/>
      <c r="C871" s="63"/>
      <c r="D871" s="64"/>
      <c r="E871" s="65"/>
      <c r="F871" s="66"/>
      <c r="G871" s="62"/>
      <c r="H871" s="64"/>
      <c r="I871" s="62"/>
      <c r="J871" s="64"/>
    </row>
    <row r="872" spans="2:10" s="61" customFormat="1" x14ac:dyDescent="0.3">
      <c r="B872" s="67"/>
      <c r="C872" s="63"/>
      <c r="D872" s="64"/>
      <c r="E872" s="65"/>
      <c r="F872" s="66"/>
      <c r="G872" s="62"/>
      <c r="H872" s="64"/>
      <c r="I872" s="62"/>
      <c r="J872" s="64"/>
    </row>
    <row r="873" spans="2:10" s="61" customFormat="1" x14ac:dyDescent="0.3">
      <c r="B873" s="67"/>
      <c r="C873" s="63"/>
      <c r="D873" s="64"/>
      <c r="E873" s="65"/>
      <c r="F873" s="66"/>
      <c r="G873" s="62"/>
      <c r="H873" s="64"/>
      <c r="I873" s="62"/>
      <c r="J873" s="64"/>
    </row>
    <row r="874" spans="2:10" s="61" customFormat="1" x14ac:dyDescent="0.3">
      <c r="B874" s="67"/>
      <c r="C874" s="63"/>
      <c r="D874" s="64"/>
      <c r="E874" s="65"/>
      <c r="F874" s="66"/>
      <c r="G874" s="62"/>
      <c r="H874" s="64"/>
      <c r="I874" s="62"/>
      <c r="J874" s="64"/>
    </row>
    <row r="875" spans="2:10" s="61" customFormat="1" x14ac:dyDescent="0.3">
      <c r="B875" s="67"/>
      <c r="C875" s="63"/>
      <c r="D875" s="64"/>
      <c r="E875" s="65"/>
      <c r="F875" s="66"/>
      <c r="G875" s="62"/>
      <c r="H875" s="64"/>
      <c r="I875" s="62"/>
      <c r="J875" s="64"/>
    </row>
    <row r="876" spans="2:10" s="61" customFormat="1" x14ac:dyDescent="0.3">
      <c r="B876" s="67"/>
      <c r="C876" s="63"/>
      <c r="D876" s="64"/>
      <c r="E876" s="65"/>
      <c r="F876" s="66"/>
      <c r="G876" s="62"/>
      <c r="H876" s="64"/>
      <c r="I876" s="62"/>
      <c r="J876" s="64"/>
    </row>
    <row r="877" spans="2:10" s="61" customFormat="1" x14ac:dyDescent="0.3">
      <c r="B877" s="67"/>
      <c r="C877" s="63"/>
      <c r="D877" s="64"/>
      <c r="E877" s="65"/>
      <c r="F877" s="66"/>
      <c r="G877" s="62"/>
      <c r="H877" s="64"/>
      <c r="I877" s="62"/>
      <c r="J877" s="64"/>
    </row>
    <row r="878" spans="2:10" s="61" customFormat="1" x14ac:dyDescent="0.3">
      <c r="B878" s="67"/>
      <c r="C878" s="63"/>
      <c r="D878" s="64"/>
      <c r="E878" s="65"/>
      <c r="F878" s="66"/>
      <c r="G878" s="62"/>
      <c r="H878" s="64"/>
      <c r="I878" s="62"/>
      <c r="J878" s="64"/>
    </row>
    <row r="879" spans="2:10" s="61" customFormat="1" x14ac:dyDescent="0.3">
      <c r="B879" s="67"/>
      <c r="C879" s="63"/>
      <c r="D879" s="64"/>
      <c r="E879" s="65"/>
      <c r="F879" s="66"/>
      <c r="G879" s="62"/>
      <c r="H879" s="64"/>
      <c r="I879" s="62"/>
      <c r="J879" s="64"/>
    </row>
    <row r="880" spans="2:10" s="61" customFormat="1" x14ac:dyDescent="0.3">
      <c r="B880" s="67"/>
      <c r="C880" s="63"/>
      <c r="D880" s="64"/>
      <c r="E880" s="65"/>
      <c r="F880" s="66"/>
      <c r="G880" s="62"/>
      <c r="H880" s="64"/>
      <c r="I880" s="62"/>
      <c r="J880" s="64"/>
    </row>
    <row r="881" spans="2:10" s="61" customFormat="1" x14ac:dyDescent="0.3">
      <c r="B881" s="67"/>
      <c r="C881" s="63"/>
      <c r="D881" s="64"/>
      <c r="E881" s="65"/>
      <c r="F881" s="66"/>
      <c r="G881" s="62"/>
      <c r="H881" s="64"/>
      <c r="I881" s="62"/>
      <c r="J881" s="64"/>
    </row>
    <row r="882" spans="2:10" s="61" customFormat="1" x14ac:dyDescent="0.3">
      <c r="B882" s="67"/>
      <c r="C882" s="63"/>
      <c r="D882" s="64"/>
      <c r="E882" s="65"/>
      <c r="F882" s="66"/>
      <c r="G882" s="62"/>
      <c r="H882" s="64"/>
      <c r="I882" s="62"/>
      <c r="J882" s="64"/>
    </row>
    <row r="883" spans="2:10" s="61" customFormat="1" x14ac:dyDescent="0.3">
      <c r="B883" s="67"/>
      <c r="C883" s="63"/>
      <c r="D883" s="64"/>
      <c r="E883" s="65"/>
      <c r="F883" s="66"/>
      <c r="G883" s="62"/>
      <c r="H883" s="64"/>
      <c r="I883" s="62"/>
      <c r="J883" s="64"/>
    </row>
    <row r="884" spans="2:10" s="61" customFormat="1" x14ac:dyDescent="0.3">
      <c r="B884" s="67"/>
      <c r="C884" s="63"/>
      <c r="D884" s="64"/>
      <c r="E884" s="65"/>
      <c r="F884" s="66"/>
      <c r="G884" s="62"/>
      <c r="H884" s="64"/>
      <c r="I884" s="62"/>
      <c r="J884" s="64"/>
    </row>
    <row r="885" spans="2:10" s="61" customFormat="1" x14ac:dyDescent="0.3">
      <c r="B885" s="67"/>
      <c r="C885" s="63"/>
      <c r="D885" s="64"/>
      <c r="E885" s="65"/>
      <c r="F885" s="66"/>
      <c r="G885" s="62"/>
      <c r="H885" s="64"/>
      <c r="I885" s="62"/>
      <c r="J885" s="64"/>
    </row>
    <row r="886" spans="2:10" s="61" customFormat="1" x14ac:dyDescent="0.3">
      <c r="B886" s="67"/>
      <c r="C886" s="63"/>
      <c r="D886" s="64"/>
      <c r="E886" s="65"/>
      <c r="F886" s="66"/>
      <c r="G886" s="62"/>
      <c r="H886" s="64"/>
      <c r="I886" s="62"/>
      <c r="J886" s="64"/>
    </row>
    <row r="887" spans="2:10" s="61" customFormat="1" x14ac:dyDescent="0.3">
      <c r="B887" s="67"/>
      <c r="C887" s="63"/>
      <c r="D887" s="64"/>
      <c r="E887" s="65"/>
      <c r="F887" s="66"/>
      <c r="G887" s="62"/>
      <c r="H887" s="64"/>
      <c r="I887" s="62"/>
      <c r="J887" s="64"/>
    </row>
    <row r="888" spans="2:10" s="61" customFormat="1" x14ac:dyDescent="0.3">
      <c r="B888" s="67"/>
      <c r="C888" s="63"/>
      <c r="D888" s="64"/>
      <c r="E888" s="65"/>
      <c r="F888" s="66"/>
      <c r="G888" s="62"/>
      <c r="H888" s="64"/>
      <c r="I888" s="62"/>
      <c r="J888" s="64"/>
    </row>
    <row r="889" spans="2:10" s="61" customFormat="1" x14ac:dyDescent="0.3">
      <c r="B889" s="67"/>
      <c r="C889" s="63"/>
      <c r="D889" s="64"/>
      <c r="E889" s="65"/>
      <c r="F889" s="66"/>
      <c r="G889" s="62"/>
      <c r="H889" s="64"/>
      <c r="I889" s="62"/>
      <c r="J889" s="64"/>
    </row>
    <row r="890" spans="2:10" s="61" customFormat="1" x14ac:dyDescent="0.3">
      <c r="B890" s="67"/>
      <c r="C890" s="63"/>
      <c r="D890" s="64"/>
      <c r="E890" s="65"/>
      <c r="F890" s="66"/>
      <c r="G890" s="62"/>
      <c r="H890" s="64"/>
      <c r="I890" s="62"/>
      <c r="J890" s="64"/>
    </row>
    <row r="891" spans="2:10" s="61" customFormat="1" x14ac:dyDescent="0.3">
      <c r="B891" s="67"/>
      <c r="C891" s="63"/>
      <c r="D891" s="64"/>
      <c r="E891" s="65"/>
      <c r="F891" s="66"/>
      <c r="G891" s="62"/>
      <c r="H891" s="64"/>
      <c r="I891" s="62"/>
      <c r="J891" s="64"/>
    </row>
    <row r="892" spans="2:10" s="61" customFormat="1" x14ac:dyDescent="0.3">
      <c r="B892" s="67"/>
      <c r="C892" s="63"/>
      <c r="D892" s="64"/>
      <c r="E892" s="65"/>
      <c r="F892" s="66"/>
      <c r="G892" s="62"/>
      <c r="H892" s="64"/>
      <c r="I892" s="62"/>
      <c r="J892" s="64"/>
    </row>
    <row r="893" spans="2:10" s="61" customFormat="1" x14ac:dyDescent="0.3">
      <c r="B893" s="67"/>
      <c r="C893" s="63"/>
      <c r="D893" s="64"/>
      <c r="E893" s="65"/>
      <c r="F893" s="66"/>
      <c r="G893" s="62"/>
      <c r="H893" s="64"/>
      <c r="I893" s="62"/>
      <c r="J893" s="64"/>
    </row>
    <row r="894" spans="2:10" s="61" customFormat="1" x14ac:dyDescent="0.3">
      <c r="B894" s="67"/>
      <c r="C894" s="63"/>
      <c r="D894" s="64"/>
      <c r="E894" s="65"/>
      <c r="F894" s="66"/>
      <c r="G894" s="62"/>
      <c r="H894" s="64"/>
      <c r="I894" s="62"/>
      <c r="J894" s="64"/>
    </row>
    <row r="895" spans="2:10" s="61" customFormat="1" x14ac:dyDescent="0.3">
      <c r="B895" s="67"/>
      <c r="C895" s="63"/>
      <c r="D895" s="64"/>
      <c r="E895" s="65"/>
      <c r="F895" s="66"/>
      <c r="G895" s="62"/>
      <c r="H895" s="64"/>
      <c r="I895" s="62"/>
      <c r="J895" s="64"/>
    </row>
    <row r="896" spans="2:10" s="61" customFormat="1" x14ac:dyDescent="0.3">
      <c r="B896" s="67"/>
      <c r="C896" s="63"/>
      <c r="D896" s="64"/>
      <c r="E896" s="65"/>
      <c r="F896" s="66"/>
      <c r="G896" s="62"/>
      <c r="H896" s="64"/>
      <c r="I896" s="62"/>
      <c r="J896" s="64"/>
    </row>
    <row r="897" spans="2:10" s="61" customFormat="1" x14ac:dyDescent="0.3">
      <c r="B897" s="67"/>
      <c r="C897" s="63"/>
      <c r="D897" s="64"/>
      <c r="E897" s="65"/>
      <c r="F897" s="66"/>
      <c r="G897" s="62"/>
      <c r="H897" s="64"/>
      <c r="I897" s="62"/>
      <c r="J897" s="64"/>
    </row>
    <row r="898" spans="2:10" s="61" customFormat="1" x14ac:dyDescent="0.3">
      <c r="B898" s="67"/>
      <c r="C898" s="63"/>
      <c r="D898" s="64"/>
      <c r="E898" s="65"/>
      <c r="F898" s="66"/>
      <c r="G898" s="62"/>
      <c r="H898" s="64"/>
      <c r="I898" s="62"/>
      <c r="J898" s="64"/>
    </row>
    <row r="899" spans="2:10" s="61" customFormat="1" x14ac:dyDescent="0.3">
      <c r="B899" s="67"/>
      <c r="C899" s="63"/>
      <c r="D899" s="64"/>
      <c r="E899" s="65"/>
      <c r="F899" s="66"/>
      <c r="G899" s="62"/>
      <c r="H899" s="64"/>
      <c r="I899" s="62"/>
      <c r="J899" s="64"/>
    </row>
    <row r="900" spans="2:10" s="61" customFormat="1" x14ac:dyDescent="0.3">
      <c r="B900" s="67"/>
      <c r="C900" s="63"/>
      <c r="D900" s="64"/>
      <c r="E900" s="65"/>
      <c r="F900" s="66"/>
      <c r="G900" s="62"/>
      <c r="H900" s="64"/>
      <c r="I900" s="62"/>
      <c r="J900" s="64"/>
    </row>
    <row r="901" spans="2:10" s="61" customFormat="1" x14ac:dyDescent="0.3">
      <c r="B901" s="67"/>
      <c r="C901" s="63"/>
      <c r="D901" s="64"/>
      <c r="E901" s="65"/>
      <c r="F901" s="66"/>
      <c r="G901" s="62"/>
      <c r="H901" s="64"/>
      <c r="I901" s="62"/>
      <c r="J901" s="64"/>
    </row>
    <row r="902" spans="2:10" s="61" customFormat="1" x14ac:dyDescent="0.3">
      <c r="B902" s="67"/>
      <c r="C902" s="63"/>
      <c r="D902" s="64"/>
      <c r="E902" s="65"/>
      <c r="F902" s="66"/>
      <c r="G902" s="62"/>
      <c r="H902" s="64"/>
      <c r="I902" s="62"/>
      <c r="J902" s="64"/>
    </row>
    <row r="903" spans="2:10" s="61" customFormat="1" x14ac:dyDescent="0.3">
      <c r="B903" s="67"/>
      <c r="C903" s="63"/>
      <c r="D903" s="64"/>
      <c r="E903" s="65"/>
      <c r="F903" s="66"/>
      <c r="G903" s="62"/>
      <c r="H903" s="64"/>
      <c r="I903" s="62"/>
      <c r="J903" s="64"/>
    </row>
    <row r="904" spans="2:10" s="61" customFormat="1" x14ac:dyDescent="0.3">
      <c r="B904" s="67"/>
      <c r="C904" s="63"/>
      <c r="D904" s="64"/>
      <c r="E904" s="65"/>
      <c r="F904" s="66"/>
      <c r="G904" s="62"/>
      <c r="H904" s="64"/>
      <c r="I904" s="62"/>
      <c r="J904" s="64"/>
    </row>
    <row r="905" spans="2:10" s="61" customFormat="1" x14ac:dyDescent="0.3">
      <c r="B905" s="67"/>
      <c r="C905" s="63"/>
      <c r="D905" s="64"/>
      <c r="E905" s="65"/>
      <c r="F905" s="66"/>
      <c r="G905" s="62"/>
      <c r="H905" s="64"/>
      <c r="I905" s="62"/>
      <c r="J905" s="64"/>
    </row>
    <row r="906" spans="2:10" s="61" customFormat="1" x14ac:dyDescent="0.3">
      <c r="B906" s="67"/>
      <c r="C906" s="63"/>
      <c r="D906" s="64"/>
      <c r="E906" s="65"/>
      <c r="F906" s="66"/>
      <c r="G906" s="62"/>
      <c r="H906" s="64"/>
      <c r="I906" s="62"/>
      <c r="J906" s="64"/>
    </row>
    <row r="907" spans="2:10" s="61" customFormat="1" x14ac:dyDescent="0.3">
      <c r="B907" s="67"/>
      <c r="C907" s="63"/>
      <c r="D907" s="64"/>
      <c r="E907" s="65"/>
      <c r="F907" s="66"/>
      <c r="G907" s="62"/>
      <c r="H907" s="64"/>
      <c r="I907" s="62"/>
      <c r="J907" s="64"/>
    </row>
    <row r="908" spans="2:10" s="61" customFormat="1" x14ac:dyDescent="0.3">
      <c r="B908" s="67"/>
      <c r="C908" s="63"/>
      <c r="D908" s="64"/>
      <c r="E908" s="65"/>
      <c r="F908" s="66"/>
      <c r="G908" s="62"/>
      <c r="H908" s="64"/>
      <c r="I908" s="62"/>
      <c r="J908" s="64"/>
    </row>
    <row r="909" spans="2:10" s="61" customFormat="1" x14ac:dyDescent="0.3">
      <c r="B909" s="67"/>
      <c r="C909" s="63"/>
      <c r="D909" s="64"/>
      <c r="E909" s="65"/>
      <c r="F909" s="66"/>
      <c r="G909" s="62"/>
      <c r="H909" s="64"/>
      <c r="I909" s="62"/>
      <c r="J909" s="64"/>
    </row>
    <row r="910" spans="2:10" s="61" customFormat="1" x14ac:dyDescent="0.3">
      <c r="B910" s="67"/>
      <c r="C910" s="63"/>
      <c r="D910" s="64"/>
      <c r="E910" s="65"/>
      <c r="F910" s="66"/>
      <c r="G910" s="62"/>
      <c r="H910" s="64"/>
      <c r="I910" s="62"/>
      <c r="J910" s="64"/>
    </row>
    <row r="911" spans="2:10" s="61" customFormat="1" x14ac:dyDescent="0.3">
      <c r="B911" s="67"/>
      <c r="C911" s="63"/>
      <c r="D911" s="64"/>
      <c r="E911" s="65"/>
      <c r="F911" s="66"/>
      <c r="G911" s="62"/>
      <c r="H911" s="64"/>
      <c r="I911" s="62"/>
      <c r="J911" s="64"/>
    </row>
    <row r="912" spans="2:10" s="61" customFormat="1" x14ac:dyDescent="0.3">
      <c r="B912" s="67"/>
      <c r="C912" s="63"/>
      <c r="D912" s="64"/>
      <c r="E912" s="65"/>
      <c r="F912" s="66"/>
      <c r="G912" s="62"/>
      <c r="H912" s="64"/>
      <c r="I912" s="62"/>
      <c r="J912" s="64"/>
    </row>
    <row r="913" spans="2:10" s="61" customFormat="1" x14ac:dyDescent="0.3">
      <c r="B913" s="67"/>
      <c r="C913" s="63"/>
      <c r="D913" s="64"/>
      <c r="E913" s="65"/>
      <c r="F913" s="66"/>
      <c r="G913" s="62"/>
      <c r="H913" s="64"/>
      <c r="I913" s="62"/>
      <c r="J913" s="64"/>
    </row>
    <row r="914" spans="2:10" s="68" customFormat="1" x14ac:dyDescent="0.3">
      <c r="B914" s="67"/>
      <c r="C914" s="63"/>
      <c r="D914" s="64"/>
      <c r="E914" s="65"/>
      <c r="F914" s="66"/>
      <c r="G914" s="62"/>
      <c r="H914" s="64"/>
      <c r="I914" s="62"/>
      <c r="J914" s="64"/>
    </row>
    <row r="915" spans="2:10" s="69" customFormat="1" x14ac:dyDescent="0.3">
      <c r="B915" s="67"/>
      <c r="C915" s="63"/>
      <c r="D915" s="64"/>
      <c r="E915" s="65"/>
      <c r="F915" s="66"/>
      <c r="G915" s="62"/>
      <c r="H915" s="64"/>
      <c r="I915" s="62"/>
      <c r="J915" s="64"/>
    </row>
    <row r="916" spans="2:10" s="69" customFormat="1" x14ac:dyDescent="0.3">
      <c r="B916" s="67"/>
      <c r="C916" s="63"/>
      <c r="D916" s="64"/>
      <c r="E916" s="65"/>
      <c r="F916" s="66"/>
      <c r="G916" s="62"/>
      <c r="H916" s="64"/>
      <c r="I916" s="62"/>
      <c r="J916" s="64"/>
    </row>
    <row r="917" spans="2:10" s="69" customFormat="1" x14ac:dyDescent="0.3">
      <c r="B917" s="67"/>
      <c r="C917" s="63"/>
      <c r="D917" s="64"/>
      <c r="E917" s="65"/>
      <c r="F917" s="66"/>
      <c r="G917" s="62"/>
      <c r="H917" s="64"/>
      <c r="I917" s="62"/>
      <c r="J917" s="64"/>
    </row>
    <row r="918" spans="2:10" s="69" customFormat="1" x14ac:dyDescent="0.3">
      <c r="B918" s="67"/>
      <c r="C918" s="63"/>
      <c r="D918" s="64"/>
      <c r="E918" s="65"/>
      <c r="F918" s="66"/>
      <c r="G918" s="62"/>
      <c r="H918" s="64"/>
      <c r="I918" s="62"/>
      <c r="J918" s="64"/>
    </row>
    <row r="919" spans="2:10" s="69" customFormat="1" x14ac:dyDescent="0.3">
      <c r="B919" s="67"/>
      <c r="C919" s="63"/>
      <c r="D919" s="64"/>
      <c r="E919" s="65"/>
      <c r="F919" s="66"/>
      <c r="G919" s="62"/>
      <c r="H919" s="64"/>
      <c r="I919" s="62"/>
      <c r="J919" s="64"/>
    </row>
    <row r="920" spans="2:10" s="69" customFormat="1" x14ac:dyDescent="0.3">
      <c r="B920" s="67"/>
      <c r="C920" s="63"/>
      <c r="D920" s="64"/>
      <c r="E920" s="65"/>
      <c r="F920" s="66"/>
      <c r="G920" s="62"/>
      <c r="H920" s="64"/>
      <c r="I920" s="62"/>
      <c r="J920" s="64"/>
    </row>
    <row r="921" spans="2:10" s="70" customFormat="1" x14ac:dyDescent="0.3">
      <c r="B921" s="67"/>
      <c r="C921" s="63"/>
      <c r="D921" s="64"/>
      <c r="E921" s="65"/>
      <c r="F921" s="66"/>
      <c r="G921" s="62"/>
      <c r="H921" s="64"/>
      <c r="I921" s="62"/>
      <c r="J921" s="64"/>
    </row>
    <row r="922" spans="2:10" s="70" customFormat="1" x14ac:dyDescent="0.3">
      <c r="B922" s="67"/>
      <c r="C922" s="63"/>
      <c r="D922" s="64"/>
      <c r="E922" s="65"/>
      <c r="F922" s="66"/>
      <c r="G922" s="62"/>
      <c r="H922" s="64"/>
      <c r="I922" s="62"/>
      <c r="J922" s="64"/>
    </row>
    <row r="923" spans="2:10" s="61" customFormat="1" x14ac:dyDescent="0.3">
      <c r="B923" s="67"/>
      <c r="C923" s="63"/>
      <c r="D923" s="64"/>
      <c r="E923" s="65"/>
      <c r="F923" s="66"/>
      <c r="G923" s="62"/>
      <c r="H923" s="64"/>
      <c r="I923" s="62"/>
      <c r="J923" s="64"/>
    </row>
    <row r="924" spans="2:10" s="61" customFormat="1" x14ac:dyDescent="0.3">
      <c r="B924" s="67"/>
      <c r="C924" s="63"/>
      <c r="D924" s="64"/>
      <c r="E924" s="65"/>
      <c r="F924" s="66"/>
      <c r="G924" s="62"/>
      <c r="H924" s="64"/>
      <c r="I924" s="62"/>
      <c r="J924" s="64"/>
    </row>
    <row r="925" spans="2:10" s="61" customFormat="1" x14ac:dyDescent="0.3">
      <c r="B925" s="67"/>
      <c r="C925" s="63"/>
      <c r="D925" s="64"/>
      <c r="E925" s="65"/>
      <c r="F925" s="66"/>
      <c r="G925" s="62"/>
      <c r="H925" s="64"/>
      <c r="I925" s="62"/>
      <c r="J925" s="64"/>
    </row>
    <row r="926" spans="2:10" s="61" customFormat="1" x14ac:dyDescent="0.3">
      <c r="B926" s="67"/>
      <c r="C926" s="63"/>
      <c r="D926" s="64"/>
      <c r="E926" s="65"/>
      <c r="F926" s="66"/>
      <c r="G926" s="62"/>
      <c r="H926" s="64"/>
      <c r="I926" s="62"/>
      <c r="J926" s="64"/>
    </row>
    <row r="927" spans="2:10" s="61" customFormat="1" x14ac:dyDescent="0.3">
      <c r="B927" s="67"/>
      <c r="C927" s="63"/>
      <c r="D927" s="64"/>
      <c r="E927" s="65"/>
      <c r="F927" s="66"/>
      <c r="G927" s="62"/>
      <c r="H927" s="64"/>
      <c r="I927" s="62"/>
      <c r="J927" s="64"/>
    </row>
    <row r="928" spans="2:10" s="61" customFormat="1" x14ac:dyDescent="0.3">
      <c r="B928" s="67"/>
      <c r="C928" s="63"/>
      <c r="D928" s="64"/>
      <c r="E928" s="65"/>
      <c r="F928" s="66"/>
      <c r="G928" s="62"/>
      <c r="H928" s="64"/>
      <c r="I928" s="62"/>
      <c r="J928" s="64"/>
    </row>
    <row r="929" spans="2:10" s="61" customFormat="1" x14ac:dyDescent="0.3">
      <c r="B929" s="67"/>
      <c r="C929" s="63"/>
      <c r="D929" s="64"/>
      <c r="E929" s="65"/>
      <c r="F929" s="66"/>
      <c r="G929" s="62"/>
      <c r="H929" s="64"/>
      <c r="I929" s="62"/>
      <c r="J929" s="64"/>
    </row>
    <row r="930" spans="2:10" s="61" customFormat="1" x14ac:dyDescent="0.3">
      <c r="B930" s="67"/>
      <c r="C930" s="63"/>
      <c r="D930" s="64"/>
      <c r="E930" s="65"/>
      <c r="F930" s="66"/>
      <c r="G930" s="62"/>
      <c r="H930" s="64"/>
      <c r="I930" s="62"/>
      <c r="J930" s="64"/>
    </row>
    <row r="931" spans="2:10" s="61" customFormat="1" x14ac:dyDescent="0.3">
      <c r="B931" s="67"/>
      <c r="C931" s="63"/>
      <c r="D931" s="64"/>
      <c r="E931" s="65"/>
      <c r="F931" s="66"/>
      <c r="G931" s="62"/>
      <c r="H931" s="64"/>
      <c r="I931" s="62"/>
      <c r="J931" s="64"/>
    </row>
    <row r="932" spans="2:10" s="61" customFormat="1" x14ac:dyDescent="0.3">
      <c r="B932" s="67"/>
      <c r="C932" s="63"/>
      <c r="D932" s="64"/>
      <c r="E932" s="65"/>
      <c r="F932" s="66"/>
      <c r="G932" s="62"/>
      <c r="H932" s="64"/>
      <c r="I932" s="62"/>
      <c r="J932" s="64"/>
    </row>
    <row r="933" spans="2:10" s="61" customFormat="1" x14ac:dyDescent="0.3">
      <c r="B933" s="67"/>
      <c r="C933" s="63"/>
      <c r="D933" s="64"/>
      <c r="E933" s="65"/>
      <c r="F933" s="66"/>
      <c r="G933" s="62"/>
      <c r="H933" s="64"/>
      <c r="I933" s="62"/>
      <c r="J933" s="64"/>
    </row>
    <row r="934" spans="2:10" s="61" customFormat="1" x14ac:dyDescent="0.3">
      <c r="B934" s="67"/>
      <c r="C934" s="63"/>
      <c r="D934" s="64"/>
      <c r="E934" s="65"/>
      <c r="F934" s="66"/>
      <c r="G934" s="62"/>
      <c r="H934" s="64"/>
      <c r="I934" s="62"/>
      <c r="J934" s="64"/>
    </row>
    <row r="935" spans="2:10" s="61" customFormat="1" x14ac:dyDescent="0.3">
      <c r="B935" s="67"/>
      <c r="C935" s="63"/>
      <c r="D935" s="64"/>
      <c r="E935" s="65"/>
      <c r="F935" s="66"/>
      <c r="G935" s="62"/>
      <c r="H935" s="64"/>
      <c r="I935" s="62"/>
      <c r="J935" s="64"/>
    </row>
    <row r="936" spans="2:10" s="61" customFormat="1" x14ac:dyDescent="0.3">
      <c r="B936" s="67"/>
      <c r="C936" s="63"/>
      <c r="D936" s="64"/>
      <c r="E936" s="65"/>
      <c r="F936" s="66"/>
      <c r="G936" s="62"/>
      <c r="H936" s="64"/>
      <c r="I936" s="62"/>
      <c r="J936" s="64"/>
    </row>
    <row r="937" spans="2:10" s="61" customFormat="1" x14ac:dyDescent="0.3">
      <c r="B937" s="67"/>
      <c r="C937" s="63"/>
      <c r="D937" s="64"/>
      <c r="E937" s="65"/>
      <c r="F937" s="66"/>
      <c r="G937" s="62"/>
      <c r="H937" s="64"/>
      <c r="I937" s="62"/>
      <c r="J937" s="64"/>
    </row>
    <row r="938" spans="2:10" s="61" customFormat="1" x14ac:dyDescent="0.3">
      <c r="B938" s="67"/>
      <c r="C938" s="63"/>
      <c r="D938" s="64"/>
      <c r="E938" s="65"/>
      <c r="F938" s="66"/>
      <c r="G938" s="62"/>
      <c r="H938" s="64"/>
      <c r="I938" s="62"/>
      <c r="J938" s="64"/>
    </row>
    <row r="939" spans="2:10" s="61" customFormat="1" x14ac:dyDescent="0.3">
      <c r="B939" s="67"/>
      <c r="C939" s="63"/>
      <c r="D939" s="64"/>
      <c r="E939" s="65"/>
      <c r="F939" s="66"/>
      <c r="G939" s="62"/>
      <c r="H939" s="64"/>
      <c r="I939" s="62"/>
      <c r="J939" s="64"/>
    </row>
    <row r="940" spans="2:10" s="61" customFormat="1" x14ac:dyDescent="0.3">
      <c r="B940" s="67"/>
      <c r="C940" s="63"/>
      <c r="D940" s="64"/>
      <c r="E940" s="65"/>
      <c r="F940" s="66"/>
      <c r="G940" s="62"/>
      <c r="H940" s="64"/>
      <c r="I940" s="62"/>
      <c r="J940" s="64"/>
    </row>
    <row r="941" spans="2:10" s="61" customFormat="1" x14ac:dyDescent="0.3">
      <c r="B941" s="67"/>
      <c r="C941" s="63"/>
      <c r="D941" s="64"/>
      <c r="E941" s="65"/>
      <c r="F941" s="66"/>
      <c r="G941" s="62"/>
      <c r="H941" s="64"/>
      <c r="I941" s="62"/>
      <c r="J941" s="64"/>
    </row>
    <row r="942" spans="2:10" s="61" customFormat="1" x14ac:dyDescent="0.3">
      <c r="B942" s="67"/>
      <c r="C942" s="63"/>
      <c r="D942" s="64"/>
      <c r="E942" s="65"/>
      <c r="F942" s="66"/>
      <c r="G942" s="62"/>
      <c r="H942" s="64"/>
      <c r="I942" s="62"/>
      <c r="J942" s="64"/>
    </row>
    <row r="943" spans="2:10" s="61" customFormat="1" x14ac:dyDescent="0.3">
      <c r="B943" s="67"/>
      <c r="C943" s="63"/>
      <c r="D943" s="64"/>
      <c r="E943" s="65"/>
      <c r="F943" s="66"/>
      <c r="G943" s="62"/>
      <c r="H943" s="64"/>
      <c r="I943" s="62"/>
      <c r="J943" s="64"/>
    </row>
    <row r="944" spans="2:10" s="61" customFormat="1" x14ac:dyDescent="0.3">
      <c r="B944" s="67"/>
      <c r="C944" s="63"/>
      <c r="D944" s="64"/>
      <c r="E944" s="65"/>
      <c r="F944" s="66"/>
      <c r="G944" s="62"/>
      <c r="H944" s="64"/>
      <c r="I944" s="62"/>
      <c r="J944" s="64"/>
    </row>
    <row r="945" spans="2:10" s="61" customFormat="1" x14ac:dyDescent="0.3">
      <c r="B945" s="67"/>
      <c r="C945" s="63"/>
      <c r="D945" s="64"/>
      <c r="E945" s="65"/>
      <c r="F945" s="66"/>
      <c r="G945" s="62"/>
      <c r="H945" s="64"/>
      <c r="I945" s="62"/>
      <c r="J945" s="64"/>
    </row>
    <row r="946" spans="2:10" s="61" customFormat="1" x14ac:dyDescent="0.3">
      <c r="B946" s="67"/>
      <c r="C946" s="63"/>
      <c r="D946" s="64"/>
      <c r="E946" s="65"/>
      <c r="F946" s="66"/>
      <c r="G946" s="62"/>
      <c r="H946" s="64"/>
      <c r="I946" s="62"/>
      <c r="J946" s="64"/>
    </row>
    <row r="947" spans="2:10" s="61" customFormat="1" x14ac:dyDescent="0.3">
      <c r="B947" s="67"/>
      <c r="C947" s="63"/>
      <c r="D947" s="64"/>
      <c r="E947" s="65"/>
      <c r="F947" s="66"/>
      <c r="G947" s="62"/>
      <c r="H947" s="64"/>
      <c r="I947" s="62"/>
      <c r="J947" s="64"/>
    </row>
    <row r="948" spans="2:10" s="61" customFormat="1" x14ac:dyDescent="0.3">
      <c r="B948" s="67"/>
      <c r="C948" s="63"/>
      <c r="D948" s="64"/>
      <c r="E948" s="65"/>
      <c r="F948" s="66"/>
      <c r="G948" s="62"/>
      <c r="H948" s="64"/>
      <c r="I948" s="62"/>
      <c r="J948" s="64"/>
    </row>
    <row r="949" spans="2:10" s="61" customFormat="1" x14ac:dyDescent="0.3">
      <c r="B949" s="67"/>
      <c r="C949" s="63"/>
      <c r="D949" s="64"/>
      <c r="E949" s="65"/>
      <c r="F949" s="66"/>
      <c r="G949" s="62"/>
      <c r="H949" s="64"/>
      <c r="I949" s="62"/>
      <c r="J949" s="64"/>
    </row>
    <row r="950" spans="2:10" s="61" customFormat="1" x14ac:dyDescent="0.3">
      <c r="B950" s="67"/>
      <c r="C950" s="63"/>
      <c r="D950" s="64"/>
      <c r="E950" s="65"/>
      <c r="F950" s="66"/>
      <c r="G950" s="62"/>
      <c r="H950" s="64"/>
      <c r="I950" s="62"/>
      <c r="J950" s="64"/>
    </row>
    <row r="951" spans="2:10" s="61" customFormat="1" x14ac:dyDescent="0.3">
      <c r="B951" s="67"/>
      <c r="C951" s="63"/>
      <c r="D951" s="64"/>
      <c r="E951" s="65"/>
      <c r="F951" s="66"/>
      <c r="G951" s="62"/>
      <c r="H951" s="64"/>
      <c r="I951" s="62"/>
      <c r="J951" s="64"/>
    </row>
    <row r="952" spans="2:10" s="61" customFormat="1" x14ac:dyDescent="0.3">
      <c r="B952" s="67"/>
      <c r="C952" s="63"/>
      <c r="D952" s="64"/>
      <c r="E952" s="65"/>
      <c r="F952" s="66"/>
      <c r="G952" s="62"/>
      <c r="H952" s="64"/>
      <c r="I952" s="62"/>
      <c r="J952" s="64"/>
    </row>
    <row r="953" spans="2:10" s="61" customFormat="1" x14ac:dyDescent="0.3">
      <c r="B953" s="67"/>
      <c r="C953" s="63"/>
      <c r="D953" s="64"/>
      <c r="E953" s="65"/>
      <c r="F953" s="66"/>
      <c r="G953" s="62"/>
      <c r="H953" s="64"/>
      <c r="I953" s="62"/>
      <c r="J953" s="64"/>
    </row>
    <row r="954" spans="2:10" s="61" customFormat="1" x14ac:dyDescent="0.3">
      <c r="B954" s="67"/>
      <c r="C954" s="63"/>
      <c r="D954" s="64"/>
      <c r="E954" s="65"/>
      <c r="F954" s="66"/>
      <c r="G954" s="62"/>
      <c r="H954" s="64"/>
      <c r="I954" s="62"/>
      <c r="J954" s="64"/>
    </row>
    <row r="955" spans="2:10" s="61" customFormat="1" x14ac:dyDescent="0.3">
      <c r="B955" s="67"/>
      <c r="C955" s="63"/>
      <c r="D955" s="64"/>
      <c r="E955" s="65"/>
      <c r="F955" s="66"/>
      <c r="G955" s="62"/>
      <c r="H955" s="64"/>
      <c r="I955" s="62"/>
      <c r="J955" s="64"/>
    </row>
    <row r="956" spans="2:10" s="61" customFormat="1" x14ac:dyDescent="0.3">
      <c r="B956" s="67"/>
      <c r="C956" s="63"/>
      <c r="D956" s="64"/>
      <c r="E956" s="65"/>
      <c r="F956" s="66"/>
      <c r="G956" s="62"/>
      <c r="H956" s="64"/>
      <c r="I956" s="62"/>
      <c r="J956" s="64"/>
    </row>
    <row r="957" spans="2:10" s="61" customFormat="1" x14ac:dyDescent="0.3">
      <c r="B957" s="67"/>
      <c r="C957" s="63"/>
      <c r="D957" s="64"/>
      <c r="E957" s="65"/>
      <c r="F957" s="66"/>
      <c r="G957" s="62"/>
      <c r="H957" s="64"/>
      <c r="I957" s="62"/>
      <c r="J957" s="64"/>
    </row>
    <row r="958" spans="2:10" s="61" customFormat="1" x14ac:dyDescent="0.3">
      <c r="B958" s="67"/>
      <c r="C958" s="63"/>
      <c r="D958" s="64"/>
      <c r="E958" s="65"/>
      <c r="F958" s="66"/>
      <c r="G958" s="62"/>
      <c r="H958" s="64"/>
      <c r="I958" s="62"/>
      <c r="J958" s="64"/>
    </row>
    <row r="959" spans="2:10" s="61" customFormat="1" x14ac:dyDescent="0.3">
      <c r="B959" s="67"/>
      <c r="C959" s="63"/>
      <c r="D959" s="64"/>
      <c r="E959" s="65"/>
      <c r="F959" s="66"/>
      <c r="G959" s="62"/>
      <c r="H959" s="64"/>
      <c r="I959" s="62"/>
      <c r="J959" s="64"/>
    </row>
    <row r="960" spans="2:10" s="61" customFormat="1" x14ac:dyDescent="0.3">
      <c r="B960" s="67"/>
      <c r="C960" s="63"/>
      <c r="D960" s="64"/>
      <c r="E960" s="65"/>
      <c r="F960" s="66"/>
      <c r="G960" s="62"/>
      <c r="H960" s="64"/>
      <c r="I960" s="62"/>
      <c r="J960" s="64"/>
    </row>
    <row r="961" spans="2:10" s="61" customFormat="1" x14ac:dyDescent="0.3">
      <c r="B961" s="67"/>
      <c r="C961" s="63"/>
      <c r="D961" s="64"/>
      <c r="E961" s="65"/>
      <c r="F961" s="66"/>
      <c r="G961" s="62"/>
      <c r="H961" s="64"/>
      <c r="I961" s="62"/>
      <c r="J961" s="64"/>
    </row>
    <row r="962" spans="2:10" s="61" customFormat="1" x14ac:dyDescent="0.3">
      <c r="B962" s="67"/>
      <c r="C962" s="63"/>
      <c r="D962" s="64"/>
      <c r="E962" s="65"/>
      <c r="F962" s="66"/>
      <c r="G962" s="62"/>
      <c r="H962" s="64"/>
      <c r="I962" s="62"/>
      <c r="J962" s="64"/>
    </row>
    <row r="963" spans="2:10" s="61" customFormat="1" x14ac:dyDescent="0.3">
      <c r="B963" s="67"/>
      <c r="C963" s="63"/>
      <c r="D963" s="64"/>
      <c r="E963" s="65"/>
      <c r="F963" s="66"/>
      <c r="G963" s="62"/>
      <c r="H963" s="64"/>
      <c r="I963" s="62"/>
      <c r="J963" s="64"/>
    </row>
    <row r="964" spans="2:10" s="61" customFormat="1" x14ac:dyDescent="0.3">
      <c r="B964" s="67"/>
      <c r="C964" s="63"/>
      <c r="D964" s="64"/>
      <c r="E964" s="65"/>
      <c r="F964" s="66"/>
      <c r="G964" s="62"/>
      <c r="H964" s="64"/>
      <c r="I964" s="62"/>
      <c r="J964" s="64"/>
    </row>
    <row r="965" spans="2:10" s="61" customFormat="1" x14ac:dyDescent="0.3">
      <c r="B965" s="67"/>
      <c r="C965" s="63"/>
      <c r="D965" s="64"/>
      <c r="E965" s="65"/>
      <c r="F965" s="66"/>
      <c r="G965" s="62"/>
      <c r="H965" s="64"/>
      <c r="I965" s="62"/>
      <c r="J965" s="64"/>
    </row>
    <row r="966" spans="2:10" s="61" customFormat="1" x14ac:dyDescent="0.3">
      <c r="B966" s="67"/>
      <c r="C966" s="63"/>
      <c r="D966" s="64"/>
      <c r="E966" s="65"/>
      <c r="F966" s="66"/>
      <c r="G966" s="62"/>
      <c r="H966" s="64"/>
      <c r="I966" s="62"/>
      <c r="J966" s="64"/>
    </row>
    <row r="967" spans="2:10" s="61" customFormat="1" x14ac:dyDescent="0.3">
      <c r="B967" s="67"/>
      <c r="C967" s="63"/>
      <c r="D967" s="64"/>
      <c r="E967" s="65"/>
      <c r="F967" s="66"/>
      <c r="G967" s="62"/>
      <c r="H967" s="64"/>
      <c r="I967" s="62"/>
      <c r="J967" s="64"/>
    </row>
    <row r="968" spans="2:10" s="61" customFormat="1" x14ac:dyDescent="0.3">
      <c r="B968" s="67"/>
      <c r="C968" s="63"/>
      <c r="D968" s="64"/>
      <c r="E968" s="65"/>
      <c r="F968" s="66"/>
      <c r="G968" s="62"/>
      <c r="H968" s="64"/>
      <c r="I968" s="62"/>
      <c r="J968" s="64"/>
    </row>
    <row r="969" spans="2:10" s="61" customFormat="1" x14ac:dyDescent="0.3">
      <c r="B969" s="67"/>
      <c r="C969" s="63"/>
      <c r="D969" s="64"/>
      <c r="E969" s="65"/>
      <c r="F969" s="66"/>
      <c r="G969" s="62"/>
      <c r="H969" s="64"/>
      <c r="I969" s="62"/>
      <c r="J969" s="64"/>
    </row>
    <row r="970" spans="2:10" s="61" customFormat="1" x14ac:dyDescent="0.3">
      <c r="B970" s="67"/>
      <c r="C970" s="63"/>
      <c r="D970" s="64"/>
      <c r="E970" s="65"/>
      <c r="F970" s="66"/>
      <c r="G970" s="62"/>
      <c r="H970" s="64"/>
      <c r="I970" s="62"/>
      <c r="J970" s="64"/>
    </row>
    <row r="971" spans="2:10" s="61" customFormat="1" x14ac:dyDescent="0.3">
      <c r="B971" s="67"/>
      <c r="C971" s="63"/>
      <c r="D971" s="64"/>
      <c r="E971" s="65"/>
      <c r="F971" s="66"/>
      <c r="G971" s="62"/>
      <c r="H971" s="64"/>
      <c r="I971" s="62"/>
      <c r="J971" s="64"/>
    </row>
    <row r="972" spans="2:10" s="61" customFormat="1" x14ac:dyDescent="0.3">
      <c r="B972" s="67"/>
      <c r="C972" s="63"/>
      <c r="D972" s="64"/>
      <c r="E972" s="65"/>
      <c r="F972" s="66"/>
      <c r="G972" s="62"/>
      <c r="H972" s="64"/>
      <c r="I972" s="62"/>
      <c r="J972" s="64"/>
    </row>
    <row r="973" spans="2:10" s="61" customFormat="1" x14ac:dyDescent="0.3">
      <c r="B973" s="67"/>
      <c r="C973" s="63"/>
      <c r="D973" s="64"/>
      <c r="E973" s="65"/>
      <c r="F973" s="66"/>
      <c r="G973" s="62"/>
      <c r="H973" s="64"/>
      <c r="I973" s="62"/>
      <c r="J973" s="64"/>
    </row>
    <row r="974" spans="2:10" s="61" customFormat="1" x14ac:dyDescent="0.3">
      <c r="B974" s="67"/>
      <c r="C974" s="63"/>
      <c r="D974" s="64"/>
      <c r="E974" s="65"/>
      <c r="F974" s="66"/>
      <c r="G974" s="62"/>
      <c r="H974" s="64"/>
      <c r="I974" s="62"/>
      <c r="J974" s="64"/>
    </row>
    <row r="975" spans="2:10" s="61" customFormat="1" x14ac:dyDescent="0.3">
      <c r="B975" s="67"/>
      <c r="C975" s="63"/>
      <c r="D975" s="64"/>
      <c r="E975" s="65"/>
      <c r="F975" s="66"/>
      <c r="G975" s="62"/>
      <c r="H975" s="64"/>
      <c r="I975" s="62"/>
      <c r="J975" s="64"/>
    </row>
    <row r="976" spans="2:10" s="61" customFormat="1" x14ac:dyDescent="0.3">
      <c r="B976" s="67"/>
      <c r="C976" s="63"/>
      <c r="D976" s="64"/>
      <c r="E976" s="65"/>
      <c r="F976" s="66"/>
      <c r="G976" s="62"/>
      <c r="H976" s="64"/>
      <c r="I976" s="62"/>
      <c r="J976" s="64"/>
    </row>
    <row r="977" spans="2:10" s="61" customFormat="1" x14ac:dyDescent="0.3">
      <c r="B977" s="67"/>
      <c r="C977" s="63"/>
      <c r="D977" s="64"/>
      <c r="E977" s="65"/>
      <c r="F977" s="66"/>
      <c r="G977" s="62"/>
      <c r="H977" s="64"/>
      <c r="I977" s="62"/>
      <c r="J977" s="64"/>
    </row>
    <row r="978" spans="2:10" s="61" customFormat="1" x14ac:dyDescent="0.3">
      <c r="B978" s="67"/>
      <c r="C978" s="63"/>
      <c r="D978" s="64"/>
      <c r="E978" s="65"/>
      <c r="F978" s="66"/>
      <c r="G978" s="62"/>
      <c r="H978" s="64"/>
      <c r="I978" s="62"/>
      <c r="J978" s="64"/>
    </row>
    <row r="979" spans="2:10" s="61" customFormat="1" x14ac:dyDescent="0.3">
      <c r="B979" s="67"/>
      <c r="C979" s="63"/>
      <c r="D979" s="64"/>
      <c r="E979" s="65"/>
      <c r="F979" s="66"/>
      <c r="G979" s="62"/>
      <c r="H979" s="64"/>
      <c r="I979" s="62"/>
      <c r="J979" s="64"/>
    </row>
    <row r="980" spans="2:10" s="61" customFormat="1" x14ac:dyDescent="0.3">
      <c r="B980" s="67"/>
      <c r="C980" s="63"/>
      <c r="D980" s="64"/>
      <c r="E980" s="65"/>
      <c r="F980" s="66"/>
      <c r="G980" s="62"/>
      <c r="H980" s="64"/>
      <c r="I980" s="62"/>
      <c r="J980" s="64"/>
    </row>
    <row r="981" spans="2:10" s="61" customFormat="1" x14ac:dyDescent="0.3">
      <c r="B981" s="67"/>
      <c r="C981" s="63"/>
      <c r="D981" s="64"/>
      <c r="E981" s="65"/>
      <c r="F981" s="66"/>
      <c r="G981" s="62"/>
      <c r="H981" s="64"/>
      <c r="I981" s="62"/>
      <c r="J981" s="64"/>
    </row>
    <row r="982" spans="2:10" s="61" customFormat="1" x14ac:dyDescent="0.3">
      <c r="B982" s="67"/>
      <c r="C982" s="63"/>
      <c r="D982" s="64"/>
      <c r="E982" s="65"/>
      <c r="F982" s="66"/>
      <c r="G982" s="62"/>
      <c r="H982" s="64"/>
      <c r="I982" s="62"/>
      <c r="J982" s="64"/>
    </row>
    <row r="983" spans="2:10" s="61" customFormat="1" x14ac:dyDescent="0.3">
      <c r="B983" s="67"/>
      <c r="C983" s="63"/>
      <c r="D983" s="64"/>
      <c r="E983" s="65"/>
      <c r="F983" s="66"/>
      <c r="G983" s="62"/>
      <c r="H983" s="64"/>
      <c r="I983" s="62"/>
      <c r="J983" s="64"/>
    </row>
    <row r="984" spans="2:10" s="61" customFormat="1" x14ac:dyDescent="0.3">
      <c r="B984" s="67"/>
      <c r="C984" s="63"/>
      <c r="D984" s="64"/>
      <c r="E984" s="65"/>
      <c r="F984" s="66"/>
      <c r="G984" s="62"/>
      <c r="H984" s="64"/>
      <c r="I984" s="62"/>
      <c r="J984" s="64"/>
    </row>
    <row r="985" spans="2:10" s="61" customFormat="1" x14ac:dyDescent="0.3">
      <c r="B985" s="67"/>
      <c r="C985" s="63"/>
      <c r="D985" s="64"/>
      <c r="E985" s="65"/>
      <c r="F985" s="66"/>
      <c r="G985" s="62"/>
      <c r="H985" s="64"/>
      <c r="I985" s="62"/>
      <c r="J985" s="64"/>
    </row>
    <row r="986" spans="2:10" s="61" customFormat="1" x14ac:dyDescent="0.3">
      <c r="B986" s="67"/>
      <c r="C986" s="63"/>
      <c r="D986" s="64"/>
      <c r="E986" s="65"/>
      <c r="F986" s="66"/>
      <c r="G986" s="62"/>
      <c r="H986" s="64"/>
      <c r="I986" s="62"/>
      <c r="J986" s="64"/>
    </row>
    <row r="987" spans="2:10" s="61" customFormat="1" x14ac:dyDescent="0.3">
      <c r="B987" s="67"/>
      <c r="C987" s="63"/>
      <c r="D987" s="64"/>
      <c r="E987" s="65"/>
      <c r="F987" s="66"/>
      <c r="G987" s="62"/>
      <c r="H987" s="64"/>
      <c r="I987" s="62"/>
      <c r="J987" s="64"/>
    </row>
    <row r="988" spans="2:10" s="61" customFormat="1" x14ac:dyDescent="0.3">
      <c r="B988" s="67"/>
      <c r="C988" s="63"/>
      <c r="D988" s="64"/>
      <c r="E988" s="65"/>
      <c r="F988" s="66"/>
      <c r="G988" s="62"/>
      <c r="H988" s="64"/>
      <c r="I988" s="62"/>
      <c r="J988" s="64"/>
    </row>
    <row r="989" spans="2:10" s="61" customFormat="1" x14ac:dyDescent="0.3">
      <c r="B989" s="67"/>
      <c r="C989" s="63"/>
      <c r="D989" s="64"/>
      <c r="E989" s="65"/>
      <c r="F989" s="66"/>
      <c r="G989" s="62"/>
      <c r="H989" s="64"/>
      <c r="I989" s="62"/>
      <c r="J989" s="64"/>
    </row>
    <row r="990" spans="2:10" s="61" customFormat="1" x14ac:dyDescent="0.3">
      <c r="B990" s="67"/>
      <c r="C990" s="63"/>
      <c r="D990" s="64"/>
      <c r="E990" s="65"/>
      <c r="F990" s="66"/>
      <c r="G990" s="62"/>
      <c r="H990" s="64"/>
      <c r="I990" s="62"/>
      <c r="J990" s="64"/>
    </row>
    <row r="991" spans="2:10" s="61" customFormat="1" x14ac:dyDescent="0.3">
      <c r="B991" s="67"/>
      <c r="C991" s="63"/>
      <c r="D991" s="64"/>
      <c r="E991" s="65"/>
      <c r="F991" s="66"/>
      <c r="G991" s="62"/>
      <c r="H991" s="64"/>
      <c r="I991" s="62"/>
      <c r="J991" s="64"/>
    </row>
    <row r="992" spans="2:10" s="61" customFormat="1" x14ac:dyDescent="0.3">
      <c r="B992" s="67"/>
      <c r="C992" s="63"/>
      <c r="D992" s="64"/>
      <c r="E992" s="65"/>
      <c r="F992" s="66"/>
      <c r="G992" s="62"/>
      <c r="H992" s="64"/>
      <c r="I992" s="62"/>
      <c r="J992" s="64"/>
    </row>
    <row r="993" spans="2:10" s="61" customFormat="1" x14ac:dyDescent="0.3">
      <c r="B993" s="67"/>
      <c r="C993" s="63"/>
      <c r="D993" s="64"/>
      <c r="E993" s="65"/>
      <c r="F993" s="66"/>
      <c r="G993" s="62"/>
      <c r="H993" s="64"/>
      <c r="I993" s="62"/>
      <c r="J993" s="64"/>
    </row>
    <row r="994" spans="2:10" s="61" customFormat="1" x14ac:dyDescent="0.3">
      <c r="B994" s="67"/>
      <c r="C994" s="63"/>
      <c r="D994" s="64"/>
      <c r="E994" s="65"/>
      <c r="F994" s="66"/>
      <c r="G994" s="62"/>
      <c r="H994" s="64"/>
      <c r="I994" s="62"/>
      <c r="J994" s="64"/>
    </row>
    <row r="995" spans="2:10" s="61" customFormat="1" x14ac:dyDescent="0.3">
      <c r="B995" s="67"/>
      <c r="C995" s="63"/>
      <c r="D995" s="64"/>
      <c r="E995" s="65"/>
      <c r="F995" s="66"/>
      <c r="G995" s="62"/>
      <c r="H995" s="64"/>
      <c r="I995" s="62"/>
      <c r="J995" s="64"/>
    </row>
    <row r="996" spans="2:10" s="61" customFormat="1" x14ac:dyDescent="0.3">
      <c r="B996" s="67"/>
      <c r="C996" s="63"/>
      <c r="D996" s="64"/>
      <c r="E996" s="65"/>
      <c r="F996" s="66"/>
      <c r="G996" s="62"/>
      <c r="H996" s="64"/>
      <c r="I996" s="62"/>
      <c r="J996" s="64"/>
    </row>
    <row r="997" spans="2:10" s="61" customFormat="1" x14ac:dyDescent="0.3">
      <c r="B997" s="67"/>
      <c r="C997" s="63"/>
      <c r="D997" s="64"/>
      <c r="E997" s="65"/>
      <c r="F997" s="66"/>
      <c r="G997" s="62"/>
      <c r="H997" s="64"/>
      <c r="I997" s="62"/>
      <c r="J997" s="64"/>
    </row>
    <row r="998" spans="2:10" s="61" customFormat="1" x14ac:dyDescent="0.3">
      <c r="B998" s="67"/>
      <c r="C998" s="63"/>
      <c r="D998" s="64"/>
      <c r="E998" s="65"/>
      <c r="F998" s="66"/>
      <c r="G998" s="62"/>
      <c r="H998" s="64"/>
      <c r="I998" s="62"/>
      <c r="J998" s="64"/>
    </row>
    <row r="999" spans="2:10" s="61" customFormat="1" x14ac:dyDescent="0.3">
      <c r="B999" s="67"/>
      <c r="C999" s="63"/>
      <c r="D999" s="64"/>
      <c r="E999" s="65"/>
      <c r="F999" s="66"/>
      <c r="G999" s="62"/>
      <c r="H999" s="64"/>
      <c r="I999" s="62"/>
      <c r="J999" s="64"/>
    </row>
    <row r="1000" spans="2:10" s="61" customFormat="1" x14ac:dyDescent="0.3">
      <c r="B1000" s="67"/>
      <c r="C1000" s="63"/>
      <c r="D1000" s="64"/>
      <c r="E1000" s="65"/>
      <c r="F1000" s="66"/>
      <c r="G1000" s="62"/>
      <c r="H1000" s="64"/>
      <c r="I1000" s="62"/>
      <c r="J1000" s="64"/>
    </row>
    <row r="1001" spans="2:10" s="61" customFormat="1" x14ac:dyDescent="0.3">
      <c r="B1001" s="67"/>
      <c r="C1001" s="63"/>
      <c r="D1001" s="64"/>
      <c r="E1001" s="65"/>
      <c r="F1001" s="66"/>
      <c r="G1001" s="62"/>
      <c r="H1001" s="64"/>
      <c r="I1001" s="62"/>
      <c r="J1001" s="64"/>
    </row>
    <row r="1002" spans="2:10" s="61" customFormat="1" x14ac:dyDescent="0.3">
      <c r="B1002" s="67"/>
      <c r="C1002" s="63"/>
      <c r="D1002" s="64"/>
      <c r="E1002" s="65"/>
      <c r="F1002" s="66"/>
      <c r="G1002" s="62"/>
      <c r="H1002" s="64"/>
      <c r="I1002" s="62"/>
      <c r="J1002" s="64"/>
    </row>
    <row r="1003" spans="2:10" s="61" customFormat="1" x14ac:dyDescent="0.3">
      <c r="B1003" s="67"/>
      <c r="C1003" s="63"/>
      <c r="D1003" s="64"/>
      <c r="E1003" s="65"/>
      <c r="F1003" s="66"/>
      <c r="G1003" s="62"/>
      <c r="H1003" s="64"/>
      <c r="I1003" s="62"/>
      <c r="J1003" s="64"/>
    </row>
    <row r="1004" spans="2:10" s="61" customFormat="1" x14ac:dyDescent="0.3">
      <c r="B1004" s="67"/>
      <c r="C1004" s="63"/>
      <c r="D1004" s="64"/>
      <c r="E1004" s="65"/>
      <c r="F1004" s="66"/>
      <c r="G1004" s="62"/>
      <c r="H1004" s="64"/>
      <c r="I1004" s="62"/>
      <c r="J1004" s="64"/>
    </row>
    <row r="1005" spans="2:10" s="61" customFormat="1" x14ac:dyDescent="0.3">
      <c r="B1005" s="67"/>
      <c r="C1005" s="63"/>
      <c r="D1005" s="64"/>
      <c r="E1005" s="65"/>
      <c r="F1005" s="66"/>
      <c r="G1005" s="62"/>
      <c r="H1005" s="64"/>
      <c r="I1005" s="62"/>
      <c r="J1005" s="64"/>
    </row>
    <row r="1006" spans="2:10" s="61" customFormat="1" x14ac:dyDescent="0.3">
      <c r="B1006" s="67"/>
      <c r="C1006" s="63"/>
      <c r="D1006" s="64"/>
      <c r="E1006" s="65"/>
      <c r="F1006" s="66"/>
      <c r="G1006" s="62"/>
      <c r="H1006" s="64"/>
      <c r="I1006" s="62"/>
      <c r="J1006" s="64"/>
    </row>
    <row r="1007" spans="2:10" s="61" customFormat="1" x14ac:dyDescent="0.3">
      <c r="B1007" s="67"/>
      <c r="C1007" s="63"/>
      <c r="D1007" s="64"/>
      <c r="E1007" s="65"/>
      <c r="F1007" s="66"/>
      <c r="G1007" s="62"/>
      <c r="H1007" s="64"/>
      <c r="I1007" s="62"/>
      <c r="J1007" s="64"/>
    </row>
    <row r="1008" spans="2:10" s="61" customFormat="1" x14ac:dyDescent="0.3">
      <c r="B1008" s="67"/>
      <c r="C1008" s="63"/>
      <c r="D1008" s="64"/>
      <c r="E1008" s="65"/>
      <c r="F1008" s="66"/>
      <c r="G1008" s="62"/>
      <c r="H1008" s="64"/>
      <c r="I1008" s="62"/>
      <c r="J1008" s="64"/>
    </row>
    <row r="1009" spans="2:10" s="61" customFormat="1" x14ac:dyDescent="0.3">
      <c r="B1009" s="67"/>
      <c r="C1009" s="63"/>
      <c r="D1009" s="64"/>
      <c r="E1009" s="65"/>
      <c r="F1009" s="66"/>
      <c r="G1009" s="62"/>
      <c r="H1009" s="64"/>
      <c r="I1009" s="62"/>
      <c r="J1009" s="64"/>
    </row>
    <row r="1010" spans="2:10" s="61" customFormat="1" x14ac:dyDescent="0.3">
      <c r="B1010" s="67"/>
      <c r="C1010" s="63"/>
      <c r="D1010" s="64"/>
      <c r="E1010" s="65"/>
      <c r="F1010" s="66"/>
      <c r="G1010" s="62"/>
      <c r="H1010" s="64"/>
      <c r="I1010" s="62"/>
      <c r="J1010" s="64"/>
    </row>
    <row r="1011" spans="2:10" s="61" customFormat="1" x14ac:dyDescent="0.3">
      <c r="B1011" s="67"/>
      <c r="C1011" s="63"/>
      <c r="D1011" s="64"/>
      <c r="E1011" s="65"/>
      <c r="F1011" s="66"/>
      <c r="G1011" s="62"/>
      <c r="H1011" s="64"/>
      <c r="I1011" s="62"/>
      <c r="J1011" s="64"/>
    </row>
    <row r="1012" spans="2:10" s="61" customFormat="1" x14ac:dyDescent="0.3">
      <c r="B1012" s="67"/>
      <c r="C1012" s="63"/>
      <c r="D1012" s="64"/>
      <c r="E1012" s="65"/>
      <c r="F1012" s="66"/>
      <c r="G1012" s="62"/>
      <c r="H1012" s="64"/>
      <c r="I1012" s="62"/>
      <c r="J1012" s="64"/>
    </row>
    <row r="1013" spans="2:10" s="61" customFormat="1" x14ac:dyDescent="0.3">
      <c r="B1013" s="67"/>
      <c r="C1013" s="63"/>
      <c r="D1013" s="64"/>
      <c r="E1013" s="65"/>
      <c r="F1013" s="66"/>
      <c r="G1013" s="62"/>
      <c r="H1013" s="64"/>
      <c r="I1013" s="62"/>
      <c r="J1013" s="64"/>
    </row>
    <row r="1014" spans="2:10" s="61" customFormat="1" x14ac:dyDescent="0.3">
      <c r="B1014" s="67"/>
      <c r="C1014" s="63"/>
      <c r="D1014" s="64"/>
      <c r="E1014" s="65"/>
      <c r="F1014" s="66"/>
      <c r="G1014" s="62"/>
      <c r="H1014" s="64"/>
      <c r="I1014" s="62"/>
      <c r="J1014" s="64"/>
    </row>
    <row r="1015" spans="2:10" s="68" customFormat="1" x14ac:dyDescent="0.3">
      <c r="B1015" s="67"/>
      <c r="C1015" s="63"/>
      <c r="D1015" s="64"/>
      <c r="E1015" s="65"/>
      <c r="F1015" s="66"/>
      <c r="G1015" s="62"/>
      <c r="H1015" s="64"/>
      <c r="I1015" s="62"/>
      <c r="J1015" s="64"/>
    </row>
    <row r="1016" spans="2:10" s="69" customFormat="1" x14ac:dyDescent="0.3">
      <c r="B1016" s="67"/>
      <c r="C1016" s="63"/>
      <c r="D1016" s="64"/>
      <c r="E1016" s="65"/>
      <c r="F1016" s="66"/>
      <c r="G1016" s="62"/>
      <c r="H1016" s="64"/>
      <c r="I1016" s="62"/>
      <c r="J1016" s="64"/>
    </row>
    <row r="1017" spans="2:10" s="69" customFormat="1" x14ac:dyDescent="0.3">
      <c r="B1017" s="67"/>
      <c r="C1017" s="63"/>
      <c r="D1017" s="64"/>
      <c r="E1017" s="65"/>
      <c r="F1017" s="66"/>
      <c r="G1017" s="62"/>
      <c r="H1017" s="64"/>
      <c r="I1017" s="62"/>
      <c r="J1017" s="64"/>
    </row>
    <row r="1018" spans="2:10" s="69" customFormat="1" x14ac:dyDescent="0.3">
      <c r="B1018" s="67"/>
      <c r="C1018" s="63"/>
      <c r="D1018" s="64"/>
      <c r="E1018" s="65"/>
      <c r="F1018" s="66"/>
      <c r="G1018" s="62"/>
      <c r="H1018" s="64"/>
      <c r="I1018" s="62"/>
      <c r="J1018" s="64"/>
    </row>
    <row r="1019" spans="2:10" s="69" customFormat="1" x14ac:dyDescent="0.3">
      <c r="B1019" s="67"/>
      <c r="C1019" s="63"/>
      <c r="D1019" s="64"/>
      <c r="E1019" s="65"/>
      <c r="F1019" s="66"/>
      <c r="G1019" s="62"/>
      <c r="H1019" s="64"/>
      <c r="I1019" s="62"/>
      <c r="J1019" s="64"/>
    </row>
    <row r="1020" spans="2:10" s="69" customFormat="1" x14ac:dyDescent="0.3">
      <c r="B1020" s="67"/>
      <c r="C1020" s="63"/>
      <c r="D1020" s="64"/>
      <c r="E1020" s="65"/>
      <c r="F1020" s="66"/>
      <c r="G1020" s="62"/>
      <c r="H1020" s="64"/>
      <c r="I1020" s="62"/>
      <c r="J1020" s="64"/>
    </row>
    <row r="1021" spans="2:10" s="69" customFormat="1" x14ac:dyDescent="0.3">
      <c r="B1021" s="67"/>
      <c r="C1021" s="63"/>
      <c r="D1021" s="64"/>
      <c r="E1021" s="65"/>
      <c r="F1021" s="66"/>
      <c r="G1021" s="62"/>
      <c r="H1021" s="64"/>
      <c r="I1021" s="62"/>
      <c r="J1021" s="64"/>
    </row>
    <row r="1022" spans="2:10" s="70" customFormat="1" x14ac:dyDescent="0.3">
      <c r="B1022" s="67"/>
      <c r="C1022" s="63"/>
      <c r="D1022" s="64"/>
      <c r="E1022" s="65"/>
      <c r="F1022" s="66"/>
      <c r="G1022" s="62"/>
      <c r="H1022" s="64"/>
      <c r="I1022" s="62"/>
      <c r="J1022" s="64"/>
    </row>
    <row r="1023" spans="2:10" s="70" customFormat="1" x14ac:dyDescent="0.3">
      <c r="B1023" s="67"/>
      <c r="C1023" s="63"/>
      <c r="D1023" s="64"/>
      <c r="E1023" s="65"/>
      <c r="F1023" s="66"/>
      <c r="G1023" s="62"/>
      <c r="H1023" s="64"/>
      <c r="I1023" s="62"/>
      <c r="J1023" s="64"/>
    </row>
    <row r="1024" spans="2:10" s="70" customFormat="1" x14ac:dyDescent="0.3">
      <c r="B1024" s="67"/>
      <c r="C1024" s="63"/>
      <c r="D1024" s="64"/>
      <c r="E1024" s="65"/>
      <c r="F1024" s="66"/>
      <c r="G1024" s="62"/>
      <c r="H1024" s="64"/>
      <c r="I1024" s="62"/>
      <c r="J1024" s="64"/>
    </row>
    <row r="1025" spans="2:10" s="70" customFormat="1" x14ac:dyDescent="0.3">
      <c r="B1025" s="67"/>
      <c r="C1025" s="63"/>
      <c r="D1025" s="64"/>
      <c r="E1025" s="65"/>
      <c r="F1025" s="66"/>
      <c r="G1025" s="62"/>
      <c r="H1025" s="64"/>
      <c r="I1025" s="62"/>
      <c r="J1025" s="64"/>
    </row>
    <row r="1026" spans="2:10" s="70" customFormat="1" x14ac:dyDescent="0.3">
      <c r="B1026" s="67"/>
      <c r="C1026" s="63"/>
      <c r="D1026" s="64"/>
      <c r="E1026" s="65"/>
      <c r="F1026" s="66"/>
      <c r="G1026" s="62"/>
      <c r="H1026" s="64"/>
      <c r="I1026" s="62"/>
      <c r="J1026" s="64"/>
    </row>
    <row r="1027" spans="2:10" s="70" customFormat="1" x14ac:dyDescent="0.3">
      <c r="B1027" s="67"/>
      <c r="C1027" s="63"/>
      <c r="D1027" s="64"/>
      <c r="E1027" s="65"/>
      <c r="F1027" s="66"/>
      <c r="G1027" s="62"/>
      <c r="H1027" s="64"/>
      <c r="I1027" s="62"/>
      <c r="J1027" s="64"/>
    </row>
    <row r="1028" spans="2:10" s="70" customFormat="1" x14ac:dyDescent="0.3">
      <c r="B1028" s="67"/>
      <c r="C1028" s="63"/>
      <c r="D1028" s="64"/>
      <c r="E1028" s="65"/>
      <c r="F1028" s="66"/>
      <c r="G1028" s="62"/>
      <c r="H1028" s="64"/>
      <c r="I1028" s="62"/>
      <c r="J1028" s="64"/>
    </row>
    <row r="1029" spans="2:10" s="70" customFormat="1" x14ac:dyDescent="0.3">
      <c r="B1029" s="67"/>
      <c r="C1029" s="63"/>
      <c r="D1029" s="64"/>
      <c r="E1029" s="65"/>
      <c r="F1029" s="66"/>
      <c r="G1029" s="62"/>
      <c r="H1029" s="64"/>
      <c r="I1029" s="62"/>
      <c r="J1029" s="64"/>
    </row>
    <row r="1030" spans="2:10" s="70" customFormat="1" x14ac:dyDescent="0.3">
      <c r="B1030" s="67"/>
      <c r="C1030" s="63"/>
      <c r="D1030" s="64"/>
      <c r="E1030" s="65"/>
      <c r="F1030" s="66"/>
      <c r="G1030" s="62"/>
      <c r="H1030" s="64"/>
      <c r="I1030" s="62"/>
      <c r="J1030" s="64"/>
    </row>
    <row r="1031" spans="2:10" s="70" customFormat="1" x14ac:dyDescent="0.3">
      <c r="B1031" s="67"/>
      <c r="C1031" s="63"/>
      <c r="D1031" s="64"/>
      <c r="E1031" s="65"/>
      <c r="F1031" s="66"/>
      <c r="G1031" s="62"/>
      <c r="H1031" s="64"/>
      <c r="I1031" s="62"/>
      <c r="J1031" s="64"/>
    </row>
    <row r="1032" spans="2:10" s="70" customFormat="1" x14ac:dyDescent="0.3">
      <c r="B1032" s="67"/>
      <c r="C1032" s="63"/>
      <c r="D1032" s="64"/>
      <c r="E1032" s="65"/>
      <c r="F1032" s="66"/>
      <c r="G1032" s="62"/>
      <c r="H1032" s="64"/>
      <c r="I1032" s="62"/>
      <c r="J1032" s="64"/>
    </row>
    <row r="1033" spans="2:10" s="70" customFormat="1" x14ac:dyDescent="0.3">
      <c r="B1033" s="67"/>
      <c r="C1033" s="63"/>
      <c r="D1033" s="64"/>
      <c r="E1033" s="65"/>
      <c r="F1033" s="66"/>
      <c r="G1033" s="62"/>
      <c r="H1033" s="64"/>
      <c r="I1033" s="62"/>
      <c r="J1033" s="64"/>
    </row>
    <row r="1034" spans="2:10" s="70" customFormat="1" x14ac:dyDescent="0.3">
      <c r="B1034" s="67"/>
      <c r="C1034" s="63"/>
      <c r="D1034" s="64"/>
      <c r="E1034" s="65"/>
      <c r="F1034" s="66"/>
      <c r="G1034" s="62"/>
      <c r="H1034" s="64"/>
      <c r="I1034" s="62"/>
      <c r="J1034" s="64"/>
    </row>
    <row r="1035" spans="2:10" s="70" customFormat="1" x14ac:dyDescent="0.3">
      <c r="B1035" s="67"/>
      <c r="C1035" s="63"/>
      <c r="D1035" s="64"/>
      <c r="E1035" s="65"/>
      <c r="F1035" s="66"/>
      <c r="G1035" s="62"/>
      <c r="H1035" s="64"/>
      <c r="I1035" s="62"/>
      <c r="J1035" s="64"/>
    </row>
    <row r="1036" spans="2:10" s="70" customFormat="1" x14ac:dyDescent="0.3">
      <c r="B1036" s="67"/>
      <c r="C1036" s="63"/>
      <c r="D1036" s="64"/>
      <c r="E1036" s="65"/>
      <c r="F1036" s="66"/>
      <c r="G1036" s="62"/>
      <c r="H1036" s="64"/>
      <c r="I1036" s="62"/>
      <c r="J1036" s="64"/>
    </row>
    <row r="1037" spans="2:10" s="70" customFormat="1" x14ac:dyDescent="0.3">
      <c r="B1037" s="67"/>
      <c r="C1037" s="63"/>
      <c r="D1037" s="64"/>
      <c r="E1037" s="65"/>
      <c r="F1037" s="66"/>
      <c r="G1037" s="62"/>
      <c r="H1037" s="64"/>
      <c r="I1037" s="62"/>
      <c r="J1037" s="64"/>
    </row>
    <row r="1038" spans="2:10" s="70" customFormat="1" x14ac:dyDescent="0.3">
      <c r="B1038" s="67"/>
      <c r="C1038" s="63"/>
      <c r="D1038" s="64"/>
      <c r="E1038" s="65"/>
      <c r="F1038" s="66"/>
      <c r="G1038" s="62"/>
      <c r="H1038" s="64"/>
      <c r="I1038" s="62"/>
      <c r="J1038" s="64"/>
    </row>
    <row r="1039" spans="2:10" s="70" customFormat="1" x14ac:dyDescent="0.3">
      <c r="B1039" s="67"/>
      <c r="C1039" s="63"/>
      <c r="D1039" s="64"/>
      <c r="E1039" s="65"/>
      <c r="F1039" s="66"/>
      <c r="G1039" s="62"/>
      <c r="H1039" s="64"/>
      <c r="I1039" s="62"/>
      <c r="J1039" s="64"/>
    </row>
    <row r="1040" spans="2:10" s="70" customFormat="1" x14ac:dyDescent="0.3">
      <c r="B1040" s="67"/>
      <c r="C1040" s="63"/>
      <c r="D1040" s="64"/>
      <c r="E1040" s="65"/>
      <c r="F1040" s="66"/>
      <c r="G1040" s="62"/>
      <c r="H1040" s="64"/>
      <c r="I1040" s="62"/>
      <c r="J1040" s="64"/>
    </row>
    <row r="1041" spans="2:10" s="70" customFormat="1" x14ac:dyDescent="0.3">
      <c r="B1041" s="67"/>
      <c r="C1041" s="63"/>
      <c r="D1041" s="64"/>
      <c r="E1041" s="65"/>
      <c r="F1041" s="66"/>
      <c r="G1041" s="62"/>
      <c r="H1041" s="64"/>
      <c r="I1041" s="62"/>
      <c r="J1041" s="64"/>
    </row>
    <row r="1042" spans="2:10" s="70" customFormat="1" x14ac:dyDescent="0.3">
      <c r="B1042" s="67"/>
      <c r="C1042" s="63"/>
      <c r="D1042" s="64"/>
      <c r="E1042" s="65"/>
      <c r="F1042" s="66"/>
      <c r="G1042" s="62"/>
      <c r="H1042" s="64"/>
      <c r="I1042" s="62"/>
      <c r="J1042" s="64"/>
    </row>
    <row r="1043" spans="2:10" s="70" customFormat="1" x14ac:dyDescent="0.3">
      <c r="B1043" s="67"/>
      <c r="C1043" s="63"/>
      <c r="D1043" s="64"/>
      <c r="E1043" s="65"/>
      <c r="F1043" s="66"/>
      <c r="G1043" s="62"/>
      <c r="H1043" s="64"/>
      <c r="I1043" s="62"/>
      <c r="J1043" s="64"/>
    </row>
    <row r="1044" spans="2:10" s="70" customFormat="1" x14ac:dyDescent="0.3">
      <c r="B1044" s="67"/>
      <c r="C1044" s="63"/>
      <c r="D1044" s="64"/>
      <c r="E1044" s="65"/>
      <c r="F1044" s="66"/>
      <c r="G1044" s="62"/>
      <c r="H1044" s="64"/>
      <c r="I1044" s="62"/>
      <c r="J1044" s="64"/>
    </row>
    <row r="1045" spans="2:10" s="70" customFormat="1" x14ac:dyDescent="0.3">
      <c r="B1045" s="67"/>
      <c r="C1045" s="63"/>
      <c r="D1045" s="64"/>
      <c r="E1045" s="65"/>
      <c r="F1045" s="66"/>
      <c r="G1045" s="62"/>
      <c r="H1045" s="64"/>
      <c r="I1045" s="62"/>
      <c r="J1045" s="64"/>
    </row>
  </sheetData>
  <mergeCells count="9">
    <mergeCell ref="B2:B3"/>
    <mergeCell ref="G2:H2"/>
    <mergeCell ref="I2:J2"/>
    <mergeCell ref="K2:L2"/>
    <mergeCell ref="M2:M3"/>
    <mergeCell ref="C2:C3"/>
    <mergeCell ref="D2:D3"/>
    <mergeCell ref="E2:E3"/>
    <mergeCell ref="F2:F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640E0-0A7B-41CD-A759-71E77C9D880E}">
  <dimension ref="A2:L890"/>
  <sheetViews>
    <sheetView showGridLines="0" zoomScale="85" zoomScaleNormal="85" workbookViewId="0">
      <selection activeCell="C16" sqref="C16"/>
    </sheetView>
  </sheetViews>
  <sheetFormatPr defaultRowHeight="15.6" x14ac:dyDescent="0.3"/>
  <cols>
    <col min="1" max="1" width="8.88671875" style="62"/>
    <col min="2" max="2" width="7.5546875" style="67" customWidth="1"/>
    <col min="3" max="3" width="109" style="63" customWidth="1"/>
    <col min="4" max="4" width="15.6640625" style="64" bestFit="1" customWidth="1"/>
    <col min="5" max="5" width="13.21875" style="65" bestFit="1" customWidth="1"/>
    <col min="6" max="6" width="12" style="66" bestFit="1" customWidth="1"/>
    <col min="7" max="7" width="10" style="62" bestFit="1" customWidth="1"/>
    <col min="8" max="8" width="12" style="64" bestFit="1" customWidth="1"/>
    <col min="9" max="9" width="9" style="62" bestFit="1" customWidth="1"/>
    <col min="10" max="10" width="11.44140625" style="64" bestFit="1" customWidth="1"/>
    <col min="11" max="11" width="8.88671875" style="97"/>
    <col min="12" max="158" width="8.88671875" style="62"/>
    <col min="159" max="159" width="6" style="62" customWidth="1"/>
    <col min="160" max="160" width="44.44140625" style="62" customWidth="1"/>
    <col min="161" max="161" width="10.5546875" style="62" customWidth="1"/>
    <col min="162" max="162" width="11.5546875" style="62" bestFit="1" customWidth="1"/>
    <col min="163" max="163" width="12.5546875" style="62" bestFit="1" customWidth="1"/>
    <col min="164" max="164" width="17.44140625" style="62" bestFit="1" customWidth="1"/>
    <col min="165" max="165" width="10.88671875" style="62" bestFit="1" customWidth="1"/>
    <col min="166" max="166" width="13.5546875" style="62" bestFit="1" customWidth="1"/>
    <col min="167" max="167" width="11" style="62" bestFit="1" customWidth="1"/>
    <col min="168" max="168" width="14.109375" style="62" bestFit="1" customWidth="1"/>
    <col min="169" max="169" width="17.44140625" style="62" bestFit="1" customWidth="1"/>
    <col min="170" max="170" width="8.88671875" style="62"/>
    <col min="171" max="171" width="10.44140625" style="62" bestFit="1" customWidth="1"/>
    <col min="172" max="414" width="8.88671875" style="62"/>
    <col min="415" max="415" width="6" style="62" customWidth="1"/>
    <col min="416" max="416" width="44.44140625" style="62" customWidth="1"/>
    <col min="417" max="417" width="10.5546875" style="62" customWidth="1"/>
    <col min="418" max="418" width="11.5546875" style="62" bestFit="1" customWidth="1"/>
    <col min="419" max="419" width="12.5546875" style="62" bestFit="1" customWidth="1"/>
    <col min="420" max="420" width="17.44140625" style="62" bestFit="1" customWidth="1"/>
    <col min="421" max="421" width="10.88671875" style="62" bestFit="1" customWidth="1"/>
    <col min="422" max="422" width="13.5546875" style="62" bestFit="1" customWidth="1"/>
    <col min="423" max="423" width="11" style="62" bestFit="1" customWidth="1"/>
    <col min="424" max="424" width="14.109375" style="62" bestFit="1" customWidth="1"/>
    <col min="425" max="425" width="17.44140625" style="62" bestFit="1" customWidth="1"/>
    <col min="426" max="426" width="8.88671875" style="62"/>
    <col min="427" max="427" width="10.44140625" style="62" bestFit="1" customWidth="1"/>
    <col min="428" max="670" width="8.88671875" style="62"/>
    <col min="671" max="671" width="6" style="62" customWidth="1"/>
    <col min="672" max="672" width="44.44140625" style="62" customWidth="1"/>
    <col min="673" max="673" width="10.5546875" style="62" customWidth="1"/>
    <col min="674" max="674" width="11.5546875" style="62" bestFit="1" customWidth="1"/>
    <col min="675" max="675" width="12.5546875" style="62" bestFit="1" customWidth="1"/>
    <col min="676" max="676" width="17.44140625" style="62" bestFit="1" customWidth="1"/>
    <col min="677" max="677" width="10.88671875" style="62" bestFit="1" customWidth="1"/>
    <col min="678" max="678" width="13.5546875" style="62" bestFit="1" customWidth="1"/>
    <col min="679" max="679" width="11" style="62" bestFit="1" customWidth="1"/>
    <col min="680" max="680" width="14.109375" style="62" bestFit="1" customWidth="1"/>
    <col min="681" max="681" width="17.44140625" style="62" bestFit="1" customWidth="1"/>
    <col min="682" max="682" width="8.88671875" style="62"/>
    <col min="683" max="683" width="10.44140625" style="62" bestFit="1" customWidth="1"/>
    <col min="684" max="926" width="8.88671875" style="62"/>
    <col min="927" max="927" width="6" style="62" customWidth="1"/>
    <col min="928" max="928" width="44.44140625" style="62" customWidth="1"/>
    <col min="929" max="929" width="10.5546875" style="62" customWidth="1"/>
    <col min="930" max="930" width="11.5546875" style="62" bestFit="1" customWidth="1"/>
    <col min="931" max="931" width="12.5546875" style="62" bestFit="1" customWidth="1"/>
    <col min="932" max="932" width="17.44140625" style="62" bestFit="1" customWidth="1"/>
    <col min="933" max="933" width="10.88671875" style="62" bestFit="1" customWidth="1"/>
    <col min="934" max="934" width="13.5546875" style="62" bestFit="1" customWidth="1"/>
    <col min="935" max="935" width="11" style="62" bestFit="1" customWidth="1"/>
    <col min="936" max="936" width="14.109375" style="62" bestFit="1" customWidth="1"/>
    <col min="937" max="937" width="17.44140625" style="62" bestFit="1" customWidth="1"/>
    <col min="938" max="938" width="8.88671875" style="62"/>
    <col min="939" max="939" width="10.44140625" style="62" bestFit="1" customWidth="1"/>
    <col min="940" max="1182" width="8.88671875" style="62"/>
    <col min="1183" max="1183" width="6" style="62" customWidth="1"/>
    <col min="1184" max="1184" width="44.44140625" style="62" customWidth="1"/>
    <col min="1185" max="1185" width="10.5546875" style="62" customWidth="1"/>
    <col min="1186" max="1186" width="11.5546875" style="62" bestFit="1" customWidth="1"/>
    <col min="1187" max="1187" width="12.5546875" style="62" bestFit="1" customWidth="1"/>
    <col min="1188" max="1188" width="17.44140625" style="62" bestFit="1" customWidth="1"/>
    <col min="1189" max="1189" width="10.88671875" style="62" bestFit="1" customWidth="1"/>
    <col min="1190" max="1190" width="13.5546875" style="62" bestFit="1" customWidth="1"/>
    <col min="1191" max="1191" width="11" style="62" bestFit="1" customWidth="1"/>
    <col min="1192" max="1192" width="14.109375" style="62" bestFit="1" customWidth="1"/>
    <col min="1193" max="1193" width="17.44140625" style="62" bestFit="1" customWidth="1"/>
    <col min="1194" max="1194" width="8.88671875" style="62"/>
    <col min="1195" max="1195" width="10.44140625" style="62" bestFit="1" customWidth="1"/>
    <col min="1196" max="1438" width="8.88671875" style="62"/>
    <col min="1439" max="1439" width="6" style="62" customWidth="1"/>
    <col min="1440" max="1440" width="44.44140625" style="62" customWidth="1"/>
    <col min="1441" max="1441" width="10.5546875" style="62" customWidth="1"/>
    <col min="1442" max="1442" width="11.5546875" style="62" bestFit="1" customWidth="1"/>
    <col min="1443" max="1443" width="12.5546875" style="62" bestFit="1" customWidth="1"/>
    <col min="1444" max="1444" width="17.44140625" style="62" bestFit="1" customWidth="1"/>
    <col min="1445" max="1445" width="10.88671875" style="62" bestFit="1" customWidth="1"/>
    <col min="1446" max="1446" width="13.5546875" style="62" bestFit="1" customWidth="1"/>
    <col min="1447" max="1447" width="11" style="62" bestFit="1" customWidth="1"/>
    <col min="1448" max="1448" width="14.109375" style="62" bestFit="1" customWidth="1"/>
    <col min="1449" max="1449" width="17.44140625" style="62" bestFit="1" customWidth="1"/>
    <col min="1450" max="1450" width="8.88671875" style="62"/>
    <col min="1451" max="1451" width="10.44140625" style="62" bestFit="1" customWidth="1"/>
    <col min="1452" max="1694" width="8.88671875" style="62"/>
    <col min="1695" max="1695" width="6" style="62" customWidth="1"/>
    <col min="1696" max="1696" width="44.44140625" style="62" customWidth="1"/>
    <col min="1697" max="1697" width="10.5546875" style="62" customWidth="1"/>
    <col min="1698" max="1698" width="11.5546875" style="62" bestFit="1" customWidth="1"/>
    <col min="1699" max="1699" width="12.5546875" style="62" bestFit="1" customWidth="1"/>
    <col min="1700" max="1700" width="17.44140625" style="62" bestFit="1" customWidth="1"/>
    <col min="1701" max="1701" width="10.88671875" style="62" bestFit="1" customWidth="1"/>
    <col min="1702" max="1702" width="13.5546875" style="62" bestFit="1" customWidth="1"/>
    <col min="1703" max="1703" width="11" style="62" bestFit="1" customWidth="1"/>
    <col min="1704" max="1704" width="14.109375" style="62" bestFit="1" customWidth="1"/>
    <col min="1705" max="1705" width="17.44140625" style="62" bestFit="1" customWidth="1"/>
    <col min="1706" max="1706" width="8.88671875" style="62"/>
    <col min="1707" max="1707" width="10.44140625" style="62" bestFit="1" customWidth="1"/>
    <col min="1708" max="1950" width="8.88671875" style="62"/>
    <col min="1951" max="1951" width="6" style="62" customWidth="1"/>
    <col min="1952" max="1952" width="44.44140625" style="62" customWidth="1"/>
    <col min="1953" max="1953" width="10.5546875" style="62" customWidth="1"/>
    <col min="1954" max="1954" width="11.5546875" style="62" bestFit="1" customWidth="1"/>
    <col min="1955" max="1955" width="12.5546875" style="62" bestFit="1" customWidth="1"/>
    <col min="1956" max="1956" width="17.44140625" style="62" bestFit="1" customWidth="1"/>
    <col min="1957" max="1957" width="10.88671875" style="62" bestFit="1" customWidth="1"/>
    <col min="1958" max="1958" width="13.5546875" style="62" bestFit="1" customWidth="1"/>
    <col min="1959" max="1959" width="11" style="62" bestFit="1" customWidth="1"/>
    <col min="1960" max="1960" width="14.109375" style="62" bestFit="1" customWidth="1"/>
    <col min="1961" max="1961" width="17.44140625" style="62" bestFit="1" customWidth="1"/>
    <col min="1962" max="1962" width="8.88671875" style="62"/>
    <col min="1963" max="1963" width="10.44140625" style="62" bestFit="1" customWidth="1"/>
    <col min="1964" max="2206" width="8.88671875" style="62"/>
    <col min="2207" max="2207" width="6" style="62" customWidth="1"/>
    <col min="2208" max="2208" width="44.44140625" style="62" customWidth="1"/>
    <col min="2209" max="2209" width="10.5546875" style="62" customWidth="1"/>
    <col min="2210" max="2210" width="11.5546875" style="62" bestFit="1" customWidth="1"/>
    <col min="2211" max="2211" width="12.5546875" style="62" bestFit="1" customWidth="1"/>
    <col min="2212" max="2212" width="17.44140625" style="62" bestFit="1" customWidth="1"/>
    <col min="2213" max="2213" width="10.88671875" style="62" bestFit="1" customWidth="1"/>
    <col min="2214" max="2214" width="13.5546875" style="62" bestFit="1" customWidth="1"/>
    <col min="2215" max="2215" width="11" style="62" bestFit="1" customWidth="1"/>
    <col min="2216" max="2216" width="14.109375" style="62" bestFit="1" customWidth="1"/>
    <col min="2217" max="2217" width="17.44140625" style="62" bestFit="1" customWidth="1"/>
    <col min="2218" max="2218" width="8.88671875" style="62"/>
    <col min="2219" max="2219" width="10.44140625" style="62" bestFit="1" customWidth="1"/>
    <col min="2220" max="2462" width="8.88671875" style="62"/>
    <col min="2463" max="2463" width="6" style="62" customWidth="1"/>
    <col min="2464" max="2464" width="44.44140625" style="62" customWidth="1"/>
    <col min="2465" max="2465" width="10.5546875" style="62" customWidth="1"/>
    <col min="2466" max="2466" width="11.5546875" style="62" bestFit="1" customWidth="1"/>
    <col min="2467" max="2467" width="12.5546875" style="62" bestFit="1" customWidth="1"/>
    <col min="2468" max="2468" width="17.44140625" style="62" bestFit="1" customWidth="1"/>
    <col min="2469" max="2469" width="10.88671875" style="62" bestFit="1" customWidth="1"/>
    <col min="2470" max="2470" width="13.5546875" style="62" bestFit="1" customWidth="1"/>
    <col min="2471" max="2471" width="11" style="62" bestFit="1" customWidth="1"/>
    <col min="2472" max="2472" width="14.109375" style="62" bestFit="1" customWidth="1"/>
    <col min="2473" max="2473" width="17.44140625" style="62" bestFit="1" customWidth="1"/>
    <col min="2474" max="2474" width="8.88671875" style="62"/>
    <col min="2475" max="2475" width="10.44140625" style="62" bestFit="1" customWidth="1"/>
    <col min="2476" max="2718" width="8.88671875" style="62"/>
    <col min="2719" max="2719" width="6" style="62" customWidth="1"/>
    <col min="2720" max="2720" width="44.44140625" style="62" customWidth="1"/>
    <col min="2721" max="2721" width="10.5546875" style="62" customWidth="1"/>
    <col min="2722" max="2722" width="11.5546875" style="62" bestFit="1" customWidth="1"/>
    <col min="2723" max="2723" width="12.5546875" style="62" bestFit="1" customWidth="1"/>
    <col min="2724" max="2724" width="17.44140625" style="62" bestFit="1" customWidth="1"/>
    <col min="2725" max="2725" width="10.88671875" style="62" bestFit="1" customWidth="1"/>
    <col min="2726" max="2726" width="13.5546875" style="62" bestFit="1" customWidth="1"/>
    <col min="2727" max="2727" width="11" style="62" bestFit="1" customWidth="1"/>
    <col min="2728" max="2728" width="14.109375" style="62" bestFit="1" customWidth="1"/>
    <col min="2729" max="2729" width="17.44140625" style="62" bestFit="1" customWidth="1"/>
    <col min="2730" max="2730" width="8.88671875" style="62"/>
    <col min="2731" max="2731" width="10.44140625" style="62" bestFit="1" customWidth="1"/>
    <col min="2732" max="2974" width="8.88671875" style="62"/>
    <col min="2975" max="2975" width="6" style="62" customWidth="1"/>
    <col min="2976" max="2976" width="44.44140625" style="62" customWidth="1"/>
    <col min="2977" max="2977" width="10.5546875" style="62" customWidth="1"/>
    <col min="2978" max="2978" width="11.5546875" style="62" bestFit="1" customWidth="1"/>
    <col min="2979" max="2979" width="12.5546875" style="62" bestFit="1" customWidth="1"/>
    <col min="2980" max="2980" width="17.44140625" style="62" bestFit="1" customWidth="1"/>
    <col min="2981" max="2981" width="10.88671875" style="62" bestFit="1" customWidth="1"/>
    <col min="2982" max="2982" width="13.5546875" style="62" bestFit="1" customWidth="1"/>
    <col min="2983" max="2983" width="11" style="62" bestFit="1" customWidth="1"/>
    <col min="2984" max="2984" width="14.109375" style="62" bestFit="1" customWidth="1"/>
    <col min="2985" max="2985" width="17.44140625" style="62" bestFit="1" customWidth="1"/>
    <col min="2986" max="2986" width="8.88671875" style="62"/>
    <col min="2987" max="2987" width="10.44140625" style="62" bestFit="1" customWidth="1"/>
    <col min="2988" max="3230" width="8.88671875" style="62"/>
    <col min="3231" max="3231" width="6" style="62" customWidth="1"/>
    <col min="3232" max="3232" width="44.44140625" style="62" customWidth="1"/>
    <col min="3233" max="3233" width="10.5546875" style="62" customWidth="1"/>
    <col min="3234" max="3234" width="11.5546875" style="62" bestFit="1" customWidth="1"/>
    <col min="3235" max="3235" width="12.5546875" style="62" bestFit="1" customWidth="1"/>
    <col min="3236" max="3236" width="17.44140625" style="62" bestFit="1" customWidth="1"/>
    <col min="3237" max="3237" width="10.88671875" style="62" bestFit="1" customWidth="1"/>
    <col min="3238" max="3238" width="13.5546875" style="62" bestFit="1" customWidth="1"/>
    <col min="3239" max="3239" width="11" style="62" bestFit="1" customWidth="1"/>
    <col min="3240" max="3240" width="14.109375" style="62" bestFit="1" customWidth="1"/>
    <col min="3241" max="3241" width="17.44140625" style="62" bestFit="1" customWidth="1"/>
    <col min="3242" max="3242" width="8.88671875" style="62"/>
    <col min="3243" max="3243" width="10.44140625" style="62" bestFit="1" customWidth="1"/>
    <col min="3244" max="3486" width="8.88671875" style="62"/>
    <col min="3487" max="3487" width="6" style="62" customWidth="1"/>
    <col min="3488" max="3488" width="44.44140625" style="62" customWidth="1"/>
    <col min="3489" max="3489" width="10.5546875" style="62" customWidth="1"/>
    <col min="3490" max="3490" width="11.5546875" style="62" bestFit="1" customWidth="1"/>
    <col min="3491" max="3491" width="12.5546875" style="62" bestFit="1" customWidth="1"/>
    <col min="3492" max="3492" width="17.44140625" style="62" bestFit="1" customWidth="1"/>
    <col min="3493" max="3493" width="10.88671875" style="62" bestFit="1" customWidth="1"/>
    <col min="3494" max="3494" width="13.5546875" style="62" bestFit="1" customWidth="1"/>
    <col min="3495" max="3495" width="11" style="62" bestFit="1" customWidth="1"/>
    <col min="3496" max="3496" width="14.109375" style="62" bestFit="1" customWidth="1"/>
    <col min="3497" max="3497" width="17.44140625" style="62" bestFit="1" customWidth="1"/>
    <col min="3498" max="3498" width="8.88671875" style="62"/>
    <col min="3499" max="3499" width="10.44140625" style="62" bestFit="1" customWidth="1"/>
    <col min="3500" max="3742" width="8.88671875" style="62"/>
    <col min="3743" max="3743" width="6" style="62" customWidth="1"/>
    <col min="3744" max="3744" width="44.44140625" style="62" customWidth="1"/>
    <col min="3745" max="3745" width="10.5546875" style="62" customWidth="1"/>
    <col min="3746" max="3746" width="11.5546875" style="62" bestFit="1" customWidth="1"/>
    <col min="3747" max="3747" width="12.5546875" style="62" bestFit="1" customWidth="1"/>
    <col min="3748" max="3748" width="17.44140625" style="62" bestFit="1" customWidth="1"/>
    <col min="3749" max="3749" width="10.88671875" style="62" bestFit="1" customWidth="1"/>
    <col min="3750" max="3750" width="13.5546875" style="62" bestFit="1" customWidth="1"/>
    <col min="3751" max="3751" width="11" style="62" bestFit="1" customWidth="1"/>
    <col min="3752" max="3752" width="14.109375" style="62" bestFit="1" customWidth="1"/>
    <col min="3753" max="3753" width="17.44140625" style="62" bestFit="1" customWidth="1"/>
    <col min="3754" max="3754" width="8.88671875" style="62"/>
    <col min="3755" max="3755" width="10.44140625" style="62" bestFit="1" customWidth="1"/>
    <col min="3756" max="3998" width="8.88671875" style="62"/>
    <col min="3999" max="3999" width="6" style="62" customWidth="1"/>
    <col min="4000" max="4000" width="44.44140625" style="62" customWidth="1"/>
    <col min="4001" max="4001" width="10.5546875" style="62" customWidth="1"/>
    <col min="4002" max="4002" width="11.5546875" style="62" bestFit="1" customWidth="1"/>
    <col min="4003" max="4003" width="12.5546875" style="62" bestFit="1" customWidth="1"/>
    <col min="4004" max="4004" width="17.44140625" style="62" bestFit="1" customWidth="1"/>
    <col min="4005" max="4005" width="10.88671875" style="62" bestFit="1" customWidth="1"/>
    <col min="4006" max="4006" width="13.5546875" style="62" bestFit="1" customWidth="1"/>
    <col min="4007" max="4007" width="11" style="62" bestFit="1" customWidth="1"/>
    <col min="4008" max="4008" width="14.109375" style="62" bestFit="1" customWidth="1"/>
    <col min="4009" max="4009" width="17.44140625" style="62" bestFit="1" customWidth="1"/>
    <col min="4010" max="4010" width="8.88671875" style="62"/>
    <col min="4011" max="4011" width="10.44140625" style="62" bestFit="1" customWidth="1"/>
    <col min="4012" max="4254" width="8.88671875" style="62"/>
    <col min="4255" max="4255" width="6" style="62" customWidth="1"/>
    <col min="4256" max="4256" width="44.44140625" style="62" customWidth="1"/>
    <col min="4257" max="4257" width="10.5546875" style="62" customWidth="1"/>
    <col min="4258" max="4258" width="11.5546875" style="62" bestFit="1" customWidth="1"/>
    <col min="4259" max="4259" width="12.5546875" style="62" bestFit="1" customWidth="1"/>
    <col min="4260" max="4260" width="17.44140625" style="62" bestFit="1" customWidth="1"/>
    <col min="4261" max="4261" width="10.88671875" style="62" bestFit="1" customWidth="1"/>
    <col min="4262" max="4262" width="13.5546875" style="62" bestFit="1" customWidth="1"/>
    <col min="4263" max="4263" width="11" style="62" bestFit="1" customWidth="1"/>
    <col min="4264" max="4264" width="14.109375" style="62" bestFit="1" customWidth="1"/>
    <col min="4265" max="4265" width="17.44140625" style="62" bestFit="1" customWidth="1"/>
    <col min="4266" max="4266" width="8.88671875" style="62"/>
    <col min="4267" max="4267" width="10.44140625" style="62" bestFit="1" customWidth="1"/>
    <col min="4268" max="4510" width="8.88671875" style="62"/>
    <col min="4511" max="4511" width="6" style="62" customWidth="1"/>
    <col min="4512" max="4512" width="44.44140625" style="62" customWidth="1"/>
    <col min="4513" max="4513" width="10.5546875" style="62" customWidth="1"/>
    <col min="4514" max="4514" width="11.5546875" style="62" bestFit="1" customWidth="1"/>
    <col min="4515" max="4515" width="12.5546875" style="62" bestFit="1" customWidth="1"/>
    <col min="4516" max="4516" width="17.44140625" style="62" bestFit="1" customWidth="1"/>
    <col min="4517" max="4517" width="10.88671875" style="62" bestFit="1" customWidth="1"/>
    <col min="4518" max="4518" width="13.5546875" style="62" bestFit="1" customWidth="1"/>
    <col min="4519" max="4519" width="11" style="62" bestFit="1" customWidth="1"/>
    <col min="4520" max="4520" width="14.109375" style="62" bestFit="1" customWidth="1"/>
    <col min="4521" max="4521" width="17.44140625" style="62" bestFit="1" customWidth="1"/>
    <col min="4522" max="4522" width="8.88671875" style="62"/>
    <col min="4523" max="4523" width="10.44140625" style="62" bestFit="1" customWidth="1"/>
    <col min="4524" max="4766" width="8.88671875" style="62"/>
    <col min="4767" max="4767" width="6" style="62" customWidth="1"/>
    <col min="4768" max="4768" width="44.44140625" style="62" customWidth="1"/>
    <col min="4769" max="4769" width="10.5546875" style="62" customWidth="1"/>
    <col min="4770" max="4770" width="11.5546875" style="62" bestFit="1" customWidth="1"/>
    <col min="4771" max="4771" width="12.5546875" style="62" bestFit="1" customWidth="1"/>
    <col min="4772" max="4772" width="17.44140625" style="62" bestFit="1" customWidth="1"/>
    <col min="4773" max="4773" width="10.88671875" style="62" bestFit="1" customWidth="1"/>
    <col min="4774" max="4774" width="13.5546875" style="62" bestFit="1" customWidth="1"/>
    <col min="4775" max="4775" width="11" style="62" bestFit="1" customWidth="1"/>
    <col min="4776" max="4776" width="14.109375" style="62" bestFit="1" customWidth="1"/>
    <col min="4777" max="4777" width="17.44140625" style="62" bestFit="1" customWidth="1"/>
    <col min="4778" max="4778" width="8.88671875" style="62"/>
    <col min="4779" max="4779" width="10.44140625" style="62" bestFit="1" customWidth="1"/>
    <col min="4780" max="5022" width="8.88671875" style="62"/>
    <col min="5023" max="5023" width="6" style="62" customWidth="1"/>
    <col min="5024" max="5024" width="44.44140625" style="62" customWidth="1"/>
    <col min="5025" max="5025" width="10.5546875" style="62" customWidth="1"/>
    <col min="5026" max="5026" width="11.5546875" style="62" bestFit="1" customWidth="1"/>
    <col min="5027" max="5027" width="12.5546875" style="62" bestFit="1" customWidth="1"/>
    <col min="5028" max="5028" width="17.44140625" style="62" bestFit="1" customWidth="1"/>
    <col min="5029" max="5029" width="10.88671875" style="62" bestFit="1" customWidth="1"/>
    <col min="5030" max="5030" width="13.5546875" style="62" bestFit="1" customWidth="1"/>
    <col min="5031" max="5031" width="11" style="62" bestFit="1" customWidth="1"/>
    <col min="5032" max="5032" width="14.109375" style="62" bestFit="1" customWidth="1"/>
    <col min="5033" max="5033" width="17.44140625" style="62" bestFit="1" customWidth="1"/>
    <col min="5034" max="5034" width="8.88671875" style="62"/>
    <col min="5035" max="5035" width="10.44140625" style="62" bestFit="1" customWidth="1"/>
    <col min="5036" max="5278" width="8.88671875" style="62"/>
    <col min="5279" max="5279" width="6" style="62" customWidth="1"/>
    <col min="5280" max="5280" width="44.44140625" style="62" customWidth="1"/>
    <col min="5281" max="5281" width="10.5546875" style="62" customWidth="1"/>
    <col min="5282" max="5282" width="11.5546875" style="62" bestFit="1" customWidth="1"/>
    <col min="5283" max="5283" width="12.5546875" style="62" bestFit="1" customWidth="1"/>
    <col min="5284" max="5284" width="17.44140625" style="62" bestFit="1" customWidth="1"/>
    <col min="5285" max="5285" width="10.88671875" style="62" bestFit="1" customWidth="1"/>
    <col min="5286" max="5286" width="13.5546875" style="62" bestFit="1" customWidth="1"/>
    <col min="5287" max="5287" width="11" style="62" bestFit="1" customWidth="1"/>
    <col min="5288" max="5288" width="14.109375" style="62" bestFit="1" customWidth="1"/>
    <col min="5289" max="5289" width="17.44140625" style="62" bestFit="1" customWidth="1"/>
    <col min="5290" max="5290" width="8.88671875" style="62"/>
    <col min="5291" max="5291" width="10.44140625" style="62" bestFit="1" customWidth="1"/>
    <col min="5292" max="5534" width="8.88671875" style="62"/>
    <col min="5535" max="5535" width="6" style="62" customWidth="1"/>
    <col min="5536" max="5536" width="44.44140625" style="62" customWidth="1"/>
    <col min="5537" max="5537" width="10.5546875" style="62" customWidth="1"/>
    <col min="5538" max="5538" width="11.5546875" style="62" bestFit="1" customWidth="1"/>
    <col min="5539" max="5539" width="12.5546875" style="62" bestFit="1" customWidth="1"/>
    <col min="5540" max="5540" width="17.44140625" style="62" bestFit="1" customWidth="1"/>
    <col min="5541" max="5541" width="10.88671875" style="62" bestFit="1" customWidth="1"/>
    <col min="5542" max="5542" width="13.5546875" style="62" bestFit="1" customWidth="1"/>
    <col min="5543" max="5543" width="11" style="62" bestFit="1" customWidth="1"/>
    <col min="5544" max="5544" width="14.109375" style="62" bestFit="1" customWidth="1"/>
    <col min="5545" max="5545" width="17.44140625" style="62" bestFit="1" customWidth="1"/>
    <col min="5546" max="5546" width="8.88671875" style="62"/>
    <col min="5547" max="5547" width="10.44140625" style="62" bestFit="1" customWidth="1"/>
    <col min="5548" max="5790" width="8.88671875" style="62"/>
    <col min="5791" max="5791" width="6" style="62" customWidth="1"/>
    <col min="5792" max="5792" width="44.44140625" style="62" customWidth="1"/>
    <col min="5793" max="5793" width="10.5546875" style="62" customWidth="1"/>
    <col min="5794" max="5794" width="11.5546875" style="62" bestFit="1" customWidth="1"/>
    <col min="5795" max="5795" width="12.5546875" style="62" bestFit="1" customWidth="1"/>
    <col min="5796" max="5796" width="17.44140625" style="62" bestFit="1" customWidth="1"/>
    <col min="5797" max="5797" width="10.88671875" style="62" bestFit="1" customWidth="1"/>
    <col min="5798" max="5798" width="13.5546875" style="62" bestFit="1" customWidth="1"/>
    <col min="5799" max="5799" width="11" style="62" bestFit="1" customWidth="1"/>
    <col min="5800" max="5800" width="14.109375" style="62" bestFit="1" customWidth="1"/>
    <col min="5801" max="5801" width="17.44140625" style="62" bestFit="1" customWidth="1"/>
    <col min="5802" max="5802" width="8.88671875" style="62"/>
    <col min="5803" max="5803" width="10.44140625" style="62" bestFit="1" customWidth="1"/>
    <col min="5804" max="6046" width="8.88671875" style="62"/>
    <col min="6047" max="6047" width="6" style="62" customWidth="1"/>
    <col min="6048" max="6048" width="44.44140625" style="62" customWidth="1"/>
    <col min="6049" max="6049" width="10.5546875" style="62" customWidth="1"/>
    <col min="6050" max="6050" width="11.5546875" style="62" bestFit="1" customWidth="1"/>
    <col min="6051" max="6051" width="12.5546875" style="62" bestFit="1" customWidth="1"/>
    <col min="6052" max="6052" width="17.44140625" style="62" bestFit="1" customWidth="1"/>
    <col min="6053" max="6053" width="10.88671875" style="62" bestFit="1" customWidth="1"/>
    <col min="6054" max="6054" width="13.5546875" style="62" bestFit="1" customWidth="1"/>
    <col min="6055" max="6055" width="11" style="62" bestFit="1" customWidth="1"/>
    <col min="6056" max="6056" width="14.109375" style="62" bestFit="1" customWidth="1"/>
    <col min="6057" max="6057" width="17.44140625" style="62" bestFit="1" customWidth="1"/>
    <col min="6058" max="6058" width="8.88671875" style="62"/>
    <col min="6059" max="6059" width="10.44140625" style="62" bestFit="1" customWidth="1"/>
    <col min="6060" max="6302" width="8.88671875" style="62"/>
    <col min="6303" max="6303" width="6" style="62" customWidth="1"/>
    <col min="6304" max="6304" width="44.44140625" style="62" customWidth="1"/>
    <col min="6305" max="6305" width="10.5546875" style="62" customWidth="1"/>
    <col min="6306" max="6306" width="11.5546875" style="62" bestFit="1" customWidth="1"/>
    <col min="6307" max="6307" width="12.5546875" style="62" bestFit="1" customWidth="1"/>
    <col min="6308" max="6308" width="17.44140625" style="62" bestFit="1" customWidth="1"/>
    <col min="6309" max="6309" width="10.88671875" style="62" bestFit="1" customWidth="1"/>
    <col min="6310" max="6310" width="13.5546875" style="62" bestFit="1" customWidth="1"/>
    <col min="6311" max="6311" width="11" style="62" bestFit="1" customWidth="1"/>
    <col min="6312" max="6312" width="14.109375" style="62" bestFit="1" customWidth="1"/>
    <col min="6313" max="6313" width="17.44140625" style="62" bestFit="1" customWidth="1"/>
    <col min="6314" max="6314" width="8.88671875" style="62"/>
    <col min="6315" max="6315" width="10.44140625" style="62" bestFit="1" customWidth="1"/>
    <col min="6316" max="6558" width="8.88671875" style="62"/>
    <col min="6559" max="6559" width="6" style="62" customWidth="1"/>
    <col min="6560" max="6560" width="44.44140625" style="62" customWidth="1"/>
    <col min="6561" max="6561" width="10.5546875" style="62" customWidth="1"/>
    <col min="6562" max="6562" width="11.5546875" style="62" bestFit="1" customWidth="1"/>
    <col min="6563" max="6563" width="12.5546875" style="62" bestFit="1" customWidth="1"/>
    <col min="6564" max="6564" width="17.44140625" style="62" bestFit="1" customWidth="1"/>
    <col min="6565" max="6565" width="10.88671875" style="62" bestFit="1" customWidth="1"/>
    <col min="6566" max="6566" width="13.5546875" style="62" bestFit="1" customWidth="1"/>
    <col min="6567" max="6567" width="11" style="62" bestFit="1" customWidth="1"/>
    <col min="6568" max="6568" width="14.109375" style="62" bestFit="1" customWidth="1"/>
    <col min="6569" max="6569" width="17.44140625" style="62" bestFit="1" customWidth="1"/>
    <col min="6570" max="6570" width="8.88671875" style="62"/>
    <col min="6571" max="6571" width="10.44140625" style="62" bestFit="1" customWidth="1"/>
    <col min="6572" max="6814" width="8.88671875" style="62"/>
    <col min="6815" max="6815" width="6" style="62" customWidth="1"/>
    <col min="6816" max="6816" width="44.44140625" style="62" customWidth="1"/>
    <col min="6817" max="6817" width="10.5546875" style="62" customWidth="1"/>
    <col min="6818" max="6818" width="11.5546875" style="62" bestFit="1" customWidth="1"/>
    <col min="6819" max="6819" width="12.5546875" style="62" bestFit="1" customWidth="1"/>
    <col min="6820" max="6820" width="17.44140625" style="62" bestFit="1" customWidth="1"/>
    <col min="6821" max="6821" width="10.88671875" style="62" bestFit="1" customWidth="1"/>
    <col min="6822" max="6822" width="13.5546875" style="62" bestFit="1" customWidth="1"/>
    <col min="6823" max="6823" width="11" style="62" bestFit="1" customWidth="1"/>
    <col min="6824" max="6824" width="14.109375" style="62" bestFit="1" customWidth="1"/>
    <col min="6825" max="6825" width="17.44140625" style="62" bestFit="1" customWidth="1"/>
    <col min="6826" max="6826" width="8.88671875" style="62"/>
    <col min="6827" max="6827" width="10.44140625" style="62" bestFit="1" customWidth="1"/>
    <col min="6828" max="7070" width="8.88671875" style="62"/>
    <col min="7071" max="7071" width="6" style="62" customWidth="1"/>
    <col min="7072" max="7072" width="44.44140625" style="62" customWidth="1"/>
    <col min="7073" max="7073" width="10.5546875" style="62" customWidth="1"/>
    <col min="7074" max="7074" width="11.5546875" style="62" bestFit="1" customWidth="1"/>
    <col min="7075" max="7075" width="12.5546875" style="62" bestFit="1" customWidth="1"/>
    <col min="7076" max="7076" width="17.44140625" style="62" bestFit="1" customWidth="1"/>
    <col min="7077" max="7077" width="10.88671875" style="62" bestFit="1" customWidth="1"/>
    <col min="7078" max="7078" width="13.5546875" style="62" bestFit="1" customWidth="1"/>
    <col min="7079" max="7079" width="11" style="62" bestFit="1" customWidth="1"/>
    <col min="7080" max="7080" width="14.109375" style="62" bestFit="1" customWidth="1"/>
    <col min="7081" max="7081" width="17.44140625" style="62" bestFit="1" customWidth="1"/>
    <col min="7082" max="7082" width="8.88671875" style="62"/>
    <col min="7083" max="7083" width="10.44140625" style="62" bestFit="1" customWidth="1"/>
    <col min="7084" max="7326" width="8.88671875" style="62"/>
    <col min="7327" max="7327" width="6" style="62" customWidth="1"/>
    <col min="7328" max="7328" width="44.44140625" style="62" customWidth="1"/>
    <col min="7329" max="7329" width="10.5546875" style="62" customWidth="1"/>
    <col min="7330" max="7330" width="11.5546875" style="62" bestFit="1" customWidth="1"/>
    <col min="7331" max="7331" width="12.5546875" style="62" bestFit="1" customWidth="1"/>
    <col min="7332" max="7332" width="17.44140625" style="62" bestFit="1" customWidth="1"/>
    <col min="7333" max="7333" width="10.88671875" style="62" bestFit="1" customWidth="1"/>
    <col min="7334" max="7334" width="13.5546875" style="62" bestFit="1" customWidth="1"/>
    <col min="7335" max="7335" width="11" style="62" bestFit="1" customWidth="1"/>
    <col min="7336" max="7336" width="14.109375" style="62" bestFit="1" customWidth="1"/>
    <col min="7337" max="7337" width="17.44140625" style="62" bestFit="1" customWidth="1"/>
    <col min="7338" max="7338" width="8.88671875" style="62"/>
    <col min="7339" max="7339" width="10.44140625" style="62" bestFit="1" customWidth="1"/>
    <col min="7340" max="7582" width="8.88671875" style="62"/>
    <col min="7583" max="7583" width="6" style="62" customWidth="1"/>
    <col min="7584" max="7584" width="44.44140625" style="62" customWidth="1"/>
    <col min="7585" max="7585" width="10.5546875" style="62" customWidth="1"/>
    <col min="7586" max="7586" width="11.5546875" style="62" bestFit="1" customWidth="1"/>
    <col min="7587" max="7587" width="12.5546875" style="62" bestFit="1" customWidth="1"/>
    <col min="7588" max="7588" width="17.44140625" style="62" bestFit="1" customWidth="1"/>
    <col min="7589" max="7589" width="10.88671875" style="62" bestFit="1" customWidth="1"/>
    <col min="7590" max="7590" width="13.5546875" style="62" bestFit="1" customWidth="1"/>
    <col min="7591" max="7591" width="11" style="62" bestFit="1" customWidth="1"/>
    <col min="7592" max="7592" width="14.109375" style="62" bestFit="1" customWidth="1"/>
    <col min="7593" max="7593" width="17.44140625" style="62" bestFit="1" customWidth="1"/>
    <col min="7594" max="7594" width="8.88671875" style="62"/>
    <col min="7595" max="7595" width="10.44140625" style="62" bestFit="1" customWidth="1"/>
    <col min="7596" max="7838" width="8.88671875" style="62"/>
    <col min="7839" max="7839" width="6" style="62" customWidth="1"/>
    <col min="7840" max="7840" width="44.44140625" style="62" customWidth="1"/>
    <col min="7841" max="7841" width="10.5546875" style="62" customWidth="1"/>
    <col min="7842" max="7842" width="11.5546875" style="62" bestFit="1" customWidth="1"/>
    <col min="7843" max="7843" width="12.5546875" style="62" bestFit="1" customWidth="1"/>
    <col min="7844" max="7844" width="17.44140625" style="62" bestFit="1" customWidth="1"/>
    <col min="7845" max="7845" width="10.88671875" style="62" bestFit="1" customWidth="1"/>
    <col min="7846" max="7846" width="13.5546875" style="62" bestFit="1" customWidth="1"/>
    <col min="7847" max="7847" width="11" style="62" bestFit="1" customWidth="1"/>
    <col min="7848" max="7848" width="14.109375" style="62" bestFit="1" customWidth="1"/>
    <col min="7849" max="7849" width="17.44140625" style="62" bestFit="1" customWidth="1"/>
    <col min="7850" max="7850" width="8.88671875" style="62"/>
    <col min="7851" max="7851" width="10.44140625" style="62" bestFit="1" customWidth="1"/>
    <col min="7852" max="8094" width="8.88671875" style="62"/>
    <col min="8095" max="8095" width="6" style="62" customWidth="1"/>
    <col min="8096" max="8096" width="44.44140625" style="62" customWidth="1"/>
    <col min="8097" max="8097" width="10.5546875" style="62" customWidth="1"/>
    <col min="8098" max="8098" width="11.5546875" style="62" bestFit="1" customWidth="1"/>
    <col min="8099" max="8099" width="12.5546875" style="62" bestFit="1" customWidth="1"/>
    <col min="8100" max="8100" width="17.44140625" style="62" bestFit="1" customWidth="1"/>
    <col min="8101" max="8101" width="10.88671875" style="62" bestFit="1" customWidth="1"/>
    <col min="8102" max="8102" width="13.5546875" style="62" bestFit="1" customWidth="1"/>
    <col min="8103" max="8103" width="11" style="62" bestFit="1" customWidth="1"/>
    <col min="8104" max="8104" width="14.109375" style="62" bestFit="1" customWidth="1"/>
    <col min="8105" max="8105" width="17.44140625" style="62" bestFit="1" customWidth="1"/>
    <col min="8106" max="8106" width="8.88671875" style="62"/>
    <col min="8107" max="8107" width="10.44140625" style="62" bestFit="1" customWidth="1"/>
    <col min="8108" max="8350" width="8.88671875" style="62"/>
    <col min="8351" max="8351" width="6" style="62" customWidth="1"/>
    <col min="8352" max="8352" width="44.44140625" style="62" customWidth="1"/>
    <col min="8353" max="8353" width="10.5546875" style="62" customWidth="1"/>
    <col min="8354" max="8354" width="11.5546875" style="62" bestFit="1" customWidth="1"/>
    <col min="8355" max="8355" width="12.5546875" style="62" bestFit="1" customWidth="1"/>
    <col min="8356" max="8356" width="17.44140625" style="62" bestFit="1" customWidth="1"/>
    <col min="8357" max="8357" width="10.88671875" style="62" bestFit="1" customWidth="1"/>
    <col min="8358" max="8358" width="13.5546875" style="62" bestFit="1" customWidth="1"/>
    <col min="8359" max="8359" width="11" style="62" bestFit="1" customWidth="1"/>
    <col min="8360" max="8360" width="14.109375" style="62" bestFit="1" customWidth="1"/>
    <col min="8361" max="8361" width="17.44140625" style="62" bestFit="1" customWidth="1"/>
    <col min="8362" max="8362" width="8.88671875" style="62"/>
    <col min="8363" max="8363" width="10.44140625" style="62" bestFit="1" customWidth="1"/>
    <col min="8364" max="8606" width="8.88671875" style="62"/>
    <col min="8607" max="8607" width="6" style="62" customWidth="1"/>
    <col min="8608" max="8608" width="44.44140625" style="62" customWidth="1"/>
    <col min="8609" max="8609" width="10.5546875" style="62" customWidth="1"/>
    <col min="8610" max="8610" width="11.5546875" style="62" bestFit="1" customWidth="1"/>
    <col min="8611" max="8611" width="12.5546875" style="62" bestFit="1" customWidth="1"/>
    <col min="8612" max="8612" width="17.44140625" style="62" bestFit="1" customWidth="1"/>
    <col min="8613" max="8613" width="10.88671875" style="62" bestFit="1" customWidth="1"/>
    <col min="8614" max="8614" width="13.5546875" style="62" bestFit="1" customWidth="1"/>
    <col min="8615" max="8615" width="11" style="62" bestFit="1" customWidth="1"/>
    <col min="8616" max="8616" width="14.109375" style="62" bestFit="1" customWidth="1"/>
    <col min="8617" max="8617" width="17.44140625" style="62" bestFit="1" customWidth="1"/>
    <col min="8618" max="8618" width="8.88671875" style="62"/>
    <col min="8619" max="8619" width="10.44140625" style="62" bestFit="1" customWidth="1"/>
    <col min="8620" max="8862" width="8.88671875" style="62"/>
    <col min="8863" max="8863" width="6" style="62" customWidth="1"/>
    <col min="8864" max="8864" width="44.44140625" style="62" customWidth="1"/>
    <col min="8865" max="8865" width="10.5546875" style="62" customWidth="1"/>
    <col min="8866" max="8866" width="11.5546875" style="62" bestFit="1" customWidth="1"/>
    <col min="8867" max="8867" width="12.5546875" style="62" bestFit="1" customWidth="1"/>
    <col min="8868" max="8868" width="17.44140625" style="62" bestFit="1" customWidth="1"/>
    <col min="8869" max="8869" width="10.88671875" style="62" bestFit="1" customWidth="1"/>
    <col min="8870" max="8870" width="13.5546875" style="62" bestFit="1" customWidth="1"/>
    <col min="8871" max="8871" width="11" style="62" bestFit="1" customWidth="1"/>
    <col min="8872" max="8872" width="14.109375" style="62" bestFit="1" customWidth="1"/>
    <col min="8873" max="8873" width="17.44140625" style="62" bestFit="1" customWidth="1"/>
    <col min="8874" max="8874" width="8.88671875" style="62"/>
    <col min="8875" max="8875" width="10.44140625" style="62" bestFit="1" customWidth="1"/>
    <col min="8876" max="9118" width="8.88671875" style="62"/>
    <col min="9119" max="9119" width="6" style="62" customWidth="1"/>
    <col min="9120" max="9120" width="44.44140625" style="62" customWidth="1"/>
    <col min="9121" max="9121" width="10.5546875" style="62" customWidth="1"/>
    <col min="9122" max="9122" width="11.5546875" style="62" bestFit="1" customWidth="1"/>
    <col min="9123" max="9123" width="12.5546875" style="62" bestFit="1" customWidth="1"/>
    <col min="9124" max="9124" width="17.44140625" style="62" bestFit="1" customWidth="1"/>
    <col min="9125" max="9125" width="10.88671875" style="62" bestFit="1" customWidth="1"/>
    <col min="9126" max="9126" width="13.5546875" style="62" bestFit="1" customWidth="1"/>
    <col min="9127" max="9127" width="11" style="62" bestFit="1" customWidth="1"/>
    <col min="9128" max="9128" width="14.109375" style="62" bestFit="1" customWidth="1"/>
    <col min="9129" max="9129" width="17.44140625" style="62" bestFit="1" customWidth="1"/>
    <col min="9130" max="9130" width="8.88671875" style="62"/>
    <col min="9131" max="9131" width="10.44140625" style="62" bestFit="1" customWidth="1"/>
    <col min="9132" max="9374" width="8.88671875" style="62"/>
    <col min="9375" max="9375" width="6" style="62" customWidth="1"/>
    <col min="9376" max="9376" width="44.44140625" style="62" customWidth="1"/>
    <col min="9377" max="9377" width="10.5546875" style="62" customWidth="1"/>
    <col min="9378" max="9378" width="11.5546875" style="62" bestFit="1" customWidth="1"/>
    <col min="9379" max="9379" width="12.5546875" style="62" bestFit="1" customWidth="1"/>
    <col min="9380" max="9380" width="17.44140625" style="62" bestFit="1" customWidth="1"/>
    <col min="9381" max="9381" width="10.88671875" style="62" bestFit="1" customWidth="1"/>
    <col min="9382" max="9382" width="13.5546875" style="62" bestFit="1" customWidth="1"/>
    <col min="9383" max="9383" width="11" style="62" bestFit="1" customWidth="1"/>
    <col min="9384" max="9384" width="14.109375" style="62" bestFit="1" customWidth="1"/>
    <col min="9385" max="9385" width="17.44140625" style="62" bestFit="1" customWidth="1"/>
    <col min="9386" max="9386" width="8.88671875" style="62"/>
    <col min="9387" max="9387" width="10.44140625" style="62" bestFit="1" customWidth="1"/>
    <col min="9388" max="9630" width="8.88671875" style="62"/>
    <col min="9631" max="9631" width="6" style="62" customWidth="1"/>
    <col min="9632" max="9632" width="44.44140625" style="62" customWidth="1"/>
    <col min="9633" max="9633" width="10.5546875" style="62" customWidth="1"/>
    <col min="9634" max="9634" width="11.5546875" style="62" bestFit="1" customWidth="1"/>
    <col min="9635" max="9635" width="12.5546875" style="62" bestFit="1" customWidth="1"/>
    <col min="9636" max="9636" width="17.44140625" style="62" bestFit="1" customWidth="1"/>
    <col min="9637" max="9637" width="10.88671875" style="62" bestFit="1" customWidth="1"/>
    <col min="9638" max="9638" width="13.5546875" style="62" bestFit="1" customWidth="1"/>
    <col min="9639" max="9639" width="11" style="62" bestFit="1" customWidth="1"/>
    <col min="9640" max="9640" width="14.109375" style="62" bestFit="1" customWidth="1"/>
    <col min="9641" max="9641" width="17.44140625" style="62" bestFit="1" customWidth="1"/>
    <col min="9642" max="9642" width="8.88671875" style="62"/>
    <col min="9643" max="9643" width="10.44140625" style="62" bestFit="1" customWidth="1"/>
    <col min="9644" max="9886" width="8.88671875" style="62"/>
    <col min="9887" max="9887" width="6" style="62" customWidth="1"/>
    <col min="9888" max="9888" width="44.44140625" style="62" customWidth="1"/>
    <col min="9889" max="9889" width="10.5546875" style="62" customWidth="1"/>
    <col min="9890" max="9890" width="11.5546875" style="62" bestFit="1" customWidth="1"/>
    <col min="9891" max="9891" width="12.5546875" style="62" bestFit="1" customWidth="1"/>
    <col min="9892" max="9892" width="17.44140625" style="62" bestFit="1" customWidth="1"/>
    <col min="9893" max="9893" width="10.88671875" style="62" bestFit="1" customWidth="1"/>
    <col min="9894" max="9894" width="13.5546875" style="62" bestFit="1" customWidth="1"/>
    <col min="9895" max="9895" width="11" style="62" bestFit="1" customWidth="1"/>
    <col min="9896" max="9896" width="14.109375" style="62" bestFit="1" customWidth="1"/>
    <col min="9897" max="9897" width="17.44140625" style="62" bestFit="1" customWidth="1"/>
    <col min="9898" max="9898" width="8.88671875" style="62"/>
    <col min="9899" max="9899" width="10.44140625" style="62" bestFit="1" customWidth="1"/>
    <col min="9900" max="10142" width="8.88671875" style="62"/>
    <col min="10143" max="10143" width="6" style="62" customWidth="1"/>
    <col min="10144" max="10144" width="44.44140625" style="62" customWidth="1"/>
    <col min="10145" max="10145" width="10.5546875" style="62" customWidth="1"/>
    <col min="10146" max="10146" width="11.5546875" style="62" bestFit="1" customWidth="1"/>
    <col min="10147" max="10147" width="12.5546875" style="62" bestFit="1" customWidth="1"/>
    <col min="10148" max="10148" width="17.44140625" style="62" bestFit="1" customWidth="1"/>
    <col min="10149" max="10149" width="10.88671875" style="62" bestFit="1" customWidth="1"/>
    <col min="10150" max="10150" width="13.5546875" style="62" bestFit="1" customWidth="1"/>
    <col min="10151" max="10151" width="11" style="62" bestFit="1" customWidth="1"/>
    <col min="10152" max="10152" width="14.109375" style="62" bestFit="1" customWidth="1"/>
    <col min="10153" max="10153" width="17.44140625" style="62" bestFit="1" customWidth="1"/>
    <col min="10154" max="10154" width="8.88671875" style="62"/>
    <col min="10155" max="10155" width="10.44140625" style="62" bestFit="1" customWidth="1"/>
    <col min="10156" max="10398" width="8.88671875" style="62"/>
    <col min="10399" max="10399" width="6" style="62" customWidth="1"/>
    <col min="10400" max="10400" width="44.44140625" style="62" customWidth="1"/>
    <col min="10401" max="10401" width="10.5546875" style="62" customWidth="1"/>
    <col min="10402" max="10402" width="11.5546875" style="62" bestFit="1" customWidth="1"/>
    <col min="10403" max="10403" width="12.5546875" style="62" bestFit="1" customWidth="1"/>
    <col min="10404" max="10404" width="17.44140625" style="62" bestFit="1" customWidth="1"/>
    <col min="10405" max="10405" width="10.88671875" style="62" bestFit="1" customWidth="1"/>
    <col min="10406" max="10406" width="13.5546875" style="62" bestFit="1" customWidth="1"/>
    <col min="10407" max="10407" width="11" style="62" bestFit="1" customWidth="1"/>
    <col min="10408" max="10408" width="14.109375" style="62" bestFit="1" customWidth="1"/>
    <col min="10409" max="10409" width="17.44140625" style="62" bestFit="1" customWidth="1"/>
    <col min="10410" max="10410" width="8.88671875" style="62"/>
    <col min="10411" max="10411" width="10.44140625" style="62" bestFit="1" customWidth="1"/>
    <col min="10412" max="10654" width="8.88671875" style="62"/>
    <col min="10655" max="10655" width="6" style="62" customWidth="1"/>
    <col min="10656" max="10656" width="44.44140625" style="62" customWidth="1"/>
    <col min="10657" max="10657" width="10.5546875" style="62" customWidth="1"/>
    <col min="10658" max="10658" width="11.5546875" style="62" bestFit="1" customWidth="1"/>
    <col min="10659" max="10659" width="12.5546875" style="62" bestFit="1" customWidth="1"/>
    <col min="10660" max="10660" width="17.44140625" style="62" bestFit="1" customWidth="1"/>
    <col min="10661" max="10661" width="10.88671875" style="62" bestFit="1" customWidth="1"/>
    <col min="10662" max="10662" width="13.5546875" style="62" bestFit="1" customWidth="1"/>
    <col min="10663" max="10663" width="11" style="62" bestFit="1" customWidth="1"/>
    <col min="10664" max="10664" width="14.109375" style="62" bestFit="1" customWidth="1"/>
    <col min="10665" max="10665" width="17.44140625" style="62" bestFit="1" customWidth="1"/>
    <col min="10666" max="10666" width="8.88671875" style="62"/>
    <col min="10667" max="10667" width="10.44140625" style="62" bestFit="1" customWidth="1"/>
    <col min="10668" max="10910" width="8.88671875" style="62"/>
    <col min="10911" max="10911" width="6" style="62" customWidth="1"/>
    <col min="10912" max="10912" width="44.44140625" style="62" customWidth="1"/>
    <col min="10913" max="10913" width="10.5546875" style="62" customWidth="1"/>
    <col min="10914" max="10914" width="11.5546875" style="62" bestFit="1" customWidth="1"/>
    <col min="10915" max="10915" width="12.5546875" style="62" bestFit="1" customWidth="1"/>
    <col min="10916" max="10916" width="17.44140625" style="62" bestFit="1" customWidth="1"/>
    <col min="10917" max="10917" width="10.88671875" style="62" bestFit="1" customWidth="1"/>
    <col min="10918" max="10918" width="13.5546875" style="62" bestFit="1" customWidth="1"/>
    <col min="10919" max="10919" width="11" style="62" bestFit="1" customWidth="1"/>
    <col min="10920" max="10920" width="14.109375" style="62" bestFit="1" customWidth="1"/>
    <col min="10921" max="10921" width="17.44140625" style="62" bestFit="1" customWidth="1"/>
    <col min="10922" max="10922" width="8.88671875" style="62"/>
    <col min="10923" max="10923" width="10.44140625" style="62" bestFit="1" customWidth="1"/>
    <col min="10924" max="11166" width="8.88671875" style="62"/>
    <col min="11167" max="11167" width="6" style="62" customWidth="1"/>
    <col min="11168" max="11168" width="44.44140625" style="62" customWidth="1"/>
    <col min="11169" max="11169" width="10.5546875" style="62" customWidth="1"/>
    <col min="11170" max="11170" width="11.5546875" style="62" bestFit="1" customWidth="1"/>
    <col min="11171" max="11171" width="12.5546875" style="62" bestFit="1" customWidth="1"/>
    <col min="11172" max="11172" width="17.44140625" style="62" bestFit="1" customWidth="1"/>
    <col min="11173" max="11173" width="10.88671875" style="62" bestFit="1" customWidth="1"/>
    <col min="11174" max="11174" width="13.5546875" style="62" bestFit="1" customWidth="1"/>
    <col min="11175" max="11175" width="11" style="62" bestFit="1" customWidth="1"/>
    <col min="11176" max="11176" width="14.109375" style="62" bestFit="1" customWidth="1"/>
    <col min="11177" max="11177" width="17.44140625" style="62" bestFit="1" customWidth="1"/>
    <col min="11178" max="11178" width="8.88671875" style="62"/>
    <col min="11179" max="11179" width="10.44140625" style="62" bestFit="1" customWidth="1"/>
    <col min="11180" max="11422" width="8.88671875" style="62"/>
    <col min="11423" max="11423" width="6" style="62" customWidth="1"/>
    <col min="11424" max="11424" width="44.44140625" style="62" customWidth="1"/>
    <col min="11425" max="11425" width="10.5546875" style="62" customWidth="1"/>
    <col min="11426" max="11426" width="11.5546875" style="62" bestFit="1" customWidth="1"/>
    <col min="11427" max="11427" width="12.5546875" style="62" bestFit="1" customWidth="1"/>
    <col min="11428" max="11428" width="17.44140625" style="62" bestFit="1" customWidth="1"/>
    <col min="11429" max="11429" width="10.88671875" style="62" bestFit="1" customWidth="1"/>
    <col min="11430" max="11430" width="13.5546875" style="62" bestFit="1" customWidth="1"/>
    <col min="11431" max="11431" width="11" style="62" bestFit="1" customWidth="1"/>
    <col min="11432" max="11432" width="14.109375" style="62" bestFit="1" customWidth="1"/>
    <col min="11433" max="11433" width="17.44140625" style="62" bestFit="1" customWidth="1"/>
    <col min="11434" max="11434" width="8.88671875" style="62"/>
    <col min="11435" max="11435" width="10.44140625" style="62" bestFit="1" customWidth="1"/>
    <col min="11436" max="11678" width="8.88671875" style="62"/>
    <col min="11679" max="11679" width="6" style="62" customWidth="1"/>
    <col min="11680" max="11680" width="44.44140625" style="62" customWidth="1"/>
    <col min="11681" max="11681" width="10.5546875" style="62" customWidth="1"/>
    <col min="11682" max="11682" width="11.5546875" style="62" bestFit="1" customWidth="1"/>
    <col min="11683" max="11683" width="12.5546875" style="62" bestFit="1" customWidth="1"/>
    <col min="11684" max="11684" width="17.44140625" style="62" bestFit="1" customWidth="1"/>
    <col min="11685" max="11685" width="10.88671875" style="62" bestFit="1" customWidth="1"/>
    <col min="11686" max="11686" width="13.5546875" style="62" bestFit="1" customWidth="1"/>
    <col min="11687" max="11687" width="11" style="62" bestFit="1" customWidth="1"/>
    <col min="11688" max="11688" width="14.109375" style="62" bestFit="1" customWidth="1"/>
    <col min="11689" max="11689" width="17.44140625" style="62" bestFit="1" customWidth="1"/>
    <col min="11690" max="11690" width="8.88671875" style="62"/>
    <col min="11691" max="11691" width="10.44140625" style="62" bestFit="1" customWidth="1"/>
    <col min="11692" max="11934" width="8.88671875" style="62"/>
    <col min="11935" max="11935" width="6" style="62" customWidth="1"/>
    <col min="11936" max="11936" width="44.44140625" style="62" customWidth="1"/>
    <col min="11937" max="11937" width="10.5546875" style="62" customWidth="1"/>
    <col min="11938" max="11938" width="11.5546875" style="62" bestFit="1" customWidth="1"/>
    <col min="11939" max="11939" width="12.5546875" style="62" bestFit="1" customWidth="1"/>
    <col min="11940" max="11940" width="17.44140625" style="62" bestFit="1" customWidth="1"/>
    <col min="11941" max="11941" width="10.88671875" style="62" bestFit="1" customWidth="1"/>
    <col min="11942" max="11942" width="13.5546875" style="62" bestFit="1" customWidth="1"/>
    <col min="11943" max="11943" width="11" style="62" bestFit="1" customWidth="1"/>
    <col min="11944" max="11944" width="14.109375" style="62" bestFit="1" customWidth="1"/>
    <col min="11945" max="11945" width="17.44140625" style="62" bestFit="1" customWidth="1"/>
    <col min="11946" max="11946" width="8.88671875" style="62"/>
    <col min="11947" max="11947" width="10.44140625" style="62" bestFit="1" customWidth="1"/>
    <col min="11948" max="12190" width="8.88671875" style="62"/>
    <col min="12191" max="12191" width="6" style="62" customWidth="1"/>
    <col min="12192" max="12192" width="44.44140625" style="62" customWidth="1"/>
    <col min="12193" max="12193" width="10.5546875" style="62" customWidth="1"/>
    <col min="12194" max="12194" width="11.5546875" style="62" bestFit="1" customWidth="1"/>
    <col min="12195" max="12195" width="12.5546875" style="62" bestFit="1" customWidth="1"/>
    <col min="12196" max="12196" width="17.44140625" style="62" bestFit="1" customWidth="1"/>
    <col min="12197" max="12197" width="10.88671875" style="62" bestFit="1" customWidth="1"/>
    <col min="12198" max="12198" width="13.5546875" style="62" bestFit="1" customWidth="1"/>
    <col min="12199" max="12199" width="11" style="62" bestFit="1" customWidth="1"/>
    <col min="12200" max="12200" width="14.109375" style="62" bestFit="1" customWidth="1"/>
    <col min="12201" max="12201" width="17.44140625" style="62" bestFit="1" customWidth="1"/>
    <col min="12202" max="12202" width="8.88671875" style="62"/>
    <col min="12203" max="12203" width="10.44140625" style="62" bestFit="1" customWidth="1"/>
    <col min="12204" max="12446" width="8.88671875" style="62"/>
    <col min="12447" max="12447" width="6" style="62" customWidth="1"/>
    <col min="12448" max="12448" width="44.44140625" style="62" customWidth="1"/>
    <col min="12449" max="12449" width="10.5546875" style="62" customWidth="1"/>
    <col min="12450" max="12450" width="11.5546875" style="62" bestFit="1" customWidth="1"/>
    <col min="12451" max="12451" width="12.5546875" style="62" bestFit="1" customWidth="1"/>
    <col min="12452" max="12452" width="17.44140625" style="62" bestFit="1" customWidth="1"/>
    <col min="12453" max="12453" width="10.88671875" style="62" bestFit="1" customWidth="1"/>
    <col min="12454" max="12454" width="13.5546875" style="62" bestFit="1" customWidth="1"/>
    <col min="12455" max="12455" width="11" style="62" bestFit="1" customWidth="1"/>
    <col min="12456" max="12456" width="14.109375" style="62" bestFit="1" customWidth="1"/>
    <col min="12457" max="12457" width="17.44140625" style="62" bestFit="1" customWidth="1"/>
    <col min="12458" max="12458" width="8.88671875" style="62"/>
    <col min="12459" max="12459" width="10.44140625" style="62" bestFit="1" customWidth="1"/>
    <col min="12460" max="12702" width="8.88671875" style="62"/>
    <col min="12703" max="12703" width="6" style="62" customWidth="1"/>
    <col min="12704" max="12704" width="44.44140625" style="62" customWidth="1"/>
    <col min="12705" max="12705" width="10.5546875" style="62" customWidth="1"/>
    <col min="12706" max="12706" width="11.5546875" style="62" bestFit="1" customWidth="1"/>
    <col min="12707" max="12707" width="12.5546875" style="62" bestFit="1" customWidth="1"/>
    <col min="12708" max="12708" width="17.44140625" style="62" bestFit="1" customWidth="1"/>
    <col min="12709" max="12709" width="10.88671875" style="62" bestFit="1" customWidth="1"/>
    <col min="12710" max="12710" width="13.5546875" style="62" bestFit="1" customWidth="1"/>
    <col min="12711" max="12711" width="11" style="62" bestFit="1" customWidth="1"/>
    <col min="12712" max="12712" width="14.109375" style="62" bestFit="1" customWidth="1"/>
    <col min="12713" max="12713" width="17.44140625" style="62" bestFit="1" customWidth="1"/>
    <col min="12714" max="12714" width="8.88671875" style="62"/>
    <col min="12715" max="12715" width="10.44140625" style="62" bestFit="1" customWidth="1"/>
    <col min="12716" max="12958" width="8.88671875" style="62"/>
    <col min="12959" max="12959" width="6" style="62" customWidth="1"/>
    <col min="12960" max="12960" width="44.44140625" style="62" customWidth="1"/>
    <col min="12961" max="12961" width="10.5546875" style="62" customWidth="1"/>
    <col min="12962" max="12962" width="11.5546875" style="62" bestFit="1" customWidth="1"/>
    <col min="12963" max="12963" width="12.5546875" style="62" bestFit="1" customWidth="1"/>
    <col min="12964" max="12964" width="17.44140625" style="62" bestFit="1" customWidth="1"/>
    <col min="12965" max="12965" width="10.88671875" style="62" bestFit="1" customWidth="1"/>
    <col min="12966" max="12966" width="13.5546875" style="62" bestFit="1" customWidth="1"/>
    <col min="12967" max="12967" width="11" style="62" bestFit="1" customWidth="1"/>
    <col min="12968" max="12968" width="14.109375" style="62" bestFit="1" customWidth="1"/>
    <col min="12969" max="12969" width="17.44140625" style="62" bestFit="1" customWidth="1"/>
    <col min="12970" max="12970" width="8.88671875" style="62"/>
    <col min="12971" max="12971" width="10.44140625" style="62" bestFit="1" customWidth="1"/>
    <col min="12972" max="13214" width="8.88671875" style="62"/>
    <col min="13215" max="13215" width="6" style="62" customWidth="1"/>
    <col min="13216" max="13216" width="44.44140625" style="62" customWidth="1"/>
    <col min="13217" max="13217" width="10.5546875" style="62" customWidth="1"/>
    <col min="13218" max="13218" width="11.5546875" style="62" bestFit="1" customWidth="1"/>
    <col min="13219" max="13219" width="12.5546875" style="62" bestFit="1" customWidth="1"/>
    <col min="13220" max="13220" width="17.44140625" style="62" bestFit="1" customWidth="1"/>
    <col min="13221" max="13221" width="10.88671875" style="62" bestFit="1" customWidth="1"/>
    <col min="13222" max="13222" width="13.5546875" style="62" bestFit="1" customWidth="1"/>
    <col min="13223" max="13223" width="11" style="62" bestFit="1" customWidth="1"/>
    <col min="13224" max="13224" width="14.109375" style="62" bestFit="1" customWidth="1"/>
    <col min="13225" max="13225" width="17.44140625" style="62" bestFit="1" customWidth="1"/>
    <col min="13226" max="13226" width="8.88671875" style="62"/>
    <col min="13227" max="13227" width="10.44140625" style="62" bestFit="1" customWidth="1"/>
    <col min="13228" max="13470" width="8.88671875" style="62"/>
    <col min="13471" max="13471" width="6" style="62" customWidth="1"/>
    <col min="13472" max="13472" width="44.44140625" style="62" customWidth="1"/>
    <col min="13473" max="13473" width="10.5546875" style="62" customWidth="1"/>
    <col min="13474" max="13474" width="11.5546875" style="62" bestFit="1" customWidth="1"/>
    <col min="13475" max="13475" width="12.5546875" style="62" bestFit="1" customWidth="1"/>
    <col min="13476" max="13476" width="17.44140625" style="62" bestFit="1" customWidth="1"/>
    <col min="13477" max="13477" width="10.88671875" style="62" bestFit="1" customWidth="1"/>
    <col min="13478" max="13478" width="13.5546875" style="62" bestFit="1" customWidth="1"/>
    <col min="13479" max="13479" width="11" style="62" bestFit="1" customWidth="1"/>
    <col min="13480" max="13480" width="14.109375" style="62" bestFit="1" customWidth="1"/>
    <col min="13481" max="13481" width="17.44140625" style="62" bestFit="1" customWidth="1"/>
    <col min="13482" max="13482" width="8.88671875" style="62"/>
    <col min="13483" max="13483" width="10.44140625" style="62" bestFit="1" customWidth="1"/>
    <col min="13484" max="13726" width="8.88671875" style="62"/>
    <col min="13727" max="13727" width="6" style="62" customWidth="1"/>
    <col min="13728" max="13728" width="44.44140625" style="62" customWidth="1"/>
    <col min="13729" max="13729" width="10.5546875" style="62" customWidth="1"/>
    <col min="13730" max="13730" width="11.5546875" style="62" bestFit="1" customWidth="1"/>
    <col min="13731" max="13731" width="12.5546875" style="62" bestFit="1" customWidth="1"/>
    <col min="13732" max="13732" width="17.44140625" style="62" bestFit="1" customWidth="1"/>
    <col min="13733" max="13733" width="10.88671875" style="62" bestFit="1" customWidth="1"/>
    <col min="13734" max="13734" width="13.5546875" style="62" bestFit="1" customWidth="1"/>
    <col min="13735" max="13735" width="11" style="62" bestFit="1" customWidth="1"/>
    <col min="13736" max="13736" width="14.109375" style="62" bestFit="1" customWidth="1"/>
    <col min="13737" max="13737" width="17.44140625" style="62" bestFit="1" customWidth="1"/>
    <col min="13738" max="13738" width="8.88671875" style="62"/>
    <col min="13739" max="13739" width="10.44140625" style="62" bestFit="1" customWidth="1"/>
    <col min="13740" max="13982" width="8.88671875" style="62"/>
    <col min="13983" max="13983" width="6" style="62" customWidth="1"/>
    <col min="13984" max="13984" width="44.44140625" style="62" customWidth="1"/>
    <col min="13985" max="13985" width="10.5546875" style="62" customWidth="1"/>
    <col min="13986" max="13986" width="11.5546875" style="62" bestFit="1" customWidth="1"/>
    <col min="13987" max="13987" width="12.5546875" style="62" bestFit="1" customWidth="1"/>
    <col min="13988" max="13988" width="17.44140625" style="62" bestFit="1" customWidth="1"/>
    <col min="13989" max="13989" width="10.88671875" style="62" bestFit="1" customWidth="1"/>
    <col min="13990" max="13990" width="13.5546875" style="62" bestFit="1" customWidth="1"/>
    <col min="13991" max="13991" width="11" style="62" bestFit="1" customWidth="1"/>
    <col min="13992" max="13992" width="14.109375" style="62" bestFit="1" customWidth="1"/>
    <col min="13993" max="13993" width="17.44140625" style="62" bestFit="1" customWidth="1"/>
    <col min="13994" max="13994" width="8.88671875" style="62"/>
    <col min="13995" max="13995" width="10.44140625" style="62" bestFit="1" customWidth="1"/>
    <col min="13996" max="14238" width="8.88671875" style="62"/>
    <col min="14239" max="14239" width="6" style="62" customWidth="1"/>
    <col min="14240" max="14240" width="44.44140625" style="62" customWidth="1"/>
    <col min="14241" max="14241" width="10.5546875" style="62" customWidth="1"/>
    <col min="14242" max="14242" width="11.5546875" style="62" bestFit="1" customWidth="1"/>
    <col min="14243" max="14243" width="12.5546875" style="62" bestFit="1" customWidth="1"/>
    <col min="14244" max="14244" width="17.44140625" style="62" bestFit="1" customWidth="1"/>
    <col min="14245" max="14245" width="10.88671875" style="62" bestFit="1" customWidth="1"/>
    <col min="14246" max="14246" width="13.5546875" style="62" bestFit="1" customWidth="1"/>
    <col min="14247" max="14247" width="11" style="62" bestFit="1" customWidth="1"/>
    <col min="14248" max="14248" width="14.109375" style="62" bestFit="1" customWidth="1"/>
    <col min="14249" max="14249" width="17.44140625" style="62" bestFit="1" customWidth="1"/>
    <col min="14250" max="14250" width="8.88671875" style="62"/>
    <col min="14251" max="14251" width="10.44140625" style="62" bestFit="1" customWidth="1"/>
    <col min="14252" max="14494" width="8.88671875" style="62"/>
    <col min="14495" max="14495" width="6" style="62" customWidth="1"/>
    <col min="14496" max="14496" width="44.44140625" style="62" customWidth="1"/>
    <col min="14497" max="14497" width="10.5546875" style="62" customWidth="1"/>
    <col min="14498" max="14498" width="11.5546875" style="62" bestFit="1" customWidth="1"/>
    <col min="14499" max="14499" width="12.5546875" style="62" bestFit="1" customWidth="1"/>
    <col min="14500" max="14500" width="17.44140625" style="62" bestFit="1" customWidth="1"/>
    <col min="14501" max="14501" width="10.88671875" style="62" bestFit="1" customWidth="1"/>
    <col min="14502" max="14502" width="13.5546875" style="62" bestFit="1" customWidth="1"/>
    <col min="14503" max="14503" width="11" style="62" bestFit="1" customWidth="1"/>
    <col min="14504" max="14504" width="14.109375" style="62" bestFit="1" customWidth="1"/>
    <col min="14505" max="14505" width="17.44140625" style="62" bestFit="1" customWidth="1"/>
    <col min="14506" max="14506" width="8.88671875" style="62"/>
    <col min="14507" max="14507" width="10.44140625" style="62" bestFit="1" customWidth="1"/>
    <col min="14508" max="14750" width="8.88671875" style="62"/>
    <col min="14751" max="14751" width="6" style="62" customWidth="1"/>
    <col min="14752" max="14752" width="44.44140625" style="62" customWidth="1"/>
    <col min="14753" max="14753" width="10.5546875" style="62" customWidth="1"/>
    <col min="14754" max="14754" width="11.5546875" style="62" bestFit="1" customWidth="1"/>
    <col min="14755" max="14755" width="12.5546875" style="62" bestFit="1" customWidth="1"/>
    <col min="14756" max="14756" width="17.44140625" style="62" bestFit="1" customWidth="1"/>
    <col min="14757" max="14757" width="10.88671875" style="62" bestFit="1" customWidth="1"/>
    <col min="14758" max="14758" width="13.5546875" style="62" bestFit="1" customWidth="1"/>
    <col min="14759" max="14759" width="11" style="62" bestFit="1" customWidth="1"/>
    <col min="14760" max="14760" width="14.109375" style="62" bestFit="1" customWidth="1"/>
    <col min="14761" max="14761" width="17.44140625" style="62" bestFit="1" customWidth="1"/>
    <col min="14762" max="14762" width="8.88671875" style="62"/>
    <col min="14763" max="14763" width="10.44140625" style="62" bestFit="1" customWidth="1"/>
    <col min="14764" max="15006" width="8.88671875" style="62"/>
    <col min="15007" max="15007" width="6" style="62" customWidth="1"/>
    <col min="15008" max="15008" width="44.44140625" style="62" customWidth="1"/>
    <col min="15009" max="15009" width="10.5546875" style="62" customWidth="1"/>
    <col min="15010" max="15010" width="11.5546875" style="62" bestFit="1" customWidth="1"/>
    <col min="15011" max="15011" width="12.5546875" style="62" bestFit="1" customWidth="1"/>
    <col min="15012" max="15012" width="17.44140625" style="62" bestFit="1" customWidth="1"/>
    <col min="15013" max="15013" width="10.88671875" style="62" bestFit="1" customWidth="1"/>
    <col min="15014" max="15014" width="13.5546875" style="62" bestFit="1" customWidth="1"/>
    <col min="15015" max="15015" width="11" style="62" bestFit="1" customWidth="1"/>
    <col min="15016" max="15016" width="14.109375" style="62" bestFit="1" customWidth="1"/>
    <col min="15017" max="15017" width="17.44140625" style="62" bestFit="1" customWidth="1"/>
    <col min="15018" max="15018" width="8.88671875" style="62"/>
    <col min="15019" max="15019" width="10.44140625" style="62" bestFit="1" customWidth="1"/>
    <col min="15020" max="15262" width="8.88671875" style="62"/>
    <col min="15263" max="15263" width="6" style="62" customWidth="1"/>
    <col min="15264" max="15264" width="44.44140625" style="62" customWidth="1"/>
    <col min="15265" max="15265" width="10.5546875" style="62" customWidth="1"/>
    <col min="15266" max="15266" width="11.5546875" style="62" bestFit="1" customWidth="1"/>
    <col min="15267" max="15267" width="12.5546875" style="62" bestFit="1" customWidth="1"/>
    <col min="15268" max="15268" width="17.44140625" style="62" bestFit="1" customWidth="1"/>
    <col min="15269" max="15269" width="10.88671875" style="62" bestFit="1" customWidth="1"/>
    <col min="15270" max="15270" width="13.5546875" style="62" bestFit="1" customWidth="1"/>
    <col min="15271" max="15271" width="11" style="62" bestFit="1" customWidth="1"/>
    <col min="15272" max="15272" width="14.109375" style="62" bestFit="1" customWidth="1"/>
    <col min="15273" max="15273" width="17.44140625" style="62" bestFit="1" customWidth="1"/>
    <col min="15274" max="15274" width="8.88671875" style="62"/>
    <col min="15275" max="15275" width="10.44140625" style="62" bestFit="1" customWidth="1"/>
    <col min="15276" max="15518" width="8.88671875" style="62"/>
    <col min="15519" max="15519" width="6" style="62" customWidth="1"/>
    <col min="15520" max="15520" width="44.44140625" style="62" customWidth="1"/>
    <col min="15521" max="15521" width="10.5546875" style="62" customWidth="1"/>
    <col min="15522" max="15522" width="11.5546875" style="62" bestFit="1" customWidth="1"/>
    <col min="15523" max="15523" width="12.5546875" style="62" bestFit="1" customWidth="1"/>
    <col min="15524" max="15524" width="17.44140625" style="62" bestFit="1" customWidth="1"/>
    <col min="15525" max="15525" width="10.88671875" style="62" bestFit="1" customWidth="1"/>
    <col min="15526" max="15526" width="13.5546875" style="62" bestFit="1" customWidth="1"/>
    <col min="15527" max="15527" width="11" style="62" bestFit="1" customWidth="1"/>
    <col min="15528" max="15528" width="14.109375" style="62" bestFit="1" customWidth="1"/>
    <col min="15529" max="15529" width="17.44140625" style="62" bestFit="1" customWidth="1"/>
    <col min="15530" max="15530" width="8.88671875" style="62"/>
    <col min="15531" max="15531" width="10.44140625" style="62" bestFit="1" customWidth="1"/>
    <col min="15532" max="15774" width="8.88671875" style="62"/>
    <col min="15775" max="15775" width="6" style="62" customWidth="1"/>
    <col min="15776" max="15776" width="44.44140625" style="62" customWidth="1"/>
    <col min="15777" max="15777" width="10.5546875" style="62" customWidth="1"/>
    <col min="15778" max="15778" width="11.5546875" style="62" bestFit="1" customWidth="1"/>
    <col min="15779" max="15779" width="12.5546875" style="62" bestFit="1" customWidth="1"/>
    <col min="15780" max="15780" width="17.44140625" style="62" bestFit="1" customWidth="1"/>
    <col min="15781" max="15781" width="10.88671875" style="62" bestFit="1" customWidth="1"/>
    <col min="15782" max="15782" width="13.5546875" style="62" bestFit="1" customWidth="1"/>
    <col min="15783" max="15783" width="11" style="62" bestFit="1" customWidth="1"/>
    <col min="15784" max="15784" width="14.109375" style="62" bestFit="1" customWidth="1"/>
    <col min="15785" max="15785" width="17.44140625" style="62" bestFit="1" customWidth="1"/>
    <col min="15786" max="15786" width="8.88671875" style="62"/>
    <col min="15787" max="15787" width="10.44140625" style="62" bestFit="1" customWidth="1"/>
    <col min="15788" max="16030" width="8.88671875" style="62"/>
    <col min="16031" max="16031" width="6" style="62" customWidth="1"/>
    <col min="16032" max="16032" width="44.44140625" style="62" customWidth="1"/>
    <col min="16033" max="16033" width="10.5546875" style="62" customWidth="1"/>
    <col min="16034" max="16034" width="11.5546875" style="62" bestFit="1" customWidth="1"/>
    <col min="16035" max="16035" width="12.5546875" style="62" bestFit="1" customWidth="1"/>
    <col min="16036" max="16036" width="17.44140625" style="62" bestFit="1" customWidth="1"/>
    <col min="16037" max="16037" width="10.88671875" style="62" bestFit="1" customWidth="1"/>
    <col min="16038" max="16038" width="13.5546875" style="62" bestFit="1" customWidth="1"/>
    <col min="16039" max="16039" width="11" style="62" bestFit="1" customWidth="1"/>
    <col min="16040" max="16040" width="14.109375" style="62" bestFit="1" customWidth="1"/>
    <col min="16041" max="16041" width="17.44140625" style="62" bestFit="1" customWidth="1"/>
    <col min="16042" max="16042" width="8.88671875" style="62"/>
    <col min="16043" max="16043" width="10.44140625" style="62" bestFit="1" customWidth="1"/>
    <col min="16044" max="16384" width="8.88671875" style="62"/>
  </cols>
  <sheetData>
    <row r="2" spans="2:12" s="1" customFormat="1" ht="14.4" x14ac:dyDescent="0.3">
      <c r="B2" s="107" t="s">
        <v>0</v>
      </c>
      <c r="C2" s="109" t="s">
        <v>1</v>
      </c>
      <c r="D2" s="109" t="s">
        <v>2</v>
      </c>
      <c r="E2" s="109" t="s">
        <v>4</v>
      </c>
      <c r="F2" s="115" t="s">
        <v>5</v>
      </c>
      <c r="G2" s="116"/>
      <c r="H2" s="115" t="s">
        <v>6</v>
      </c>
      <c r="I2" s="116"/>
      <c r="J2" s="105" t="s">
        <v>8</v>
      </c>
      <c r="K2" s="91"/>
    </row>
    <row r="3" spans="2:12" s="1" customFormat="1" ht="14.4" x14ac:dyDescent="0.3">
      <c r="B3" s="113"/>
      <c r="C3" s="114"/>
      <c r="D3" s="114"/>
      <c r="E3" s="114"/>
      <c r="F3" s="2" t="s">
        <v>9</v>
      </c>
      <c r="G3" s="2" t="s">
        <v>10</v>
      </c>
      <c r="H3" s="2" t="s">
        <v>9</v>
      </c>
      <c r="I3" s="2" t="s">
        <v>10</v>
      </c>
      <c r="J3" s="112"/>
      <c r="K3" s="91"/>
    </row>
    <row r="4" spans="2:12" s="3" customFormat="1" ht="14.4" x14ac:dyDescent="0.3">
      <c r="B4" s="4">
        <v>1</v>
      </c>
      <c r="C4" s="4">
        <v>2</v>
      </c>
      <c r="D4" s="4">
        <v>3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4">
        <v>12</v>
      </c>
      <c r="K4" s="46"/>
    </row>
    <row r="5" spans="2:12" s="60" customFormat="1" ht="14.4" x14ac:dyDescent="0.3">
      <c r="B5" s="5"/>
      <c r="C5" s="6" t="s">
        <v>156</v>
      </c>
      <c r="D5" s="6"/>
      <c r="E5" s="6"/>
      <c r="F5" s="8"/>
      <c r="G5" s="9"/>
      <c r="H5" s="10"/>
      <c r="I5" s="9"/>
      <c r="J5" s="10"/>
      <c r="K5" s="46"/>
    </row>
    <row r="6" spans="2:12" s="60" customFormat="1" x14ac:dyDescent="0.3">
      <c r="B6" s="12">
        <v>1</v>
      </c>
      <c r="C6" s="72" t="s">
        <v>247</v>
      </c>
      <c r="D6" s="14" t="s">
        <v>157</v>
      </c>
      <c r="E6" s="73">
        <v>20</v>
      </c>
      <c r="F6" s="17"/>
      <c r="G6" s="16">
        <f>E6*F6</f>
        <v>0</v>
      </c>
      <c r="H6" s="16"/>
      <c r="I6" s="16">
        <f>H6*E6</f>
        <v>0</v>
      </c>
      <c r="J6" s="16">
        <f>I6+G6</f>
        <v>0</v>
      </c>
      <c r="K6" s="92"/>
    </row>
    <row r="7" spans="2:12" s="60" customFormat="1" x14ac:dyDescent="0.3">
      <c r="B7" s="12">
        <v>2</v>
      </c>
      <c r="C7" s="72" t="s">
        <v>248</v>
      </c>
      <c r="D7" s="14" t="s">
        <v>157</v>
      </c>
      <c r="E7" s="73">
        <v>40</v>
      </c>
      <c r="F7" s="17"/>
      <c r="G7" s="16">
        <f>E7*F7</f>
        <v>0</v>
      </c>
      <c r="H7" s="16"/>
      <c r="I7" s="16">
        <f>H7*E7</f>
        <v>0</v>
      </c>
      <c r="J7" s="16">
        <f>I7+G7</f>
        <v>0</v>
      </c>
      <c r="K7" s="92"/>
    </row>
    <row r="8" spans="2:12" s="75" customFormat="1" x14ac:dyDescent="0.3">
      <c r="B8" s="5"/>
      <c r="C8" s="6" t="s">
        <v>158</v>
      </c>
      <c r="D8" s="6"/>
      <c r="E8" s="6">
        <f>E9+E10+E11</f>
        <v>16</v>
      </c>
      <c r="F8" s="8"/>
      <c r="G8" s="9"/>
      <c r="H8" s="10"/>
      <c r="I8" s="9"/>
      <c r="J8" s="10"/>
      <c r="K8" s="92"/>
    </row>
    <row r="9" spans="2:12" s="74" customFormat="1" x14ac:dyDescent="0.3">
      <c r="B9" s="12">
        <v>1</v>
      </c>
      <c r="C9" s="72" t="s">
        <v>159</v>
      </c>
      <c r="D9" s="14" t="s">
        <v>58</v>
      </c>
      <c r="E9" s="73">
        <v>4</v>
      </c>
      <c r="F9" s="16"/>
      <c r="G9" s="16">
        <f>E9*F9</f>
        <v>0</v>
      </c>
      <c r="H9" s="16"/>
      <c r="I9" s="16">
        <f>H9*E9</f>
        <v>0</v>
      </c>
      <c r="J9" s="16">
        <f>I9+G9</f>
        <v>0</v>
      </c>
      <c r="K9" s="92"/>
    </row>
    <row r="10" spans="2:12" s="74" customFormat="1" x14ac:dyDescent="0.3">
      <c r="B10" s="12">
        <v>2</v>
      </c>
      <c r="C10" s="72" t="s">
        <v>160</v>
      </c>
      <c r="D10" s="14" t="s">
        <v>58</v>
      </c>
      <c r="E10" s="73">
        <v>4</v>
      </c>
      <c r="F10" s="16"/>
      <c r="G10" s="16">
        <f>E10*F10</f>
        <v>0</v>
      </c>
      <c r="H10" s="16"/>
      <c r="I10" s="16">
        <f>H10*E10</f>
        <v>0</v>
      </c>
      <c r="J10" s="16">
        <f>I10+G10</f>
        <v>0</v>
      </c>
      <c r="K10" s="92"/>
    </row>
    <row r="11" spans="2:12" s="74" customFormat="1" x14ac:dyDescent="0.3">
      <c r="B11" s="12">
        <v>3</v>
      </c>
      <c r="C11" s="72" t="s">
        <v>161</v>
      </c>
      <c r="D11" s="14" t="s">
        <v>58</v>
      </c>
      <c r="E11" s="73">
        <v>8</v>
      </c>
      <c r="F11" s="16"/>
      <c r="G11" s="16">
        <f>E11*F11</f>
        <v>0</v>
      </c>
      <c r="H11" s="16"/>
      <c r="I11" s="16">
        <f>H11*E11</f>
        <v>0</v>
      </c>
      <c r="J11" s="16">
        <f>I11+G11</f>
        <v>0</v>
      </c>
      <c r="K11" s="92"/>
    </row>
    <row r="12" spans="2:12" s="60" customFormat="1" x14ac:dyDescent="0.3">
      <c r="B12" s="5"/>
      <c r="C12" s="6" t="s">
        <v>162</v>
      </c>
      <c r="D12" s="6"/>
      <c r="E12" s="6"/>
      <c r="F12" s="8"/>
      <c r="G12" s="9"/>
      <c r="H12" s="10"/>
      <c r="I12" s="9"/>
      <c r="J12" s="10"/>
      <c r="K12" s="92"/>
      <c r="L12" s="100"/>
    </row>
    <row r="13" spans="2:12" s="60" customFormat="1" x14ac:dyDescent="0.3">
      <c r="B13" s="12">
        <v>1</v>
      </c>
      <c r="C13" s="72" t="s">
        <v>245</v>
      </c>
      <c r="D13" s="14" t="s">
        <v>11</v>
      </c>
      <c r="E13" s="15">
        <f>E14*2*2*0.2</f>
        <v>5.6000000000000005</v>
      </c>
      <c r="F13" s="17"/>
      <c r="G13" s="16">
        <f t="shared" ref="G13:G26" si="0">E13*F13</f>
        <v>0</v>
      </c>
      <c r="H13" s="16"/>
      <c r="I13" s="16">
        <f t="shared" ref="I13:I25" si="1">H13*E13</f>
        <v>0</v>
      </c>
      <c r="J13" s="16">
        <f t="shared" ref="J13:J26" si="2">I13+G13</f>
        <v>0</v>
      </c>
      <c r="K13" s="92"/>
    </row>
    <row r="14" spans="2:12" s="60" customFormat="1" x14ac:dyDescent="0.3">
      <c r="B14" s="12">
        <v>1</v>
      </c>
      <c r="C14" s="72" t="s">
        <v>163</v>
      </c>
      <c r="D14" s="14" t="s">
        <v>138</v>
      </c>
      <c r="E14" s="73">
        <v>7</v>
      </c>
      <c r="F14" s="17"/>
      <c r="G14" s="16">
        <f t="shared" si="0"/>
        <v>0</v>
      </c>
      <c r="H14" s="16"/>
      <c r="I14" s="16">
        <f t="shared" si="1"/>
        <v>0</v>
      </c>
      <c r="J14" s="16">
        <f t="shared" si="2"/>
        <v>0</v>
      </c>
      <c r="K14" s="92"/>
    </row>
    <row r="15" spans="2:12" s="60" customFormat="1" x14ac:dyDescent="0.3">
      <c r="B15" s="12">
        <v>2</v>
      </c>
      <c r="C15" s="72" t="s">
        <v>164</v>
      </c>
      <c r="D15" s="14" t="s">
        <v>138</v>
      </c>
      <c r="E15" s="73">
        <v>5</v>
      </c>
      <c r="F15" s="17"/>
      <c r="G15" s="16">
        <f t="shared" si="0"/>
        <v>0</v>
      </c>
      <c r="H15" s="16"/>
      <c r="I15" s="16">
        <f t="shared" si="1"/>
        <v>0</v>
      </c>
      <c r="J15" s="16">
        <f t="shared" si="2"/>
        <v>0</v>
      </c>
      <c r="K15" s="92"/>
      <c r="L15" s="98"/>
    </row>
    <row r="16" spans="2:12" s="60" customFormat="1" x14ac:dyDescent="0.3">
      <c r="B16" s="12">
        <v>3</v>
      </c>
      <c r="C16" s="72" t="s">
        <v>165</v>
      </c>
      <c r="D16" s="14" t="s">
        <v>138</v>
      </c>
      <c r="E16" s="73">
        <v>9</v>
      </c>
      <c r="F16" s="17"/>
      <c r="G16" s="16">
        <f t="shared" si="0"/>
        <v>0</v>
      </c>
      <c r="H16" s="16"/>
      <c r="I16" s="16">
        <f t="shared" si="1"/>
        <v>0</v>
      </c>
      <c r="J16" s="16">
        <f t="shared" si="2"/>
        <v>0</v>
      </c>
      <c r="K16" s="92"/>
    </row>
    <row r="17" spans="2:11" s="60" customFormat="1" x14ac:dyDescent="0.3">
      <c r="B17" s="12">
        <v>4</v>
      </c>
      <c r="C17" s="72" t="s">
        <v>166</v>
      </c>
      <c r="D17" s="14" t="s">
        <v>138</v>
      </c>
      <c r="E17" s="73">
        <v>7</v>
      </c>
      <c r="F17" s="17"/>
      <c r="G17" s="16">
        <f>E17*F17</f>
        <v>0</v>
      </c>
      <c r="H17" s="16"/>
      <c r="I17" s="16">
        <f>H17*E17</f>
        <v>0</v>
      </c>
      <c r="J17" s="16">
        <f t="shared" si="2"/>
        <v>0</v>
      </c>
      <c r="K17" s="92"/>
    </row>
    <row r="18" spans="2:11" s="60" customFormat="1" x14ac:dyDescent="0.3">
      <c r="B18" s="12">
        <v>5</v>
      </c>
      <c r="C18" s="72" t="s">
        <v>261</v>
      </c>
      <c r="D18" s="14" t="s">
        <v>138</v>
      </c>
      <c r="E18" s="73">
        <v>7</v>
      </c>
      <c r="F18" s="17"/>
      <c r="G18" s="16">
        <f t="shared" si="0"/>
        <v>0</v>
      </c>
      <c r="H18" s="16"/>
      <c r="I18" s="16">
        <f t="shared" si="1"/>
        <v>0</v>
      </c>
      <c r="J18" s="16">
        <f t="shared" si="2"/>
        <v>0</v>
      </c>
      <c r="K18" s="92"/>
    </row>
    <row r="19" spans="2:11" s="60" customFormat="1" x14ac:dyDescent="0.3">
      <c r="B19" s="12">
        <v>6</v>
      </c>
      <c r="C19" s="72" t="s">
        <v>242</v>
      </c>
      <c r="D19" s="14" t="s">
        <v>243</v>
      </c>
      <c r="E19" s="73">
        <f>8*E14</f>
        <v>56</v>
      </c>
      <c r="F19" s="17"/>
      <c r="G19" s="16">
        <f t="shared" si="0"/>
        <v>0</v>
      </c>
      <c r="H19" s="16"/>
      <c r="I19" s="16"/>
      <c r="J19" s="16">
        <f t="shared" si="2"/>
        <v>0</v>
      </c>
      <c r="K19" s="92"/>
    </row>
    <row r="20" spans="2:11" s="60" customFormat="1" x14ac:dyDescent="0.3">
      <c r="B20" s="12">
        <v>7</v>
      </c>
      <c r="C20" s="72" t="s">
        <v>244</v>
      </c>
      <c r="D20" s="14" t="s">
        <v>58</v>
      </c>
      <c r="E20" s="73">
        <f>E14</f>
        <v>7</v>
      </c>
      <c r="F20" s="17"/>
      <c r="G20" s="16">
        <f t="shared" si="0"/>
        <v>0</v>
      </c>
      <c r="H20" s="16"/>
      <c r="I20" s="16">
        <f t="shared" si="1"/>
        <v>0</v>
      </c>
      <c r="J20" s="16">
        <f t="shared" si="2"/>
        <v>0</v>
      </c>
      <c r="K20" s="92"/>
    </row>
    <row r="21" spans="2:11" s="61" customFormat="1" x14ac:dyDescent="0.3">
      <c r="B21" s="5"/>
      <c r="C21" s="6" t="s">
        <v>167</v>
      </c>
      <c r="D21" s="6" t="s">
        <v>35</v>
      </c>
      <c r="E21" s="6"/>
      <c r="F21" s="8"/>
      <c r="G21" s="9"/>
      <c r="H21" s="10"/>
      <c r="I21" s="9"/>
      <c r="J21" s="10"/>
      <c r="K21" s="92"/>
    </row>
    <row r="22" spans="2:11" s="60" customFormat="1" x14ac:dyDescent="0.3">
      <c r="B22" s="12">
        <v>7</v>
      </c>
      <c r="C22" s="72" t="s">
        <v>188</v>
      </c>
      <c r="D22" s="14" t="s">
        <v>35</v>
      </c>
      <c r="E22" s="73">
        <v>172.79999999999998</v>
      </c>
      <c r="F22" s="16"/>
      <c r="G22" s="16">
        <f t="shared" si="0"/>
        <v>0</v>
      </c>
      <c r="H22" s="16"/>
      <c r="I22" s="16">
        <f t="shared" si="1"/>
        <v>0</v>
      </c>
      <c r="J22" s="16">
        <f t="shared" si="2"/>
        <v>0</v>
      </c>
      <c r="K22" s="92"/>
    </row>
    <row r="23" spans="2:11" s="60" customFormat="1" x14ac:dyDescent="0.3">
      <c r="B23" s="12">
        <v>8</v>
      </c>
      <c r="C23" s="72" t="s">
        <v>168</v>
      </c>
      <c r="D23" s="14" t="s">
        <v>35</v>
      </c>
      <c r="E23" s="73">
        <v>25.919999999999998</v>
      </c>
      <c r="F23" s="17"/>
      <c r="G23" s="16">
        <f t="shared" si="0"/>
        <v>0</v>
      </c>
      <c r="H23" s="16"/>
      <c r="I23" s="16">
        <f t="shared" si="1"/>
        <v>0</v>
      </c>
      <c r="J23" s="16">
        <f t="shared" si="2"/>
        <v>0</v>
      </c>
      <c r="K23" s="92"/>
    </row>
    <row r="24" spans="2:11" s="60" customFormat="1" x14ac:dyDescent="0.3">
      <c r="B24" s="12">
        <v>9</v>
      </c>
      <c r="C24" s="72" t="s">
        <v>168</v>
      </c>
      <c r="D24" s="14" t="s">
        <v>35</v>
      </c>
      <c r="E24" s="73">
        <v>51.839999999999996</v>
      </c>
      <c r="F24" s="17"/>
      <c r="G24" s="16">
        <f t="shared" si="0"/>
        <v>0</v>
      </c>
      <c r="H24" s="16"/>
      <c r="I24" s="16">
        <f t="shared" si="1"/>
        <v>0</v>
      </c>
      <c r="J24" s="16">
        <f t="shared" si="2"/>
        <v>0</v>
      </c>
      <c r="K24" s="92"/>
    </row>
    <row r="25" spans="2:11" s="60" customFormat="1" x14ac:dyDescent="0.3">
      <c r="B25" s="12">
        <v>10</v>
      </c>
      <c r="C25" s="72" t="s">
        <v>169</v>
      </c>
      <c r="D25" s="14" t="s">
        <v>35</v>
      </c>
      <c r="E25" s="73">
        <v>51.839999999999996</v>
      </c>
      <c r="F25" s="17"/>
      <c r="G25" s="16">
        <f t="shared" si="0"/>
        <v>0</v>
      </c>
      <c r="H25" s="16"/>
      <c r="I25" s="16">
        <f t="shared" si="1"/>
        <v>0</v>
      </c>
      <c r="J25" s="16">
        <f t="shared" si="2"/>
        <v>0</v>
      </c>
      <c r="K25" s="92"/>
    </row>
    <row r="26" spans="2:11" s="60" customFormat="1" x14ac:dyDescent="0.3">
      <c r="B26" s="12">
        <v>11</v>
      </c>
      <c r="C26" s="72" t="s">
        <v>241</v>
      </c>
      <c r="D26" s="14" t="s">
        <v>35</v>
      </c>
      <c r="E26" s="73">
        <v>129.6</v>
      </c>
      <c r="F26" s="17"/>
      <c r="G26" s="16">
        <f t="shared" si="0"/>
        <v>0</v>
      </c>
      <c r="H26" s="16"/>
      <c r="I26" s="16">
        <f>H26*E26</f>
        <v>0</v>
      </c>
      <c r="J26" s="16">
        <f t="shared" si="2"/>
        <v>0</v>
      </c>
      <c r="K26" s="92"/>
    </row>
    <row r="27" spans="2:11" s="60" customFormat="1" x14ac:dyDescent="0.3">
      <c r="B27" s="5"/>
      <c r="C27" s="6" t="s">
        <v>170</v>
      </c>
      <c r="D27" s="6"/>
      <c r="E27" s="6"/>
      <c r="F27" s="8"/>
      <c r="G27" s="9"/>
      <c r="H27" s="10"/>
      <c r="I27" s="9"/>
      <c r="J27" s="10"/>
      <c r="K27" s="92"/>
    </row>
    <row r="28" spans="2:11" s="60" customFormat="1" x14ac:dyDescent="0.3">
      <c r="B28" s="12">
        <v>2</v>
      </c>
      <c r="C28" s="72" t="s">
        <v>249</v>
      </c>
      <c r="D28" s="14" t="s">
        <v>157</v>
      </c>
      <c r="E28" s="73">
        <v>65</v>
      </c>
      <c r="F28" s="17"/>
      <c r="G28" s="16">
        <f>E28*F28</f>
        <v>0</v>
      </c>
      <c r="H28" s="16"/>
      <c r="I28" s="16">
        <f>H28*E28</f>
        <v>0</v>
      </c>
      <c r="J28" s="16">
        <f>I28+G28</f>
        <v>0</v>
      </c>
      <c r="K28" s="92"/>
    </row>
    <row r="29" spans="2:11" s="60" customFormat="1" x14ac:dyDescent="0.3">
      <c r="B29" s="12">
        <v>3</v>
      </c>
      <c r="C29" s="72" t="s">
        <v>247</v>
      </c>
      <c r="D29" s="14" t="s">
        <v>157</v>
      </c>
      <c r="E29" s="73">
        <v>60</v>
      </c>
      <c r="F29" s="17"/>
      <c r="G29" s="16">
        <f>E29*F29</f>
        <v>0</v>
      </c>
      <c r="H29" s="16"/>
      <c r="I29" s="16">
        <f>H29*E29</f>
        <v>0</v>
      </c>
      <c r="J29" s="16">
        <f>I29+G29</f>
        <v>0</v>
      </c>
      <c r="K29" s="92"/>
    </row>
    <row r="30" spans="2:11" s="60" customFormat="1" x14ac:dyDescent="0.3">
      <c r="B30" s="12">
        <v>4</v>
      </c>
      <c r="C30" s="72" t="s">
        <v>250</v>
      </c>
      <c r="D30" s="14" t="s">
        <v>157</v>
      </c>
      <c r="E30" s="73">
        <v>145</v>
      </c>
      <c r="F30" s="17"/>
      <c r="G30" s="16">
        <f>E30*F30</f>
        <v>0</v>
      </c>
      <c r="H30" s="16"/>
      <c r="I30" s="16">
        <f>H30*E30</f>
        <v>0</v>
      </c>
      <c r="J30" s="16">
        <f>I30+G30</f>
        <v>0</v>
      </c>
      <c r="K30" s="92"/>
    </row>
    <row r="31" spans="2:11" s="60" customFormat="1" x14ac:dyDescent="0.3">
      <c r="B31" s="5"/>
      <c r="C31" s="6" t="s">
        <v>171</v>
      </c>
      <c r="D31" s="6"/>
      <c r="E31" s="6"/>
      <c r="F31" s="8"/>
      <c r="G31" s="9"/>
      <c r="H31" s="10"/>
      <c r="I31" s="9"/>
      <c r="J31" s="10"/>
      <c r="K31" s="92"/>
    </row>
    <row r="32" spans="2:11" s="60" customFormat="1" x14ac:dyDescent="0.3">
      <c r="B32" s="12">
        <v>1</v>
      </c>
      <c r="C32" s="72" t="s">
        <v>245</v>
      </c>
      <c r="D32" s="14" t="s">
        <v>11</v>
      </c>
      <c r="E32" s="15">
        <f>E33*2*2*0.2</f>
        <v>7.2</v>
      </c>
      <c r="F32" s="17"/>
      <c r="G32" s="16">
        <f t="shared" ref="G32" si="3">E32*F32</f>
        <v>0</v>
      </c>
      <c r="H32" s="16"/>
      <c r="I32" s="16">
        <f t="shared" ref="I32" si="4">H32*E32</f>
        <v>0</v>
      </c>
      <c r="J32" s="16">
        <f t="shared" ref="J32:J45" si="5">I32+G32</f>
        <v>0</v>
      </c>
      <c r="K32" s="92"/>
    </row>
    <row r="33" spans="2:11" s="60" customFormat="1" x14ac:dyDescent="0.3">
      <c r="B33" s="12">
        <v>1</v>
      </c>
      <c r="C33" s="72" t="s">
        <v>172</v>
      </c>
      <c r="D33" s="14" t="s">
        <v>138</v>
      </c>
      <c r="E33" s="73">
        <v>9</v>
      </c>
      <c r="F33" s="17"/>
      <c r="G33" s="16">
        <f>E33*F33</f>
        <v>0</v>
      </c>
      <c r="H33" s="16"/>
      <c r="I33" s="16">
        <f>H33*E33</f>
        <v>0</v>
      </c>
      <c r="J33" s="16">
        <f t="shared" si="5"/>
        <v>0</v>
      </c>
      <c r="K33" s="92"/>
    </row>
    <row r="34" spans="2:11" s="60" customFormat="1" x14ac:dyDescent="0.3">
      <c r="B34" s="12">
        <v>2</v>
      </c>
      <c r="C34" s="72" t="s">
        <v>173</v>
      </c>
      <c r="D34" s="14" t="s">
        <v>138</v>
      </c>
      <c r="E34" s="73">
        <v>4</v>
      </c>
      <c r="F34" s="17"/>
      <c r="G34" s="16">
        <f>E34*F34</f>
        <v>0</v>
      </c>
      <c r="H34" s="16"/>
      <c r="I34" s="16">
        <f>H34*E34</f>
        <v>0</v>
      </c>
      <c r="J34" s="16">
        <f t="shared" si="5"/>
        <v>0</v>
      </c>
      <c r="K34" s="92"/>
    </row>
    <row r="35" spans="2:11" s="60" customFormat="1" x14ac:dyDescent="0.3">
      <c r="B35" s="12">
        <v>3</v>
      </c>
      <c r="C35" s="72" t="s">
        <v>174</v>
      </c>
      <c r="D35" s="14" t="s">
        <v>138</v>
      </c>
      <c r="E35" s="73">
        <v>10</v>
      </c>
      <c r="F35" s="17"/>
      <c r="G35" s="16">
        <f>E35*F35</f>
        <v>0</v>
      </c>
      <c r="H35" s="16"/>
      <c r="I35" s="16">
        <f>H35*E35</f>
        <v>0</v>
      </c>
      <c r="J35" s="16">
        <f t="shared" si="5"/>
        <v>0</v>
      </c>
      <c r="K35" s="92"/>
    </row>
    <row r="36" spans="2:11" s="60" customFormat="1" x14ac:dyDescent="0.3">
      <c r="B36" s="12">
        <v>4</v>
      </c>
      <c r="C36" s="72" t="s">
        <v>175</v>
      </c>
      <c r="D36" s="14" t="s">
        <v>138</v>
      </c>
      <c r="E36" s="73">
        <v>9</v>
      </c>
      <c r="F36" s="17"/>
      <c r="G36" s="16">
        <f>E36*F36</f>
        <v>0</v>
      </c>
      <c r="H36" s="16"/>
      <c r="I36" s="16">
        <f>H36*E36</f>
        <v>0</v>
      </c>
      <c r="J36" s="16">
        <f t="shared" si="5"/>
        <v>0</v>
      </c>
      <c r="K36" s="92"/>
    </row>
    <row r="37" spans="2:11" s="60" customFormat="1" x14ac:dyDescent="0.3">
      <c r="B37" s="12">
        <v>5</v>
      </c>
      <c r="C37" s="72" t="s">
        <v>262</v>
      </c>
      <c r="D37" s="14" t="s">
        <v>138</v>
      </c>
      <c r="E37" s="73">
        <v>9</v>
      </c>
      <c r="F37" s="17"/>
      <c r="G37" s="16">
        <f>E37*F37</f>
        <v>0</v>
      </c>
      <c r="H37" s="16"/>
      <c r="I37" s="16">
        <f>H37*E37</f>
        <v>0</v>
      </c>
      <c r="J37" s="16">
        <f t="shared" si="5"/>
        <v>0</v>
      </c>
      <c r="K37" s="92"/>
    </row>
    <row r="38" spans="2:11" s="60" customFormat="1" x14ac:dyDescent="0.3">
      <c r="B38" s="12">
        <v>6</v>
      </c>
      <c r="C38" s="72" t="s">
        <v>242</v>
      </c>
      <c r="D38" s="14" t="s">
        <v>243</v>
      </c>
      <c r="E38" s="73">
        <f>8*E33</f>
        <v>72</v>
      </c>
      <c r="F38" s="17"/>
      <c r="G38" s="16">
        <f t="shared" ref="G38:G39" si="6">E38*F38</f>
        <v>0</v>
      </c>
      <c r="H38" s="16"/>
      <c r="I38" s="16"/>
      <c r="J38" s="16">
        <f t="shared" si="5"/>
        <v>0</v>
      </c>
      <c r="K38" s="92"/>
    </row>
    <row r="39" spans="2:11" s="60" customFormat="1" x14ac:dyDescent="0.3">
      <c r="B39" s="12">
        <v>7</v>
      </c>
      <c r="C39" s="72" t="s">
        <v>244</v>
      </c>
      <c r="D39" s="14" t="s">
        <v>58</v>
      </c>
      <c r="E39" s="73">
        <f>E33</f>
        <v>9</v>
      </c>
      <c r="F39" s="17"/>
      <c r="G39" s="16">
        <f t="shared" si="6"/>
        <v>0</v>
      </c>
      <c r="H39" s="16"/>
      <c r="I39" s="16">
        <f t="shared" ref="I39" si="7">H39*E39</f>
        <v>0</v>
      </c>
      <c r="J39" s="16">
        <f t="shared" si="5"/>
        <v>0</v>
      </c>
      <c r="K39" s="92"/>
    </row>
    <row r="40" spans="2:11" s="75" customFormat="1" x14ac:dyDescent="0.3">
      <c r="B40" s="5"/>
      <c r="C40" s="6" t="s">
        <v>176</v>
      </c>
      <c r="D40" s="6"/>
      <c r="E40" s="6"/>
      <c r="F40" s="8"/>
      <c r="G40" s="9"/>
      <c r="H40" s="10"/>
      <c r="I40" s="9"/>
      <c r="J40" s="10">
        <f t="shared" si="5"/>
        <v>0</v>
      </c>
      <c r="K40" s="92"/>
    </row>
    <row r="41" spans="2:11" s="74" customFormat="1" x14ac:dyDescent="0.3">
      <c r="B41" s="12">
        <v>1</v>
      </c>
      <c r="C41" s="72" t="s">
        <v>177</v>
      </c>
      <c r="D41" s="14" t="s">
        <v>58</v>
      </c>
      <c r="E41" s="73">
        <v>3</v>
      </c>
      <c r="F41" s="16"/>
      <c r="G41" s="16">
        <f>E41*F41</f>
        <v>0</v>
      </c>
      <c r="H41" s="16"/>
      <c r="I41" s="16">
        <f>H41*E41</f>
        <v>0</v>
      </c>
      <c r="J41" s="16">
        <f t="shared" si="5"/>
        <v>0</v>
      </c>
      <c r="K41" s="92"/>
    </row>
    <row r="42" spans="2:11" s="74" customFormat="1" x14ac:dyDescent="0.3">
      <c r="B42" s="12">
        <v>2</v>
      </c>
      <c r="C42" s="72" t="s">
        <v>178</v>
      </c>
      <c r="D42" s="14" t="s">
        <v>58</v>
      </c>
      <c r="E42" s="73">
        <v>3</v>
      </c>
      <c r="F42" s="16"/>
      <c r="G42" s="16">
        <f>E42*F42</f>
        <v>0</v>
      </c>
      <c r="H42" s="16"/>
      <c r="I42" s="16">
        <f>H42*E42</f>
        <v>0</v>
      </c>
      <c r="J42" s="16">
        <f t="shared" si="5"/>
        <v>0</v>
      </c>
      <c r="K42" s="92"/>
    </row>
    <row r="43" spans="2:11" s="74" customFormat="1" x14ac:dyDescent="0.3">
      <c r="B43" s="12">
        <v>3</v>
      </c>
      <c r="C43" s="72" t="s">
        <v>179</v>
      </c>
      <c r="D43" s="14" t="s">
        <v>58</v>
      </c>
      <c r="E43" s="73">
        <v>17</v>
      </c>
      <c r="F43" s="16"/>
      <c r="G43" s="16">
        <f>E43*F43</f>
        <v>0</v>
      </c>
      <c r="H43" s="16"/>
      <c r="I43" s="16">
        <f>H43*E43</f>
        <v>0</v>
      </c>
      <c r="J43" s="16">
        <f t="shared" si="5"/>
        <v>0</v>
      </c>
      <c r="K43" s="92"/>
    </row>
    <row r="44" spans="2:11" s="74" customFormat="1" x14ac:dyDescent="0.3">
      <c r="B44" s="12">
        <v>4</v>
      </c>
      <c r="C44" s="72" t="s">
        <v>180</v>
      </c>
      <c r="D44" s="14" t="s">
        <v>58</v>
      </c>
      <c r="E44" s="73">
        <v>12</v>
      </c>
      <c r="F44" s="16"/>
      <c r="G44" s="16">
        <f>E44*F44</f>
        <v>0</v>
      </c>
      <c r="H44" s="16"/>
      <c r="I44" s="16">
        <f>H44*E44</f>
        <v>0</v>
      </c>
      <c r="J44" s="16">
        <f t="shared" si="5"/>
        <v>0</v>
      </c>
      <c r="K44" s="92"/>
    </row>
    <row r="45" spans="2:11" s="74" customFormat="1" x14ac:dyDescent="0.3">
      <c r="B45" s="12">
        <v>5</v>
      </c>
      <c r="C45" s="72" t="s">
        <v>181</v>
      </c>
      <c r="D45" s="14" t="s">
        <v>58</v>
      </c>
      <c r="E45" s="73">
        <v>10</v>
      </c>
      <c r="F45" s="16"/>
      <c r="G45" s="16">
        <f>E45*F45</f>
        <v>0</v>
      </c>
      <c r="H45" s="16"/>
      <c r="I45" s="16">
        <f>H45*E45</f>
        <v>0</v>
      </c>
      <c r="J45" s="16">
        <f t="shared" si="5"/>
        <v>0</v>
      </c>
      <c r="K45" s="92"/>
    </row>
    <row r="46" spans="2:11" s="60" customFormat="1" x14ac:dyDescent="0.3">
      <c r="B46" s="5"/>
      <c r="C46" s="6" t="s">
        <v>182</v>
      </c>
      <c r="D46" s="6"/>
      <c r="E46" s="6"/>
      <c r="F46" s="8"/>
      <c r="G46" s="9"/>
      <c r="H46" s="10"/>
      <c r="I46" s="9"/>
      <c r="J46" s="10"/>
      <c r="K46" s="92"/>
    </row>
    <row r="47" spans="2:11" s="60" customFormat="1" x14ac:dyDescent="0.3">
      <c r="B47" s="12">
        <v>1</v>
      </c>
      <c r="C47" s="72" t="s">
        <v>245</v>
      </c>
      <c r="D47" s="14" t="s">
        <v>11</v>
      </c>
      <c r="E47" s="15">
        <f>E48*2*2*0.2</f>
        <v>0.8</v>
      </c>
      <c r="F47" s="17"/>
      <c r="G47" s="16">
        <f t="shared" ref="G47" si="8">E47*F47</f>
        <v>0</v>
      </c>
      <c r="H47" s="16"/>
      <c r="I47" s="16">
        <f t="shared" ref="I47" si="9">H47*E47</f>
        <v>0</v>
      </c>
      <c r="J47" s="16">
        <f t="shared" ref="J47" si="10">I47+G47</f>
        <v>0</v>
      </c>
      <c r="K47" s="92"/>
    </row>
    <row r="48" spans="2:11" s="60" customFormat="1" x14ac:dyDescent="0.3">
      <c r="B48" s="12">
        <v>1</v>
      </c>
      <c r="C48" s="72" t="s">
        <v>183</v>
      </c>
      <c r="D48" s="14" t="s">
        <v>138</v>
      </c>
      <c r="E48" s="73">
        <v>1</v>
      </c>
      <c r="F48" s="17"/>
      <c r="G48" s="16">
        <f>E48*F48</f>
        <v>0</v>
      </c>
      <c r="H48" s="16"/>
      <c r="I48" s="16">
        <f>H48*E48</f>
        <v>0</v>
      </c>
      <c r="J48" s="16">
        <f>I48+G48</f>
        <v>0</v>
      </c>
      <c r="K48" s="92"/>
    </row>
    <row r="49" spans="1:11" s="60" customFormat="1" x14ac:dyDescent="0.3">
      <c r="B49" s="12">
        <v>2</v>
      </c>
      <c r="C49" s="72" t="s">
        <v>184</v>
      </c>
      <c r="D49" s="14" t="s">
        <v>138</v>
      </c>
      <c r="E49" s="73">
        <v>1</v>
      </c>
      <c r="F49" s="17"/>
      <c r="G49" s="16">
        <f>E49*F49</f>
        <v>0</v>
      </c>
      <c r="H49" s="16"/>
      <c r="I49" s="16"/>
      <c r="J49" s="16">
        <f>I49+G49</f>
        <v>0</v>
      </c>
      <c r="K49" s="92"/>
    </row>
    <row r="50" spans="1:11" s="60" customFormat="1" x14ac:dyDescent="0.3">
      <c r="B50" s="12">
        <v>3</v>
      </c>
      <c r="C50" s="72" t="s">
        <v>185</v>
      </c>
      <c r="D50" s="14" t="s">
        <v>138</v>
      </c>
      <c r="E50" s="73">
        <v>3</v>
      </c>
      <c r="F50" s="17"/>
      <c r="G50" s="16">
        <f>E50*F50</f>
        <v>0</v>
      </c>
      <c r="H50" s="16"/>
      <c r="I50" s="16"/>
      <c r="J50" s="16">
        <f>I50+G50</f>
        <v>0</v>
      </c>
      <c r="K50" s="92"/>
    </row>
    <row r="51" spans="1:11" s="60" customFormat="1" x14ac:dyDescent="0.3">
      <c r="B51" s="12">
        <v>4</v>
      </c>
      <c r="C51" s="72" t="s">
        <v>186</v>
      </c>
      <c r="D51" s="14" t="s">
        <v>138</v>
      </c>
      <c r="E51" s="73">
        <v>1</v>
      </c>
      <c r="F51" s="17"/>
      <c r="G51" s="16">
        <f>E51*F51</f>
        <v>0</v>
      </c>
      <c r="H51" s="16"/>
      <c r="I51" s="16"/>
      <c r="J51" s="16">
        <f>I51+G51</f>
        <v>0</v>
      </c>
      <c r="K51" s="92"/>
    </row>
    <row r="52" spans="1:11" s="60" customFormat="1" x14ac:dyDescent="0.3">
      <c r="B52" s="12">
        <v>5</v>
      </c>
      <c r="C52" s="72" t="s">
        <v>262</v>
      </c>
      <c r="D52" s="14" t="s">
        <v>138</v>
      </c>
      <c r="E52" s="73">
        <v>1</v>
      </c>
      <c r="F52" s="17"/>
      <c r="G52" s="16">
        <f>E52*F52</f>
        <v>0</v>
      </c>
      <c r="H52" s="16"/>
      <c r="I52" s="16"/>
      <c r="J52" s="16">
        <f>I52+G52</f>
        <v>0</v>
      </c>
      <c r="K52" s="92"/>
    </row>
    <row r="53" spans="1:11" s="60" customFormat="1" x14ac:dyDescent="0.3">
      <c r="B53" s="12">
        <v>6</v>
      </c>
      <c r="C53" s="72" t="s">
        <v>242</v>
      </c>
      <c r="D53" s="14" t="s">
        <v>243</v>
      </c>
      <c r="E53" s="73">
        <f>8*E48</f>
        <v>8</v>
      </c>
      <c r="F53" s="17"/>
      <c r="G53" s="16">
        <f t="shared" ref="G53:G54" si="11">E53*F53</f>
        <v>0</v>
      </c>
      <c r="H53" s="16"/>
      <c r="I53" s="16"/>
      <c r="J53" s="16">
        <f t="shared" ref="J53:J54" si="12">I53+G53</f>
        <v>0</v>
      </c>
      <c r="K53" s="92"/>
    </row>
    <row r="54" spans="1:11" s="60" customFormat="1" x14ac:dyDescent="0.3">
      <c r="B54" s="12">
        <v>7</v>
      </c>
      <c r="C54" s="72" t="s">
        <v>244</v>
      </c>
      <c r="D54" s="14" t="s">
        <v>58</v>
      </c>
      <c r="E54" s="73">
        <f>E48</f>
        <v>1</v>
      </c>
      <c r="F54" s="17"/>
      <c r="G54" s="16">
        <f t="shared" si="11"/>
        <v>0</v>
      </c>
      <c r="H54" s="16"/>
      <c r="I54" s="16">
        <f t="shared" ref="I54" si="13">H54*E54</f>
        <v>0</v>
      </c>
      <c r="J54" s="16">
        <f t="shared" si="12"/>
        <v>0</v>
      </c>
      <c r="K54" s="92"/>
    </row>
    <row r="55" spans="1:11" s="60" customFormat="1" x14ac:dyDescent="0.3">
      <c r="B55" s="5"/>
      <c r="C55" s="6" t="s">
        <v>187</v>
      </c>
      <c r="D55" s="6"/>
      <c r="E55" s="6"/>
      <c r="F55" s="8"/>
      <c r="G55" s="9"/>
      <c r="H55" s="10"/>
      <c r="I55" s="9"/>
      <c r="J55" s="10"/>
      <c r="K55" s="92"/>
    </row>
    <row r="56" spans="1:11" s="60" customFormat="1" x14ac:dyDescent="0.3">
      <c r="B56" s="12">
        <v>2</v>
      </c>
      <c r="C56" s="72" t="s">
        <v>188</v>
      </c>
      <c r="D56" s="14" t="s">
        <v>35</v>
      </c>
      <c r="E56" s="77">
        <v>459</v>
      </c>
      <c r="F56" s="17"/>
      <c r="G56" s="16"/>
      <c r="H56" s="16"/>
      <c r="I56" s="16">
        <f>H56*E56</f>
        <v>0</v>
      </c>
      <c r="J56" s="16">
        <f t="shared" ref="J56:J60" si="14">I56+G56</f>
        <v>0</v>
      </c>
      <c r="K56" s="92"/>
    </row>
    <row r="57" spans="1:11" s="60" customFormat="1" x14ac:dyDescent="0.3">
      <c r="B57" s="12">
        <v>3</v>
      </c>
      <c r="C57" s="72" t="s">
        <v>168</v>
      </c>
      <c r="D57" s="14" t="s">
        <v>35</v>
      </c>
      <c r="E57" s="73">
        <v>30.599999999999998</v>
      </c>
      <c r="F57" s="17"/>
      <c r="G57" s="16">
        <f>E57*F57</f>
        <v>0</v>
      </c>
      <c r="H57" s="16"/>
      <c r="I57" s="16"/>
      <c r="J57" s="16">
        <f t="shared" si="14"/>
        <v>0</v>
      </c>
      <c r="K57" s="92"/>
    </row>
    <row r="58" spans="1:11" s="60" customFormat="1" x14ac:dyDescent="0.3">
      <c r="B58" s="12">
        <v>4</v>
      </c>
      <c r="C58" s="72" t="s">
        <v>168</v>
      </c>
      <c r="D58" s="14" t="s">
        <v>35</v>
      </c>
      <c r="E58" s="73">
        <v>61.199999999999996</v>
      </c>
      <c r="F58" s="17"/>
      <c r="G58" s="16">
        <f>E58*F58</f>
        <v>0</v>
      </c>
      <c r="H58" s="16"/>
      <c r="I58" s="16"/>
      <c r="J58" s="16">
        <f t="shared" si="14"/>
        <v>0</v>
      </c>
      <c r="K58" s="92"/>
    </row>
    <row r="59" spans="1:11" s="60" customFormat="1" x14ac:dyDescent="0.3">
      <c r="B59" s="12">
        <v>5</v>
      </c>
      <c r="C59" s="72" t="s">
        <v>169</v>
      </c>
      <c r="D59" s="14" t="s">
        <v>35</v>
      </c>
      <c r="E59" s="73">
        <v>61.199999999999996</v>
      </c>
      <c r="F59" s="17"/>
      <c r="G59" s="16">
        <f>E59*F59</f>
        <v>0</v>
      </c>
      <c r="H59" s="16"/>
      <c r="I59" s="16"/>
      <c r="J59" s="16">
        <f t="shared" si="14"/>
        <v>0</v>
      </c>
      <c r="K59" s="92"/>
    </row>
    <row r="60" spans="1:11" s="60" customFormat="1" x14ac:dyDescent="0.3">
      <c r="B60" s="12">
        <v>6</v>
      </c>
      <c r="C60" s="72" t="s">
        <v>241</v>
      </c>
      <c r="D60" s="14" t="s">
        <v>35</v>
      </c>
      <c r="E60" s="73">
        <v>306</v>
      </c>
      <c r="F60" s="17"/>
      <c r="G60" s="16">
        <f>E60*F60</f>
        <v>0</v>
      </c>
      <c r="H60" s="16"/>
      <c r="I60" s="16">
        <f>H60*E60</f>
        <v>0</v>
      </c>
      <c r="J60" s="16">
        <f t="shared" si="14"/>
        <v>0</v>
      </c>
      <c r="K60" s="92"/>
    </row>
    <row r="61" spans="1:11" s="26" customFormat="1" ht="14.4" x14ac:dyDescent="0.3">
      <c r="B61" s="33"/>
      <c r="C61" s="34" t="s">
        <v>10</v>
      </c>
      <c r="D61" s="33"/>
      <c r="E61" s="33"/>
      <c r="F61" s="33"/>
      <c r="G61" s="35">
        <f>SUM(G5:G60)</f>
        <v>0</v>
      </c>
      <c r="H61" s="35"/>
      <c r="I61" s="35">
        <f>SUM(I5:I60)</f>
        <v>0</v>
      </c>
      <c r="J61" s="35">
        <f>SUM(J5:J60)</f>
        <v>0</v>
      </c>
      <c r="K61" s="52"/>
    </row>
    <row r="62" spans="1:11" s="52" customFormat="1" ht="14.4" x14ac:dyDescent="0.3">
      <c r="A62" s="26"/>
      <c r="B62" s="12"/>
      <c r="C62" s="12" t="s">
        <v>53</v>
      </c>
      <c r="D62" s="18"/>
      <c r="E62" s="12"/>
      <c r="F62" s="12"/>
      <c r="G62" s="12"/>
      <c r="H62" s="12"/>
      <c r="I62" s="12"/>
      <c r="J62" s="21">
        <f>G61*D62</f>
        <v>0</v>
      </c>
    </row>
    <row r="63" spans="1:11" s="52" customFormat="1" ht="14.4" x14ac:dyDescent="0.3">
      <c r="A63" s="26"/>
      <c r="B63" s="12"/>
      <c r="C63" s="19" t="s">
        <v>10</v>
      </c>
      <c r="D63" s="20"/>
      <c r="E63" s="19"/>
      <c r="F63" s="19"/>
      <c r="G63" s="19"/>
      <c r="H63" s="19"/>
      <c r="I63" s="19"/>
      <c r="J63" s="22">
        <f>J62+J61</f>
        <v>0</v>
      </c>
    </row>
    <row r="64" spans="1:11" s="52" customFormat="1" ht="14.4" x14ac:dyDescent="0.3">
      <c r="A64" s="26"/>
      <c r="B64" s="12"/>
      <c r="C64" s="12" t="s">
        <v>52</v>
      </c>
      <c r="D64" s="18"/>
      <c r="E64" s="12"/>
      <c r="F64" s="12"/>
      <c r="G64" s="12"/>
      <c r="H64" s="12"/>
      <c r="I64" s="12"/>
      <c r="J64" s="21">
        <f>J63*D64</f>
        <v>0</v>
      </c>
    </row>
    <row r="65" spans="1:11" s="52" customFormat="1" ht="14.4" x14ac:dyDescent="0.3">
      <c r="A65" s="26"/>
      <c r="B65" s="12"/>
      <c r="C65" s="19" t="s">
        <v>10</v>
      </c>
      <c r="D65" s="20"/>
      <c r="E65" s="19"/>
      <c r="F65" s="19"/>
      <c r="G65" s="19"/>
      <c r="H65" s="19"/>
      <c r="I65" s="19"/>
      <c r="J65" s="22">
        <f>J63+J64</f>
        <v>0</v>
      </c>
    </row>
    <row r="66" spans="1:11" s="52" customFormat="1" ht="14.4" x14ac:dyDescent="0.3">
      <c r="A66" s="26"/>
      <c r="B66" s="12"/>
      <c r="C66" s="12" t="s">
        <v>54</v>
      </c>
      <c r="D66" s="18"/>
      <c r="E66" s="12"/>
      <c r="F66" s="12"/>
      <c r="G66" s="12"/>
      <c r="H66" s="12"/>
      <c r="I66" s="12"/>
      <c r="J66" s="21">
        <f>J65*D66</f>
        <v>0</v>
      </c>
    </row>
    <row r="67" spans="1:11" s="52" customFormat="1" ht="14.4" x14ac:dyDescent="0.3">
      <c r="A67" s="26"/>
      <c r="B67" s="12"/>
      <c r="C67" s="19" t="s">
        <v>10</v>
      </c>
      <c r="D67" s="20"/>
      <c r="E67" s="19"/>
      <c r="F67" s="19"/>
      <c r="G67" s="19"/>
      <c r="H67" s="19"/>
      <c r="I67" s="19"/>
      <c r="J67" s="22">
        <f>J65+J66</f>
        <v>0</v>
      </c>
    </row>
    <row r="68" spans="1:11" s="52" customFormat="1" ht="14.4" x14ac:dyDescent="0.3">
      <c r="A68" s="26"/>
      <c r="B68" s="12"/>
      <c r="C68" s="12" t="s">
        <v>55</v>
      </c>
      <c r="D68" s="18">
        <v>0.18</v>
      </c>
      <c r="E68" s="12"/>
      <c r="F68" s="12"/>
      <c r="G68" s="12"/>
      <c r="H68" s="12"/>
      <c r="I68" s="12"/>
      <c r="J68" s="21">
        <f>J67*D68</f>
        <v>0</v>
      </c>
    </row>
    <row r="69" spans="1:11" s="52" customFormat="1" ht="14.4" x14ac:dyDescent="0.3">
      <c r="A69" s="26"/>
      <c r="B69" s="36"/>
      <c r="C69" s="37" t="s">
        <v>10</v>
      </c>
      <c r="D69" s="36"/>
      <c r="E69" s="36"/>
      <c r="F69" s="36"/>
      <c r="G69" s="38"/>
      <c r="H69" s="39"/>
      <c r="I69" s="39"/>
      <c r="J69" s="40">
        <f>J68+J67</f>
        <v>0</v>
      </c>
    </row>
    <row r="70" spans="1:11" s="61" customFormat="1" x14ac:dyDescent="0.3">
      <c r="B70" s="67"/>
      <c r="C70" s="63"/>
      <c r="D70" s="64"/>
      <c r="E70" s="65"/>
      <c r="F70" s="66"/>
      <c r="G70" s="62"/>
      <c r="H70" s="64"/>
      <c r="I70" s="62"/>
      <c r="J70" s="64"/>
      <c r="K70" s="93"/>
    </row>
    <row r="71" spans="1:11" s="61" customFormat="1" x14ac:dyDescent="0.3">
      <c r="B71" s="67"/>
      <c r="C71" s="63"/>
      <c r="D71" s="64"/>
      <c r="E71" s="65"/>
      <c r="F71" s="66"/>
      <c r="G71" s="62"/>
      <c r="H71" s="64"/>
      <c r="I71" s="62"/>
      <c r="J71" s="64"/>
      <c r="K71" s="93"/>
    </row>
    <row r="72" spans="1:11" s="61" customFormat="1" x14ac:dyDescent="0.3">
      <c r="B72" s="67"/>
      <c r="C72" s="63"/>
      <c r="D72" s="64"/>
      <c r="E72" s="65"/>
      <c r="F72" s="66"/>
      <c r="G72" s="76"/>
      <c r="H72" s="64"/>
      <c r="I72" s="76"/>
      <c r="J72" s="76"/>
      <c r="K72" s="93"/>
    </row>
    <row r="73" spans="1:11" s="61" customFormat="1" x14ac:dyDescent="0.3">
      <c r="B73" s="67"/>
      <c r="C73" s="63"/>
      <c r="D73" s="64"/>
      <c r="E73" s="65"/>
      <c r="F73" s="66"/>
      <c r="G73" s="62"/>
      <c r="H73" s="64"/>
      <c r="I73" s="62"/>
      <c r="J73" s="76"/>
      <c r="K73" s="93"/>
    </row>
    <row r="74" spans="1:11" s="61" customFormat="1" x14ac:dyDescent="0.3">
      <c r="B74" s="67"/>
      <c r="C74" s="63"/>
      <c r="D74" s="64"/>
      <c r="E74" s="65"/>
      <c r="F74" s="66"/>
      <c r="G74" s="62"/>
      <c r="H74" s="64"/>
      <c r="I74" s="62"/>
      <c r="J74" s="76"/>
      <c r="K74" s="93"/>
    </row>
    <row r="75" spans="1:11" s="61" customFormat="1" x14ac:dyDescent="0.3">
      <c r="B75" s="67"/>
      <c r="C75" s="63"/>
      <c r="D75" s="64"/>
      <c r="E75" s="65"/>
      <c r="F75" s="66"/>
      <c r="G75" s="62"/>
      <c r="H75" s="64"/>
      <c r="I75" s="62"/>
      <c r="J75" s="76"/>
      <c r="K75" s="93"/>
    </row>
    <row r="76" spans="1:11" s="61" customFormat="1" x14ac:dyDescent="0.3">
      <c r="B76" s="67"/>
      <c r="C76" s="63"/>
      <c r="D76" s="64"/>
      <c r="E76" s="65"/>
      <c r="F76" s="66"/>
      <c r="G76" s="62"/>
      <c r="H76" s="64"/>
      <c r="I76" s="62"/>
      <c r="J76" s="76"/>
      <c r="K76" s="93"/>
    </row>
    <row r="77" spans="1:11" s="61" customFormat="1" x14ac:dyDescent="0.3">
      <c r="B77" s="67"/>
      <c r="C77" s="63"/>
      <c r="D77" s="64"/>
      <c r="E77" s="65"/>
      <c r="F77" s="66"/>
      <c r="G77" s="62"/>
      <c r="H77" s="64"/>
      <c r="I77" s="62"/>
      <c r="J77" s="76"/>
      <c r="K77" s="93"/>
    </row>
    <row r="78" spans="1:11" s="61" customFormat="1" x14ac:dyDescent="0.3">
      <c r="B78" s="67"/>
      <c r="C78" s="63"/>
      <c r="D78" s="64"/>
      <c r="E78" s="65"/>
      <c r="F78" s="66"/>
      <c r="G78" s="62"/>
      <c r="H78" s="64"/>
      <c r="I78" s="62"/>
      <c r="J78" s="76"/>
      <c r="K78" s="93"/>
    </row>
    <row r="79" spans="1:11" s="61" customFormat="1" x14ac:dyDescent="0.3">
      <c r="B79" s="67"/>
      <c r="C79" s="63"/>
      <c r="D79" s="64"/>
      <c r="E79" s="65"/>
      <c r="F79" s="66"/>
      <c r="G79" s="62"/>
      <c r="H79" s="64"/>
      <c r="I79" s="62"/>
      <c r="J79" s="76"/>
      <c r="K79" s="93"/>
    </row>
    <row r="80" spans="1:11" s="61" customFormat="1" x14ac:dyDescent="0.3">
      <c r="B80" s="67"/>
      <c r="C80" s="63"/>
      <c r="D80" s="64"/>
      <c r="E80" s="65"/>
      <c r="F80" s="66"/>
      <c r="G80" s="62"/>
      <c r="H80" s="64"/>
      <c r="I80" s="62"/>
      <c r="J80" s="76"/>
      <c r="K80" s="93"/>
    </row>
    <row r="81" spans="2:11" s="61" customFormat="1" x14ac:dyDescent="0.3">
      <c r="B81" s="67"/>
      <c r="C81" s="63"/>
      <c r="D81" s="64"/>
      <c r="E81" s="65"/>
      <c r="F81" s="66"/>
      <c r="G81" s="62"/>
      <c r="H81" s="64"/>
      <c r="I81" s="62"/>
      <c r="J81" s="76"/>
      <c r="K81" s="93"/>
    </row>
    <row r="82" spans="2:11" s="61" customFormat="1" x14ac:dyDescent="0.3">
      <c r="B82" s="67"/>
      <c r="C82" s="63"/>
      <c r="D82" s="64"/>
      <c r="E82" s="65"/>
      <c r="F82" s="66"/>
      <c r="G82" s="62"/>
      <c r="H82" s="64"/>
      <c r="I82" s="62"/>
      <c r="J82" s="76"/>
      <c r="K82" s="93"/>
    </row>
    <row r="83" spans="2:11" s="61" customFormat="1" x14ac:dyDescent="0.3">
      <c r="B83" s="67"/>
      <c r="C83" s="63"/>
      <c r="D83" s="64"/>
      <c r="E83" s="65"/>
      <c r="F83" s="66"/>
      <c r="G83" s="62"/>
      <c r="H83" s="64"/>
      <c r="I83" s="62"/>
      <c r="J83" s="64"/>
      <c r="K83" s="93"/>
    </row>
    <row r="84" spans="2:11" s="61" customFormat="1" ht="18" customHeight="1" x14ac:dyDescent="0.3">
      <c r="B84" s="67"/>
      <c r="C84" s="63"/>
      <c r="D84" s="64"/>
      <c r="E84" s="65"/>
      <c r="F84" s="66"/>
      <c r="G84" s="62"/>
      <c r="H84" s="64"/>
      <c r="I84" s="62"/>
      <c r="J84" s="64"/>
      <c r="K84" s="93"/>
    </row>
    <row r="85" spans="2:11" s="61" customFormat="1" x14ac:dyDescent="0.3">
      <c r="B85" s="67"/>
      <c r="C85" s="63"/>
      <c r="D85" s="64"/>
      <c r="E85" s="65"/>
      <c r="F85" s="66"/>
      <c r="G85" s="62"/>
      <c r="H85" s="64"/>
      <c r="I85" s="62"/>
      <c r="J85" s="64"/>
      <c r="K85" s="93"/>
    </row>
    <row r="86" spans="2:11" s="61" customFormat="1" x14ac:dyDescent="0.3">
      <c r="B86" s="67"/>
      <c r="C86" s="63"/>
      <c r="D86" s="64"/>
      <c r="E86" s="65"/>
      <c r="F86" s="66"/>
      <c r="G86" s="62"/>
      <c r="H86" s="64"/>
      <c r="I86" s="62"/>
      <c r="J86" s="64"/>
      <c r="K86" s="93"/>
    </row>
    <row r="87" spans="2:11" s="61" customFormat="1" x14ac:dyDescent="0.3">
      <c r="B87" s="67"/>
      <c r="C87" s="63"/>
      <c r="D87" s="64"/>
      <c r="E87" s="65"/>
      <c r="F87" s="66"/>
      <c r="G87" s="62"/>
      <c r="H87" s="64"/>
      <c r="I87" s="62"/>
      <c r="J87" s="64"/>
      <c r="K87" s="93"/>
    </row>
    <row r="88" spans="2:11" s="61" customFormat="1" x14ac:dyDescent="0.3">
      <c r="B88" s="67"/>
      <c r="C88" s="63"/>
      <c r="D88" s="64"/>
      <c r="E88" s="65"/>
      <c r="F88" s="66"/>
      <c r="G88" s="62"/>
      <c r="H88" s="64"/>
      <c r="I88" s="62"/>
      <c r="J88" s="64"/>
      <c r="K88" s="93"/>
    </row>
    <row r="89" spans="2:11" s="61" customFormat="1" x14ac:dyDescent="0.3">
      <c r="B89" s="67"/>
      <c r="C89" s="63"/>
      <c r="D89" s="64"/>
      <c r="E89" s="65"/>
      <c r="F89" s="66"/>
      <c r="G89" s="62"/>
      <c r="H89" s="64"/>
      <c r="I89" s="62"/>
      <c r="J89" s="64"/>
      <c r="K89" s="93"/>
    </row>
    <row r="90" spans="2:11" s="61" customFormat="1" x14ac:dyDescent="0.3">
      <c r="B90" s="67"/>
      <c r="C90" s="63"/>
      <c r="D90" s="64"/>
      <c r="E90" s="65"/>
      <c r="F90" s="66"/>
      <c r="G90" s="62"/>
      <c r="H90" s="64"/>
      <c r="I90" s="62"/>
      <c r="J90" s="64"/>
      <c r="K90" s="93"/>
    </row>
    <row r="91" spans="2:11" s="61" customFormat="1" ht="72" customHeight="1" x14ac:dyDescent="0.3">
      <c r="B91" s="67"/>
      <c r="C91" s="63"/>
      <c r="D91" s="64"/>
      <c r="E91" s="65"/>
      <c r="F91" s="66"/>
      <c r="G91" s="62"/>
      <c r="H91" s="64"/>
      <c r="I91" s="62"/>
      <c r="J91" s="64"/>
      <c r="K91" s="93"/>
    </row>
    <row r="92" spans="2:11" s="61" customFormat="1" x14ac:dyDescent="0.3">
      <c r="B92" s="67"/>
      <c r="C92" s="63"/>
      <c r="D92" s="64"/>
      <c r="E92" s="65"/>
      <c r="F92" s="66"/>
      <c r="G92" s="62"/>
      <c r="H92" s="64"/>
      <c r="I92" s="62"/>
      <c r="J92" s="64"/>
      <c r="K92" s="93"/>
    </row>
    <row r="93" spans="2:11" s="61" customFormat="1" x14ac:dyDescent="0.3">
      <c r="B93" s="67"/>
      <c r="C93" s="63"/>
      <c r="D93" s="64"/>
      <c r="E93" s="65"/>
      <c r="F93" s="66"/>
      <c r="G93" s="62"/>
      <c r="H93" s="64"/>
      <c r="I93" s="62"/>
      <c r="J93" s="64"/>
      <c r="K93" s="93"/>
    </row>
    <row r="94" spans="2:11" s="61" customFormat="1" x14ac:dyDescent="0.3">
      <c r="B94" s="67"/>
      <c r="C94" s="63"/>
      <c r="D94" s="64"/>
      <c r="E94" s="65"/>
      <c r="F94" s="66"/>
      <c r="G94" s="62"/>
      <c r="H94" s="64"/>
      <c r="I94" s="62"/>
      <c r="J94" s="64"/>
      <c r="K94" s="93"/>
    </row>
    <row r="95" spans="2:11" s="61" customFormat="1" x14ac:dyDescent="0.3">
      <c r="B95" s="67"/>
      <c r="C95" s="63"/>
      <c r="D95" s="64"/>
      <c r="E95" s="65"/>
      <c r="F95" s="66"/>
      <c r="G95" s="62"/>
      <c r="H95" s="64"/>
      <c r="I95" s="62"/>
      <c r="J95" s="64"/>
      <c r="K95" s="93"/>
    </row>
    <row r="96" spans="2:11" s="61" customFormat="1" x14ac:dyDescent="0.3">
      <c r="B96" s="67"/>
      <c r="C96" s="63"/>
      <c r="D96" s="64"/>
      <c r="E96" s="65"/>
      <c r="F96" s="66"/>
      <c r="G96" s="62"/>
      <c r="H96" s="64"/>
      <c r="I96" s="62"/>
      <c r="J96" s="64"/>
      <c r="K96" s="93"/>
    </row>
    <row r="97" spans="2:11" s="61" customFormat="1" x14ac:dyDescent="0.3">
      <c r="B97" s="67"/>
      <c r="C97" s="63"/>
      <c r="D97" s="64"/>
      <c r="E97" s="65"/>
      <c r="F97" s="66"/>
      <c r="G97" s="62"/>
      <c r="H97" s="64"/>
      <c r="I97" s="62"/>
      <c r="J97" s="64"/>
      <c r="K97" s="93"/>
    </row>
    <row r="98" spans="2:11" s="61" customFormat="1" x14ac:dyDescent="0.3">
      <c r="B98" s="67"/>
      <c r="C98" s="63"/>
      <c r="D98" s="64"/>
      <c r="E98" s="65"/>
      <c r="F98" s="66"/>
      <c r="G98" s="62"/>
      <c r="H98" s="64"/>
      <c r="I98" s="62"/>
      <c r="J98" s="64"/>
      <c r="K98" s="93"/>
    </row>
    <row r="99" spans="2:11" s="61" customFormat="1" x14ac:dyDescent="0.3">
      <c r="B99" s="67"/>
      <c r="C99" s="63"/>
      <c r="D99" s="64"/>
      <c r="E99" s="65"/>
      <c r="F99" s="66"/>
      <c r="G99" s="62"/>
      <c r="H99" s="64"/>
      <c r="I99" s="62"/>
      <c r="J99" s="64"/>
      <c r="K99" s="93"/>
    </row>
    <row r="100" spans="2:11" s="61" customFormat="1" x14ac:dyDescent="0.3">
      <c r="B100" s="67"/>
      <c r="C100" s="63"/>
      <c r="D100" s="64"/>
      <c r="E100" s="65"/>
      <c r="F100" s="66"/>
      <c r="G100" s="62"/>
      <c r="H100" s="64"/>
      <c r="I100" s="62"/>
      <c r="J100" s="64"/>
      <c r="K100" s="93"/>
    </row>
    <row r="101" spans="2:11" s="61" customFormat="1" x14ac:dyDescent="0.3">
      <c r="B101" s="67"/>
      <c r="C101" s="63"/>
      <c r="D101" s="64"/>
      <c r="E101" s="65"/>
      <c r="F101" s="66"/>
      <c r="G101" s="62"/>
      <c r="H101" s="64"/>
      <c r="I101" s="62"/>
      <c r="J101" s="64"/>
      <c r="K101" s="93"/>
    </row>
    <row r="102" spans="2:11" s="61" customFormat="1" x14ac:dyDescent="0.3">
      <c r="B102" s="67"/>
      <c r="C102" s="63"/>
      <c r="D102" s="64"/>
      <c r="E102" s="65"/>
      <c r="F102" s="66"/>
      <c r="G102" s="62"/>
      <c r="H102" s="64"/>
      <c r="I102" s="62"/>
      <c r="J102" s="64"/>
      <c r="K102" s="93"/>
    </row>
    <row r="103" spans="2:11" s="61" customFormat="1" x14ac:dyDescent="0.3">
      <c r="B103" s="67"/>
      <c r="C103" s="63"/>
      <c r="D103" s="64"/>
      <c r="E103" s="65"/>
      <c r="F103" s="66"/>
      <c r="G103" s="62"/>
      <c r="H103" s="64"/>
      <c r="I103" s="62"/>
      <c r="J103" s="64"/>
      <c r="K103" s="93"/>
    </row>
    <row r="104" spans="2:11" s="61" customFormat="1" x14ac:dyDescent="0.3">
      <c r="B104" s="67"/>
      <c r="C104" s="63"/>
      <c r="D104" s="64"/>
      <c r="E104" s="65"/>
      <c r="F104" s="66"/>
      <c r="G104" s="62"/>
      <c r="H104" s="64"/>
      <c r="I104" s="62"/>
      <c r="J104" s="64"/>
      <c r="K104" s="93"/>
    </row>
    <row r="105" spans="2:11" s="61" customFormat="1" x14ac:dyDescent="0.3">
      <c r="B105" s="67"/>
      <c r="C105" s="63"/>
      <c r="D105" s="64"/>
      <c r="E105" s="65"/>
      <c r="F105" s="66"/>
      <c r="G105" s="62"/>
      <c r="H105" s="64"/>
      <c r="I105" s="62"/>
      <c r="J105" s="64"/>
      <c r="K105" s="93"/>
    </row>
    <row r="106" spans="2:11" s="61" customFormat="1" x14ac:dyDescent="0.3">
      <c r="B106" s="67"/>
      <c r="C106" s="63"/>
      <c r="D106" s="64"/>
      <c r="E106" s="65"/>
      <c r="F106" s="66"/>
      <c r="G106" s="62"/>
      <c r="H106" s="64"/>
      <c r="I106" s="62"/>
      <c r="J106" s="64"/>
      <c r="K106" s="93"/>
    </row>
    <row r="107" spans="2:11" s="61" customFormat="1" x14ac:dyDescent="0.3">
      <c r="B107" s="67"/>
      <c r="C107" s="63"/>
      <c r="D107" s="64"/>
      <c r="E107" s="65"/>
      <c r="F107" s="66"/>
      <c r="G107" s="62"/>
      <c r="H107" s="64"/>
      <c r="I107" s="62"/>
      <c r="J107" s="64"/>
      <c r="K107" s="93"/>
    </row>
    <row r="108" spans="2:11" s="61" customFormat="1" x14ac:dyDescent="0.3">
      <c r="B108" s="67"/>
      <c r="C108" s="63"/>
      <c r="D108" s="64"/>
      <c r="E108" s="65"/>
      <c r="F108" s="66"/>
      <c r="G108" s="62"/>
      <c r="H108" s="64"/>
      <c r="I108" s="62"/>
      <c r="J108" s="64"/>
      <c r="K108" s="93"/>
    </row>
    <row r="109" spans="2:11" s="61" customFormat="1" x14ac:dyDescent="0.3">
      <c r="B109" s="67"/>
      <c r="C109" s="63"/>
      <c r="D109" s="64"/>
      <c r="E109" s="65"/>
      <c r="F109" s="66"/>
      <c r="G109" s="62"/>
      <c r="H109" s="64"/>
      <c r="I109" s="62"/>
      <c r="J109" s="64"/>
      <c r="K109" s="93"/>
    </row>
    <row r="110" spans="2:11" s="61" customFormat="1" x14ac:dyDescent="0.3">
      <c r="B110" s="67"/>
      <c r="C110" s="63"/>
      <c r="D110" s="64"/>
      <c r="E110" s="65"/>
      <c r="F110" s="66"/>
      <c r="G110" s="62"/>
      <c r="H110" s="64"/>
      <c r="I110" s="62"/>
      <c r="J110" s="64"/>
      <c r="K110" s="93"/>
    </row>
    <row r="111" spans="2:11" s="61" customFormat="1" x14ac:dyDescent="0.3">
      <c r="B111" s="67"/>
      <c r="C111" s="63"/>
      <c r="D111" s="64"/>
      <c r="E111" s="65"/>
      <c r="F111" s="66"/>
      <c r="G111" s="62"/>
      <c r="H111" s="64"/>
      <c r="I111" s="62"/>
      <c r="J111" s="64"/>
      <c r="K111" s="93"/>
    </row>
    <row r="112" spans="2:11" s="61" customFormat="1" ht="20.100000000000001" customHeight="1" x14ac:dyDescent="0.3">
      <c r="B112" s="67"/>
      <c r="C112" s="63"/>
      <c r="D112" s="64"/>
      <c r="E112" s="65"/>
      <c r="F112" s="66"/>
      <c r="G112" s="62"/>
      <c r="H112" s="64"/>
      <c r="I112" s="62"/>
      <c r="J112" s="64"/>
      <c r="K112" s="93"/>
    </row>
    <row r="113" spans="2:11" s="61" customFormat="1" x14ac:dyDescent="0.3">
      <c r="B113" s="67"/>
      <c r="C113" s="63"/>
      <c r="D113" s="64"/>
      <c r="E113" s="65"/>
      <c r="F113" s="66"/>
      <c r="G113" s="62"/>
      <c r="H113" s="64"/>
      <c r="I113" s="62"/>
      <c r="J113" s="64"/>
      <c r="K113" s="93"/>
    </row>
    <row r="114" spans="2:11" s="61" customFormat="1" x14ac:dyDescent="0.3">
      <c r="B114" s="67"/>
      <c r="C114" s="63"/>
      <c r="D114" s="64"/>
      <c r="E114" s="65"/>
      <c r="F114" s="66"/>
      <c r="G114" s="62"/>
      <c r="H114" s="64"/>
      <c r="I114" s="62"/>
      <c r="J114" s="64"/>
      <c r="K114" s="93"/>
    </row>
    <row r="115" spans="2:11" s="61" customFormat="1" x14ac:dyDescent="0.3">
      <c r="B115" s="67"/>
      <c r="C115" s="63"/>
      <c r="D115" s="64"/>
      <c r="E115" s="65"/>
      <c r="F115" s="66"/>
      <c r="G115" s="62"/>
      <c r="H115" s="64"/>
      <c r="I115" s="62"/>
      <c r="J115" s="64"/>
      <c r="K115" s="93"/>
    </row>
    <row r="116" spans="2:11" s="61" customFormat="1" x14ac:dyDescent="0.3">
      <c r="B116" s="67"/>
      <c r="C116" s="63"/>
      <c r="D116" s="64"/>
      <c r="E116" s="65"/>
      <c r="F116" s="66"/>
      <c r="G116" s="62"/>
      <c r="H116" s="64"/>
      <c r="I116" s="62"/>
      <c r="J116" s="64"/>
      <c r="K116" s="93"/>
    </row>
    <row r="117" spans="2:11" s="61" customFormat="1" x14ac:dyDescent="0.3">
      <c r="B117" s="67"/>
      <c r="C117" s="63"/>
      <c r="D117" s="64"/>
      <c r="E117" s="65"/>
      <c r="F117" s="66"/>
      <c r="G117" s="62"/>
      <c r="H117" s="64"/>
      <c r="I117" s="62"/>
      <c r="J117" s="64"/>
      <c r="K117" s="93"/>
    </row>
    <row r="118" spans="2:11" s="61" customFormat="1" ht="18" customHeight="1" x14ac:dyDescent="0.3">
      <c r="B118" s="67"/>
      <c r="C118" s="63"/>
      <c r="D118" s="64"/>
      <c r="E118" s="65"/>
      <c r="F118" s="66"/>
      <c r="G118" s="62"/>
      <c r="H118" s="64"/>
      <c r="I118" s="62"/>
      <c r="J118" s="64"/>
      <c r="K118" s="93"/>
    </row>
    <row r="119" spans="2:11" s="61" customFormat="1" x14ac:dyDescent="0.3">
      <c r="B119" s="67"/>
      <c r="C119" s="63"/>
      <c r="D119" s="64"/>
      <c r="E119" s="65"/>
      <c r="F119" s="66"/>
      <c r="G119" s="62"/>
      <c r="H119" s="64"/>
      <c r="I119" s="62"/>
      <c r="J119" s="64"/>
      <c r="K119" s="93"/>
    </row>
    <row r="120" spans="2:11" s="61" customFormat="1" x14ac:dyDescent="0.3">
      <c r="B120" s="67"/>
      <c r="C120" s="63"/>
      <c r="D120" s="64"/>
      <c r="E120" s="65"/>
      <c r="F120" s="66"/>
      <c r="G120" s="62"/>
      <c r="H120" s="64"/>
      <c r="I120" s="62"/>
      <c r="J120" s="64"/>
      <c r="K120" s="93"/>
    </row>
    <row r="121" spans="2:11" s="61" customFormat="1" x14ac:dyDescent="0.3">
      <c r="B121" s="67"/>
      <c r="C121" s="63"/>
      <c r="D121" s="64"/>
      <c r="E121" s="65"/>
      <c r="F121" s="66"/>
      <c r="G121" s="62"/>
      <c r="H121" s="64"/>
      <c r="I121" s="62"/>
      <c r="J121" s="64"/>
      <c r="K121" s="93"/>
    </row>
    <row r="122" spans="2:11" s="61" customFormat="1" x14ac:dyDescent="0.3">
      <c r="B122" s="67"/>
      <c r="C122" s="63"/>
      <c r="D122" s="64"/>
      <c r="E122" s="65"/>
      <c r="F122" s="66"/>
      <c r="G122" s="62"/>
      <c r="H122" s="64"/>
      <c r="I122" s="62"/>
      <c r="J122" s="64"/>
      <c r="K122" s="93"/>
    </row>
    <row r="123" spans="2:11" s="61" customFormat="1" x14ac:dyDescent="0.3">
      <c r="B123" s="67"/>
      <c r="C123" s="63"/>
      <c r="D123" s="64"/>
      <c r="E123" s="65"/>
      <c r="F123" s="66"/>
      <c r="G123" s="62"/>
      <c r="H123" s="64"/>
      <c r="I123" s="62"/>
      <c r="J123" s="64"/>
      <c r="K123" s="93"/>
    </row>
    <row r="124" spans="2:11" s="61" customFormat="1" x14ac:dyDescent="0.3">
      <c r="B124" s="67"/>
      <c r="C124" s="63"/>
      <c r="D124" s="64"/>
      <c r="E124" s="65"/>
      <c r="F124" s="66"/>
      <c r="G124" s="62"/>
      <c r="H124" s="64"/>
      <c r="I124" s="62"/>
      <c r="J124" s="64"/>
      <c r="K124" s="93"/>
    </row>
    <row r="125" spans="2:11" s="61" customFormat="1" ht="15.6" customHeight="1" x14ac:dyDescent="0.3">
      <c r="B125" s="67"/>
      <c r="C125" s="63"/>
      <c r="D125" s="64"/>
      <c r="E125" s="65"/>
      <c r="F125" s="66"/>
      <c r="G125" s="62"/>
      <c r="H125" s="64"/>
      <c r="I125" s="62"/>
      <c r="J125" s="64"/>
      <c r="K125" s="93"/>
    </row>
    <row r="126" spans="2:11" s="61" customFormat="1" x14ac:dyDescent="0.3">
      <c r="B126" s="67"/>
      <c r="C126" s="63"/>
      <c r="D126" s="64"/>
      <c r="E126" s="65"/>
      <c r="F126" s="66"/>
      <c r="G126" s="62"/>
      <c r="H126" s="64"/>
      <c r="I126" s="62"/>
      <c r="J126" s="64"/>
      <c r="K126" s="93"/>
    </row>
    <row r="127" spans="2:11" s="61" customFormat="1" x14ac:dyDescent="0.3">
      <c r="B127" s="67"/>
      <c r="C127" s="63"/>
      <c r="D127" s="64"/>
      <c r="E127" s="65"/>
      <c r="F127" s="66"/>
      <c r="G127" s="62"/>
      <c r="H127" s="64"/>
      <c r="I127" s="62"/>
      <c r="J127" s="64"/>
      <c r="K127" s="93"/>
    </row>
    <row r="128" spans="2:11" s="61" customFormat="1" x14ac:dyDescent="0.3">
      <c r="B128" s="67"/>
      <c r="C128" s="63"/>
      <c r="D128" s="64"/>
      <c r="E128" s="65"/>
      <c r="F128" s="66"/>
      <c r="G128" s="62"/>
      <c r="H128" s="64"/>
      <c r="I128" s="62"/>
      <c r="J128" s="64"/>
      <c r="K128" s="93"/>
    </row>
    <row r="129" spans="2:11" s="61" customFormat="1" x14ac:dyDescent="0.3">
      <c r="B129" s="67"/>
      <c r="C129" s="63"/>
      <c r="D129" s="64"/>
      <c r="E129" s="65"/>
      <c r="F129" s="66"/>
      <c r="G129" s="62"/>
      <c r="H129" s="64"/>
      <c r="I129" s="62"/>
      <c r="J129" s="64"/>
      <c r="K129" s="93"/>
    </row>
    <row r="130" spans="2:11" s="61" customFormat="1" x14ac:dyDescent="0.3">
      <c r="B130" s="67"/>
      <c r="C130" s="63"/>
      <c r="D130" s="64"/>
      <c r="E130" s="65"/>
      <c r="F130" s="66"/>
      <c r="G130" s="62"/>
      <c r="H130" s="64"/>
      <c r="I130" s="62"/>
      <c r="J130" s="64"/>
      <c r="K130" s="93"/>
    </row>
    <row r="131" spans="2:11" s="61" customFormat="1" x14ac:dyDescent="0.3">
      <c r="B131" s="67"/>
      <c r="C131" s="63"/>
      <c r="D131" s="64"/>
      <c r="E131" s="65"/>
      <c r="F131" s="66"/>
      <c r="G131" s="62"/>
      <c r="H131" s="64"/>
      <c r="I131" s="62"/>
      <c r="J131" s="64"/>
      <c r="K131" s="93"/>
    </row>
    <row r="132" spans="2:11" s="61" customFormat="1" x14ac:dyDescent="0.3">
      <c r="B132" s="67"/>
      <c r="C132" s="63"/>
      <c r="D132" s="64"/>
      <c r="E132" s="65"/>
      <c r="F132" s="66"/>
      <c r="G132" s="62"/>
      <c r="H132" s="64"/>
      <c r="I132" s="62"/>
      <c r="J132" s="64"/>
      <c r="K132" s="93"/>
    </row>
    <row r="133" spans="2:11" s="61" customFormat="1" x14ac:dyDescent="0.3">
      <c r="B133" s="67"/>
      <c r="C133" s="63"/>
      <c r="D133" s="64"/>
      <c r="E133" s="65"/>
      <c r="F133" s="66"/>
      <c r="G133" s="62"/>
      <c r="H133" s="64"/>
      <c r="I133" s="62"/>
      <c r="J133" s="64"/>
      <c r="K133" s="93"/>
    </row>
    <row r="134" spans="2:11" s="61" customFormat="1" x14ac:dyDescent="0.3">
      <c r="B134" s="67"/>
      <c r="C134" s="63"/>
      <c r="D134" s="64"/>
      <c r="E134" s="65"/>
      <c r="F134" s="66"/>
      <c r="G134" s="62"/>
      <c r="H134" s="64"/>
      <c r="I134" s="62"/>
      <c r="J134" s="64"/>
      <c r="K134" s="93"/>
    </row>
    <row r="135" spans="2:11" s="61" customFormat="1" x14ac:dyDescent="0.3">
      <c r="B135" s="67"/>
      <c r="C135" s="63"/>
      <c r="D135" s="64"/>
      <c r="E135" s="65"/>
      <c r="F135" s="66"/>
      <c r="G135" s="62"/>
      <c r="H135" s="64"/>
      <c r="I135" s="62"/>
      <c r="J135" s="64"/>
      <c r="K135" s="93"/>
    </row>
    <row r="136" spans="2:11" s="61" customFormat="1" x14ac:dyDescent="0.3">
      <c r="B136" s="67"/>
      <c r="C136" s="63"/>
      <c r="D136" s="64"/>
      <c r="E136" s="65"/>
      <c r="F136" s="66"/>
      <c r="G136" s="62"/>
      <c r="H136" s="64"/>
      <c r="I136" s="62"/>
      <c r="J136" s="64"/>
      <c r="K136" s="93"/>
    </row>
    <row r="137" spans="2:11" s="61" customFormat="1" x14ac:dyDescent="0.3">
      <c r="B137" s="67"/>
      <c r="C137" s="63"/>
      <c r="D137" s="64"/>
      <c r="E137" s="65"/>
      <c r="F137" s="66"/>
      <c r="G137" s="62"/>
      <c r="H137" s="64"/>
      <c r="I137" s="62"/>
      <c r="J137" s="64"/>
      <c r="K137" s="93"/>
    </row>
    <row r="138" spans="2:11" s="61" customFormat="1" x14ac:dyDescent="0.3">
      <c r="B138" s="67"/>
      <c r="C138" s="63"/>
      <c r="D138" s="64"/>
      <c r="E138" s="65"/>
      <c r="F138" s="66"/>
      <c r="G138" s="62"/>
      <c r="H138" s="64"/>
      <c r="I138" s="62"/>
      <c r="J138" s="64"/>
      <c r="K138" s="93"/>
    </row>
    <row r="139" spans="2:11" s="61" customFormat="1" x14ac:dyDescent="0.3">
      <c r="B139" s="67"/>
      <c r="C139" s="63"/>
      <c r="D139" s="64"/>
      <c r="E139" s="65"/>
      <c r="F139" s="66"/>
      <c r="G139" s="62"/>
      <c r="H139" s="64"/>
      <c r="I139" s="62"/>
      <c r="J139" s="64"/>
      <c r="K139" s="93"/>
    </row>
    <row r="140" spans="2:11" s="61" customFormat="1" x14ac:dyDescent="0.3">
      <c r="B140" s="67"/>
      <c r="C140" s="63"/>
      <c r="D140" s="64"/>
      <c r="E140" s="65"/>
      <c r="F140" s="66"/>
      <c r="G140" s="62"/>
      <c r="H140" s="64"/>
      <c r="I140" s="62"/>
      <c r="J140" s="64"/>
      <c r="K140" s="93"/>
    </row>
    <row r="141" spans="2:11" s="61" customFormat="1" x14ac:dyDescent="0.3">
      <c r="B141" s="67"/>
      <c r="C141" s="63"/>
      <c r="D141" s="64"/>
      <c r="E141" s="65"/>
      <c r="F141" s="66"/>
      <c r="G141" s="62"/>
      <c r="H141" s="64"/>
      <c r="I141" s="62"/>
      <c r="J141" s="64"/>
      <c r="K141" s="93"/>
    </row>
    <row r="142" spans="2:11" s="61" customFormat="1" x14ac:dyDescent="0.3">
      <c r="B142" s="67"/>
      <c r="C142" s="63"/>
      <c r="D142" s="64"/>
      <c r="E142" s="65"/>
      <c r="F142" s="66"/>
      <c r="G142" s="62"/>
      <c r="H142" s="64"/>
      <c r="I142" s="62"/>
      <c r="J142" s="64"/>
      <c r="K142" s="93"/>
    </row>
    <row r="143" spans="2:11" s="61" customFormat="1" x14ac:dyDescent="0.3">
      <c r="B143" s="67"/>
      <c r="C143" s="63"/>
      <c r="D143" s="64"/>
      <c r="E143" s="65"/>
      <c r="F143" s="66"/>
      <c r="G143" s="62"/>
      <c r="H143" s="64"/>
      <c r="I143" s="62"/>
      <c r="J143" s="64"/>
      <c r="K143" s="93"/>
    </row>
    <row r="144" spans="2:11" s="61" customFormat="1" x14ac:dyDescent="0.3">
      <c r="B144" s="67"/>
      <c r="C144" s="63"/>
      <c r="D144" s="64"/>
      <c r="E144" s="65"/>
      <c r="F144" s="66"/>
      <c r="G144" s="62"/>
      <c r="H144" s="64"/>
      <c r="I144" s="62"/>
      <c r="J144" s="64"/>
      <c r="K144" s="93"/>
    </row>
    <row r="145" spans="2:11" s="61" customFormat="1" x14ac:dyDescent="0.3">
      <c r="B145" s="67"/>
      <c r="C145" s="63"/>
      <c r="D145" s="64"/>
      <c r="E145" s="65"/>
      <c r="F145" s="66"/>
      <c r="G145" s="62"/>
      <c r="H145" s="64"/>
      <c r="I145" s="62"/>
      <c r="J145" s="64"/>
      <c r="K145" s="93"/>
    </row>
    <row r="146" spans="2:11" s="61" customFormat="1" x14ac:dyDescent="0.3">
      <c r="B146" s="67"/>
      <c r="C146" s="63"/>
      <c r="D146" s="64"/>
      <c r="E146" s="65"/>
      <c r="F146" s="66"/>
      <c r="G146" s="62"/>
      <c r="H146" s="64"/>
      <c r="I146" s="62"/>
      <c r="J146" s="64"/>
      <c r="K146" s="93"/>
    </row>
    <row r="147" spans="2:11" s="61" customFormat="1" x14ac:dyDescent="0.3">
      <c r="B147" s="67"/>
      <c r="C147" s="63"/>
      <c r="D147" s="64"/>
      <c r="E147" s="65"/>
      <c r="F147" s="66"/>
      <c r="G147" s="62"/>
      <c r="H147" s="64"/>
      <c r="I147" s="62"/>
      <c r="J147" s="64"/>
      <c r="K147" s="93"/>
    </row>
    <row r="148" spans="2:11" s="61" customFormat="1" x14ac:dyDescent="0.3">
      <c r="B148" s="67"/>
      <c r="C148" s="63"/>
      <c r="D148" s="64"/>
      <c r="E148" s="65"/>
      <c r="F148" s="66"/>
      <c r="G148" s="62"/>
      <c r="H148" s="64"/>
      <c r="I148" s="62"/>
      <c r="J148" s="64"/>
      <c r="K148" s="93"/>
    </row>
    <row r="149" spans="2:11" s="61" customFormat="1" x14ac:dyDescent="0.3">
      <c r="B149" s="67"/>
      <c r="C149" s="63"/>
      <c r="D149" s="64"/>
      <c r="E149" s="65"/>
      <c r="F149" s="66"/>
      <c r="G149" s="62"/>
      <c r="H149" s="64"/>
      <c r="I149" s="62"/>
      <c r="J149" s="64"/>
      <c r="K149" s="93"/>
    </row>
    <row r="150" spans="2:11" s="61" customFormat="1" x14ac:dyDescent="0.3">
      <c r="B150" s="67"/>
      <c r="C150" s="63"/>
      <c r="D150" s="64"/>
      <c r="E150" s="65"/>
      <c r="F150" s="66"/>
      <c r="G150" s="62"/>
      <c r="H150" s="64"/>
      <c r="I150" s="62"/>
      <c r="J150" s="64"/>
      <c r="K150" s="93"/>
    </row>
    <row r="151" spans="2:11" s="61" customFormat="1" x14ac:dyDescent="0.3">
      <c r="B151" s="67"/>
      <c r="C151" s="63"/>
      <c r="D151" s="64"/>
      <c r="E151" s="65"/>
      <c r="F151" s="66"/>
      <c r="G151" s="62"/>
      <c r="H151" s="64"/>
      <c r="I151" s="62"/>
      <c r="J151" s="64"/>
      <c r="K151" s="93"/>
    </row>
    <row r="152" spans="2:11" s="61" customFormat="1" ht="18" customHeight="1" x14ac:dyDescent="0.3">
      <c r="B152" s="67"/>
      <c r="C152" s="63"/>
      <c r="D152" s="64"/>
      <c r="E152" s="65"/>
      <c r="F152" s="66"/>
      <c r="G152" s="62"/>
      <c r="H152" s="64"/>
      <c r="I152" s="62"/>
      <c r="J152" s="64"/>
      <c r="K152" s="93"/>
    </row>
    <row r="153" spans="2:11" s="61" customFormat="1" x14ac:dyDescent="0.3">
      <c r="B153" s="67"/>
      <c r="C153" s="63"/>
      <c r="D153" s="64"/>
      <c r="E153" s="65"/>
      <c r="F153" s="66"/>
      <c r="G153" s="62"/>
      <c r="H153" s="64"/>
      <c r="I153" s="62"/>
      <c r="J153" s="64"/>
      <c r="K153" s="93"/>
    </row>
    <row r="154" spans="2:11" s="61" customFormat="1" x14ac:dyDescent="0.3">
      <c r="B154" s="67"/>
      <c r="C154" s="63"/>
      <c r="D154" s="64"/>
      <c r="E154" s="65"/>
      <c r="F154" s="66"/>
      <c r="G154" s="62"/>
      <c r="H154" s="64"/>
      <c r="I154" s="62"/>
      <c r="J154" s="64"/>
      <c r="K154" s="93"/>
    </row>
    <row r="155" spans="2:11" s="61" customFormat="1" x14ac:dyDescent="0.3">
      <c r="B155" s="67"/>
      <c r="C155" s="63"/>
      <c r="D155" s="64"/>
      <c r="E155" s="65"/>
      <c r="F155" s="66"/>
      <c r="G155" s="62"/>
      <c r="H155" s="64"/>
      <c r="I155" s="62"/>
      <c r="J155" s="64"/>
      <c r="K155" s="93"/>
    </row>
    <row r="156" spans="2:11" s="61" customFormat="1" x14ac:dyDescent="0.3">
      <c r="B156" s="67"/>
      <c r="C156" s="63"/>
      <c r="D156" s="64"/>
      <c r="E156" s="65"/>
      <c r="F156" s="66"/>
      <c r="G156" s="62"/>
      <c r="H156" s="64"/>
      <c r="I156" s="62"/>
      <c r="J156" s="64"/>
      <c r="K156" s="93"/>
    </row>
    <row r="157" spans="2:11" s="61" customFormat="1" x14ac:dyDescent="0.3">
      <c r="B157" s="67"/>
      <c r="C157" s="63"/>
      <c r="D157" s="64"/>
      <c r="E157" s="65"/>
      <c r="F157" s="66"/>
      <c r="G157" s="62"/>
      <c r="H157" s="64"/>
      <c r="I157" s="62"/>
      <c r="J157" s="64"/>
      <c r="K157" s="93"/>
    </row>
    <row r="158" spans="2:11" s="61" customFormat="1" x14ac:dyDescent="0.3">
      <c r="B158" s="67"/>
      <c r="C158" s="63"/>
      <c r="D158" s="64"/>
      <c r="E158" s="65"/>
      <c r="F158" s="66"/>
      <c r="G158" s="62"/>
      <c r="H158" s="64"/>
      <c r="I158" s="62"/>
      <c r="J158" s="64"/>
      <c r="K158" s="93"/>
    </row>
    <row r="159" spans="2:11" s="61" customFormat="1" ht="15.6" customHeight="1" x14ac:dyDescent="0.3">
      <c r="B159" s="67"/>
      <c r="C159" s="63"/>
      <c r="D159" s="64"/>
      <c r="E159" s="65"/>
      <c r="F159" s="66"/>
      <c r="G159" s="62"/>
      <c r="H159" s="64"/>
      <c r="I159" s="62"/>
      <c r="J159" s="64"/>
      <c r="K159" s="93"/>
    </row>
    <row r="160" spans="2:11" s="61" customFormat="1" x14ac:dyDescent="0.3">
      <c r="B160" s="67"/>
      <c r="C160" s="63"/>
      <c r="D160" s="64"/>
      <c r="E160" s="65"/>
      <c r="F160" s="66"/>
      <c r="G160" s="62"/>
      <c r="H160" s="64"/>
      <c r="I160" s="62"/>
      <c r="J160" s="64"/>
      <c r="K160" s="93"/>
    </row>
    <row r="161" spans="2:11" s="61" customFormat="1" x14ac:dyDescent="0.3">
      <c r="B161" s="67"/>
      <c r="C161" s="63"/>
      <c r="D161" s="64"/>
      <c r="E161" s="65"/>
      <c r="F161" s="66"/>
      <c r="G161" s="62"/>
      <c r="H161" s="64"/>
      <c r="I161" s="62"/>
      <c r="J161" s="64"/>
      <c r="K161" s="93"/>
    </row>
    <row r="162" spans="2:11" s="61" customFormat="1" x14ac:dyDescent="0.3">
      <c r="B162" s="67"/>
      <c r="C162" s="63"/>
      <c r="D162" s="64"/>
      <c r="E162" s="65"/>
      <c r="F162" s="66"/>
      <c r="G162" s="62"/>
      <c r="H162" s="64"/>
      <c r="I162" s="62"/>
      <c r="J162" s="64"/>
      <c r="K162" s="93"/>
    </row>
    <row r="163" spans="2:11" s="61" customFormat="1" x14ac:dyDescent="0.3">
      <c r="B163" s="67"/>
      <c r="C163" s="63"/>
      <c r="D163" s="64"/>
      <c r="E163" s="65"/>
      <c r="F163" s="66"/>
      <c r="G163" s="62"/>
      <c r="H163" s="64"/>
      <c r="I163" s="62"/>
      <c r="J163" s="64"/>
      <c r="K163" s="93"/>
    </row>
    <row r="164" spans="2:11" s="61" customFormat="1" x14ac:dyDescent="0.3">
      <c r="B164" s="67"/>
      <c r="C164" s="63"/>
      <c r="D164" s="64"/>
      <c r="E164" s="65"/>
      <c r="F164" s="66"/>
      <c r="G164" s="62"/>
      <c r="H164" s="64"/>
      <c r="I164" s="62"/>
      <c r="J164" s="64"/>
      <c r="K164" s="93"/>
    </row>
    <row r="165" spans="2:11" s="61" customFormat="1" x14ac:dyDescent="0.3">
      <c r="B165" s="67"/>
      <c r="C165" s="63"/>
      <c r="D165" s="64"/>
      <c r="E165" s="65"/>
      <c r="F165" s="66"/>
      <c r="G165" s="62"/>
      <c r="H165" s="64"/>
      <c r="I165" s="62"/>
      <c r="J165" s="64"/>
      <c r="K165" s="93"/>
    </row>
    <row r="166" spans="2:11" s="61" customFormat="1" x14ac:dyDescent="0.3">
      <c r="B166" s="67"/>
      <c r="C166" s="63"/>
      <c r="D166" s="64"/>
      <c r="E166" s="65"/>
      <c r="F166" s="66"/>
      <c r="G166" s="62"/>
      <c r="H166" s="64"/>
      <c r="I166" s="62"/>
      <c r="J166" s="64"/>
      <c r="K166" s="93"/>
    </row>
    <row r="167" spans="2:11" s="61" customFormat="1" x14ac:dyDescent="0.3">
      <c r="B167" s="67"/>
      <c r="C167" s="63"/>
      <c r="D167" s="64"/>
      <c r="E167" s="65"/>
      <c r="F167" s="66"/>
      <c r="G167" s="62"/>
      <c r="H167" s="64"/>
      <c r="I167" s="62"/>
      <c r="J167" s="64"/>
      <c r="K167" s="93"/>
    </row>
    <row r="168" spans="2:11" s="61" customFormat="1" x14ac:dyDescent="0.3">
      <c r="B168" s="67"/>
      <c r="C168" s="63"/>
      <c r="D168" s="64"/>
      <c r="E168" s="65"/>
      <c r="F168" s="66"/>
      <c r="G168" s="62"/>
      <c r="H168" s="64"/>
      <c r="I168" s="62"/>
      <c r="J168" s="64"/>
      <c r="K168" s="93"/>
    </row>
    <row r="169" spans="2:11" s="61" customFormat="1" x14ac:dyDescent="0.3">
      <c r="B169" s="67"/>
      <c r="C169" s="63"/>
      <c r="D169" s="64"/>
      <c r="E169" s="65"/>
      <c r="F169" s="66"/>
      <c r="G169" s="62"/>
      <c r="H169" s="64"/>
      <c r="I169" s="62"/>
      <c r="J169" s="64"/>
      <c r="K169" s="93"/>
    </row>
    <row r="170" spans="2:11" s="61" customFormat="1" x14ac:dyDescent="0.3">
      <c r="B170" s="67"/>
      <c r="C170" s="63"/>
      <c r="D170" s="64"/>
      <c r="E170" s="65"/>
      <c r="F170" s="66"/>
      <c r="G170" s="62"/>
      <c r="H170" s="64"/>
      <c r="I170" s="62"/>
      <c r="J170" s="64"/>
      <c r="K170" s="93"/>
    </row>
    <row r="171" spans="2:11" s="61" customFormat="1" x14ac:dyDescent="0.3">
      <c r="B171" s="67"/>
      <c r="C171" s="63"/>
      <c r="D171" s="64"/>
      <c r="E171" s="65"/>
      <c r="F171" s="66"/>
      <c r="G171" s="62"/>
      <c r="H171" s="64"/>
      <c r="I171" s="62"/>
      <c r="J171" s="64"/>
      <c r="K171" s="93"/>
    </row>
    <row r="172" spans="2:11" s="61" customFormat="1" x14ac:dyDescent="0.3">
      <c r="B172" s="67"/>
      <c r="C172" s="63"/>
      <c r="D172" s="64"/>
      <c r="E172" s="65"/>
      <c r="F172" s="66"/>
      <c r="G172" s="62"/>
      <c r="H172" s="64"/>
      <c r="I172" s="62"/>
      <c r="J172" s="64"/>
      <c r="K172" s="93"/>
    </row>
    <row r="173" spans="2:11" s="61" customFormat="1" x14ac:dyDescent="0.3">
      <c r="B173" s="67"/>
      <c r="C173" s="63"/>
      <c r="D173" s="64"/>
      <c r="E173" s="65"/>
      <c r="F173" s="66"/>
      <c r="G173" s="62"/>
      <c r="H173" s="64"/>
      <c r="I173" s="62"/>
      <c r="J173" s="64"/>
      <c r="K173" s="93"/>
    </row>
    <row r="174" spans="2:11" s="61" customFormat="1" x14ac:dyDescent="0.3">
      <c r="B174" s="67"/>
      <c r="C174" s="63"/>
      <c r="D174" s="64"/>
      <c r="E174" s="65"/>
      <c r="F174" s="66"/>
      <c r="G174" s="62"/>
      <c r="H174" s="64"/>
      <c r="I174" s="62"/>
      <c r="J174" s="64"/>
      <c r="K174" s="93"/>
    </row>
    <row r="175" spans="2:11" s="61" customFormat="1" x14ac:dyDescent="0.3">
      <c r="B175" s="67"/>
      <c r="C175" s="63"/>
      <c r="D175" s="64"/>
      <c r="E175" s="65"/>
      <c r="F175" s="66"/>
      <c r="G175" s="62"/>
      <c r="H175" s="64"/>
      <c r="I175" s="62"/>
      <c r="J175" s="64"/>
      <c r="K175" s="93"/>
    </row>
    <row r="176" spans="2:11" s="61" customFormat="1" x14ac:dyDescent="0.3">
      <c r="B176" s="67"/>
      <c r="C176" s="63"/>
      <c r="D176" s="64"/>
      <c r="E176" s="65"/>
      <c r="F176" s="66"/>
      <c r="G176" s="62"/>
      <c r="H176" s="64"/>
      <c r="I176" s="62"/>
      <c r="J176" s="64"/>
      <c r="K176" s="93"/>
    </row>
    <row r="177" spans="2:11" s="61" customFormat="1" x14ac:dyDescent="0.3">
      <c r="B177" s="67"/>
      <c r="C177" s="63"/>
      <c r="D177" s="64"/>
      <c r="E177" s="65"/>
      <c r="F177" s="66"/>
      <c r="G177" s="62"/>
      <c r="H177" s="64"/>
      <c r="I177" s="62"/>
      <c r="J177" s="64"/>
      <c r="K177" s="93"/>
    </row>
    <row r="178" spans="2:11" s="61" customFormat="1" x14ac:dyDescent="0.3">
      <c r="B178" s="67"/>
      <c r="C178" s="63"/>
      <c r="D178" s="64"/>
      <c r="E178" s="65"/>
      <c r="F178" s="66"/>
      <c r="G178" s="62"/>
      <c r="H178" s="64"/>
      <c r="I178" s="62"/>
      <c r="J178" s="64"/>
      <c r="K178" s="93"/>
    </row>
    <row r="179" spans="2:11" s="61" customFormat="1" x14ac:dyDescent="0.3">
      <c r="B179" s="67"/>
      <c r="C179" s="63"/>
      <c r="D179" s="64"/>
      <c r="E179" s="65"/>
      <c r="F179" s="66"/>
      <c r="G179" s="62"/>
      <c r="H179" s="64"/>
      <c r="I179" s="62"/>
      <c r="J179" s="64"/>
      <c r="K179" s="93"/>
    </row>
    <row r="180" spans="2:11" s="61" customFormat="1" x14ac:dyDescent="0.3">
      <c r="B180" s="67"/>
      <c r="C180" s="63"/>
      <c r="D180" s="64"/>
      <c r="E180" s="65"/>
      <c r="F180" s="66"/>
      <c r="G180" s="62"/>
      <c r="H180" s="64"/>
      <c r="I180" s="62"/>
      <c r="J180" s="64"/>
      <c r="K180" s="93"/>
    </row>
    <row r="181" spans="2:11" s="61" customFormat="1" x14ac:dyDescent="0.3">
      <c r="B181" s="67"/>
      <c r="C181" s="63"/>
      <c r="D181" s="64"/>
      <c r="E181" s="65"/>
      <c r="F181" s="66"/>
      <c r="G181" s="62"/>
      <c r="H181" s="64"/>
      <c r="I181" s="62"/>
      <c r="J181" s="64"/>
      <c r="K181" s="93"/>
    </row>
    <row r="182" spans="2:11" s="61" customFormat="1" x14ac:dyDescent="0.3">
      <c r="B182" s="67"/>
      <c r="C182" s="63"/>
      <c r="D182" s="64"/>
      <c r="E182" s="65"/>
      <c r="F182" s="66"/>
      <c r="G182" s="62"/>
      <c r="H182" s="64"/>
      <c r="I182" s="62"/>
      <c r="J182" s="64"/>
      <c r="K182" s="93"/>
    </row>
    <row r="183" spans="2:11" s="61" customFormat="1" x14ac:dyDescent="0.3">
      <c r="B183" s="67"/>
      <c r="C183" s="63"/>
      <c r="D183" s="64"/>
      <c r="E183" s="65"/>
      <c r="F183" s="66"/>
      <c r="G183" s="62"/>
      <c r="H183" s="64"/>
      <c r="I183" s="62"/>
      <c r="J183" s="64"/>
      <c r="K183" s="93"/>
    </row>
    <row r="184" spans="2:11" s="61" customFormat="1" x14ac:dyDescent="0.3">
      <c r="B184" s="67"/>
      <c r="C184" s="63"/>
      <c r="D184" s="64"/>
      <c r="E184" s="65"/>
      <c r="F184" s="66"/>
      <c r="G184" s="62"/>
      <c r="H184" s="64"/>
      <c r="I184" s="62"/>
      <c r="J184" s="64"/>
      <c r="K184" s="93"/>
    </row>
    <row r="185" spans="2:11" s="61" customFormat="1" x14ac:dyDescent="0.3">
      <c r="B185" s="67"/>
      <c r="C185" s="63"/>
      <c r="D185" s="64"/>
      <c r="E185" s="65"/>
      <c r="F185" s="66"/>
      <c r="G185" s="62"/>
      <c r="H185" s="64"/>
      <c r="I185" s="62"/>
      <c r="J185" s="64"/>
      <c r="K185" s="93"/>
    </row>
    <row r="186" spans="2:11" s="61" customFormat="1" ht="18" customHeight="1" x14ac:dyDescent="0.3">
      <c r="B186" s="67"/>
      <c r="C186" s="63"/>
      <c r="D186" s="64"/>
      <c r="E186" s="65"/>
      <c r="F186" s="66"/>
      <c r="G186" s="62"/>
      <c r="H186" s="64"/>
      <c r="I186" s="62"/>
      <c r="J186" s="64"/>
      <c r="K186" s="93"/>
    </row>
    <row r="187" spans="2:11" s="61" customFormat="1" x14ac:dyDescent="0.3">
      <c r="B187" s="67"/>
      <c r="C187" s="63"/>
      <c r="D187" s="64"/>
      <c r="E187" s="65"/>
      <c r="F187" s="66"/>
      <c r="G187" s="62"/>
      <c r="H187" s="64"/>
      <c r="I187" s="62"/>
      <c r="J187" s="64"/>
      <c r="K187" s="93"/>
    </row>
    <row r="188" spans="2:11" s="61" customFormat="1" x14ac:dyDescent="0.3">
      <c r="B188" s="67"/>
      <c r="C188" s="63"/>
      <c r="D188" s="64"/>
      <c r="E188" s="65"/>
      <c r="F188" s="66"/>
      <c r="G188" s="62"/>
      <c r="H188" s="64"/>
      <c r="I188" s="62"/>
      <c r="J188" s="64"/>
      <c r="K188" s="93"/>
    </row>
    <row r="189" spans="2:11" s="61" customFormat="1" x14ac:dyDescent="0.3">
      <c r="B189" s="67"/>
      <c r="C189" s="63"/>
      <c r="D189" s="64"/>
      <c r="E189" s="65"/>
      <c r="F189" s="66"/>
      <c r="G189" s="62"/>
      <c r="H189" s="64"/>
      <c r="I189" s="62"/>
      <c r="J189" s="64"/>
      <c r="K189" s="93"/>
    </row>
    <row r="190" spans="2:11" s="61" customFormat="1" x14ac:dyDescent="0.3">
      <c r="B190" s="67"/>
      <c r="C190" s="63"/>
      <c r="D190" s="64"/>
      <c r="E190" s="65"/>
      <c r="F190" s="66"/>
      <c r="G190" s="62"/>
      <c r="H190" s="64"/>
      <c r="I190" s="62"/>
      <c r="J190" s="64"/>
      <c r="K190" s="93"/>
    </row>
    <row r="191" spans="2:11" s="61" customFormat="1" x14ac:dyDescent="0.3">
      <c r="B191" s="67"/>
      <c r="C191" s="63"/>
      <c r="D191" s="64"/>
      <c r="E191" s="65"/>
      <c r="F191" s="66"/>
      <c r="G191" s="62"/>
      <c r="H191" s="64"/>
      <c r="I191" s="62"/>
      <c r="J191" s="64"/>
      <c r="K191" s="93"/>
    </row>
    <row r="192" spans="2:11" s="61" customFormat="1" x14ac:dyDescent="0.3">
      <c r="B192" s="67"/>
      <c r="C192" s="63"/>
      <c r="D192" s="64"/>
      <c r="E192" s="65"/>
      <c r="F192" s="66"/>
      <c r="G192" s="62"/>
      <c r="H192" s="64"/>
      <c r="I192" s="62"/>
      <c r="J192" s="64"/>
      <c r="K192" s="93"/>
    </row>
    <row r="193" spans="2:11" s="61" customFormat="1" ht="15.6" customHeight="1" x14ac:dyDescent="0.3">
      <c r="B193" s="67"/>
      <c r="C193" s="63"/>
      <c r="D193" s="64"/>
      <c r="E193" s="65"/>
      <c r="F193" s="66"/>
      <c r="G193" s="62"/>
      <c r="H193" s="64"/>
      <c r="I193" s="62"/>
      <c r="J193" s="64"/>
      <c r="K193" s="93"/>
    </row>
    <row r="194" spans="2:11" s="61" customFormat="1" x14ac:dyDescent="0.3">
      <c r="B194" s="67"/>
      <c r="C194" s="63"/>
      <c r="D194" s="64"/>
      <c r="E194" s="65"/>
      <c r="F194" s="66"/>
      <c r="G194" s="62"/>
      <c r="H194" s="64"/>
      <c r="I194" s="62"/>
      <c r="J194" s="64"/>
      <c r="K194" s="93"/>
    </row>
    <row r="195" spans="2:11" s="61" customFormat="1" x14ac:dyDescent="0.3">
      <c r="B195" s="67"/>
      <c r="C195" s="63"/>
      <c r="D195" s="64"/>
      <c r="E195" s="65"/>
      <c r="F195" s="66"/>
      <c r="G195" s="62"/>
      <c r="H195" s="64"/>
      <c r="I195" s="62"/>
      <c r="J195" s="64"/>
      <c r="K195" s="93"/>
    </row>
    <row r="196" spans="2:11" s="61" customFormat="1" x14ac:dyDescent="0.3">
      <c r="B196" s="67"/>
      <c r="C196" s="63"/>
      <c r="D196" s="64"/>
      <c r="E196" s="65"/>
      <c r="F196" s="66"/>
      <c r="G196" s="62"/>
      <c r="H196" s="64"/>
      <c r="I196" s="62"/>
      <c r="J196" s="64"/>
      <c r="K196" s="93"/>
    </row>
    <row r="197" spans="2:11" s="61" customFormat="1" x14ac:dyDescent="0.3">
      <c r="B197" s="67"/>
      <c r="C197" s="63"/>
      <c r="D197" s="64"/>
      <c r="E197" s="65"/>
      <c r="F197" s="66"/>
      <c r="G197" s="62"/>
      <c r="H197" s="64"/>
      <c r="I197" s="62"/>
      <c r="J197" s="64"/>
      <c r="K197" s="93"/>
    </row>
    <row r="198" spans="2:11" s="61" customFormat="1" x14ac:dyDescent="0.3">
      <c r="B198" s="67"/>
      <c r="C198" s="63"/>
      <c r="D198" s="64"/>
      <c r="E198" s="65"/>
      <c r="F198" s="66"/>
      <c r="G198" s="62"/>
      <c r="H198" s="64"/>
      <c r="I198" s="62"/>
      <c r="J198" s="64"/>
      <c r="K198" s="93"/>
    </row>
    <row r="199" spans="2:11" s="61" customFormat="1" x14ac:dyDescent="0.3">
      <c r="B199" s="67"/>
      <c r="C199" s="63"/>
      <c r="D199" s="64"/>
      <c r="E199" s="65"/>
      <c r="F199" s="66"/>
      <c r="G199" s="62"/>
      <c r="H199" s="64"/>
      <c r="I199" s="62"/>
      <c r="J199" s="64"/>
      <c r="K199" s="93"/>
    </row>
    <row r="200" spans="2:11" s="61" customFormat="1" x14ac:dyDescent="0.3">
      <c r="B200" s="67"/>
      <c r="C200" s="63"/>
      <c r="D200" s="64"/>
      <c r="E200" s="65"/>
      <c r="F200" s="66"/>
      <c r="G200" s="62"/>
      <c r="H200" s="64"/>
      <c r="I200" s="62"/>
      <c r="J200" s="64"/>
      <c r="K200" s="93"/>
    </row>
    <row r="201" spans="2:11" s="61" customFormat="1" x14ac:dyDescent="0.3">
      <c r="B201" s="67"/>
      <c r="C201" s="63"/>
      <c r="D201" s="64"/>
      <c r="E201" s="65"/>
      <c r="F201" s="66"/>
      <c r="G201" s="62"/>
      <c r="H201" s="64"/>
      <c r="I201" s="62"/>
      <c r="J201" s="64"/>
      <c r="K201" s="93"/>
    </row>
    <row r="202" spans="2:11" s="61" customFormat="1" x14ac:dyDescent="0.3">
      <c r="B202" s="67"/>
      <c r="C202" s="63"/>
      <c r="D202" s="64"/>
      <c r="E202" s="65"/>
      <c r="F202" s="66"/>
      <c r="G202" s="62"/>
      <c r="H202" s="64"/>
      <c r="I202" s="62"/>
      <c r="J202" s="64"/>
      <c r="K202" s="93"/>
    </row>
    <row r="203" spans="2:11" s="61" customFormat="1" x14ac:dyDescent="0.3">
      <c r="B203" s="67"/>
      <c r="C203" s="63"/>
      <c r="D203" s="64"/>
      <c r="E203" s="65"/>
      <c r="F203" s="66"/>
      <c r="G203" s="62"/>
      <c r="H203" s="64"/>
      <c r="I203" s="62"/>
      <c r="J203" s="64"/>
      <c r="K203" s="93"/>
    </row>
    <row r="204" spans="2:11" s="61" customFormat="1" x14ac:dyDescent="0.3">
      <c r="B204" s="67"/>
      <c r="C204" s="63"/>
      <c r="D204" s="64"/>
      <c r="E204" s="65"/>
      <c r="F204" s="66"/>
      <c r="G204" s="62"/>
      <c r="H204" s="64"/>
      <c r="I204" s="62"/>
      <c r="J204" s="64"/>
      <c r="K204" s="93"/>
    </row>
    <row r="205" spans="2:11" s="61" customFormat="1" x14ac:dyDescent="0.3">
      <c r="B205" s="67"/>
      <c r="C205" s="63"/>
      <c r="D205" s="64"/>
      <c r="E205" s="65"/>
      <c r="F205" s="66"/>
      <c r="G205" s="62"/>
      <c r="H205" s="64"/>
      <c r="I205" s="62"/>
      <c r="J205" s="64"/>
      <c r="K205" s="93"/>
    </row>
    <row r="206" spans="2:11" s="61" customFormat="1" x14ac:dyDescent="0.3">
      <c r="B206" s="67"/>
      <c r="C206" s="63"/>
      <c r="D206" s="64"/>
      <c r="E206" s="65"/>
      <c r="F206" s="66"/>
      <c r="G206" s="62"/>
      <c r="H206" s="64"/>
      <c r="I206" s="62"/>
      <c r="J206" s="64"/>
      <c r="K206" s="93"/>
    </row>
    <row r="207" spans="2:11" s="61" customFormat="1" x14ac:dyDescent="0.3">
      <c r="B207" s="67"/>
      <c r="C207" s="63"/>
      <c r="D207" s="64"/>
      <c r="E207" s="65"/>
      <c r="F207" s="66"/>
      <c r="G207" s="62"/>
      <c r="H207" s="64"/>
      <c r="I207" s="62"/>
      <c r="J207" s="64"/>
      <c r="K207" s="93"/>
    </row>
    <row r="208" spans="2:11" s="61" customFormat="1" x14ac:dyDescent="0.3">
      <c r="B208" s="67"/>
      <c r="C208" s="63"/>
      <c r="D208" s="64"/>
      <c r="E208" s="65"/>
      <c r="F208" s="66"/>
      <c r="G208" s="62"/>
      <c r="H208" s="64"/>
      <c r="I208" s="62"/>
      <c r="J208" s="64"/>
      <c r="K208" s="93"/>
    </row>
    <row r="209" spans="2:11" s="61" customFormat="1" x14ac:dyDescent="0.3">
      <c r="B209" s="67"/>
      <c r="C209" s="63"/>
      <c r="D209" s="64"/>
      <c r="E209" s="65"/>
      <c r="F209" s="66"/>
      <c r="G209" s="62"/>
      <c r="H209" s="64"/>
      <c r="I209" s="62"/>
      <c r="J209" s="64"/>
      <c r="K209" s="93"/>
    </row>
    <row r="210" spans="2:11" s="61" customFormat="1" x14ac:dyDescent="0.3">
      <c r="B210" s="67"/>
      <c r="C210" s="63"/>
      <c r="D210" s="64"/>
      <c r="E210" s="65"/>
      <c r="F210" s="66"/>
      <c r="G210" s="62"/>
      <c r="H210" s="64"/>
      <c r="I210" s="62"/>
      <c r="J210" s="64"/>
      <c r="K210" s="93"/>
    </row>
    <row r="211" spans="2:11" s="61" customFormat="1" x14ac:dyDescent="0.3">
      <c r="B211" s="67"/>
      <c r="C211" s="63"/>
      <c r="D211" s="64"/>
      <c r="E211" s="65"/>
      <c r="F211" s="66"/>
      <c r="G211" s="62"/>
      <c r="H211" s="64"/>
      <c r="I211" s="62"/>
      <c r="J211" s="64"/>
      <c r="K211" s="93"/>
    </row>
    <row r="212" spans="2:11" s="61" customFormat="1" x14ac:dyDescent="0.3">
      <c r="B212" s="67"/>
      <c r="C212" s="63"/>
      <c r="D212" s="64"/>
      <c r="E212" s="65"/>
      <c r="F212" s="66"/>
      <c r="G212" s="62"/>
      <c r="H212" s="64"/>
      <c r="I212" s="62"/>
      <c r="J212" s="64"/>
      <c r="K212" s="93"/>
    </row>
    <row r="213" spans="2:11" s="61" customFormat="1" x14ac:dyDescent="0.3">
      <c r="B213" s="67"/>
      <c r="C213" s="63"/>
      <c r="D213" s="64"/>
      <c r="E213" s="65"/>
      <c r="F213" s="66"/>
      <c r="G213" s="62"/>
      <c r="H213" s="64"/>
      <c r="I213" s="62"/>
      <c r="J213" s="64"/>
      <c r="K213" s="93"/>
    </row>
    <row r="214" spans="2:11" s="61" customFormat="1" x14ac:dyDescent="0.3">
      <c r="B214" s="67"/>
      <c r="C214" s="63"/>
      <c r="D214" s="64"/>
      <c r="E214" s="65"/>
      <c r="F214" s="66"/>
      <c r="G214" s="62"/>
      <c r="H214" s="64"/>
      <c r="I214" s="62"/>
      <c r="J214" s="64"/>
      <c r="K214" s="93"/>
    </row>
    <row r="215" spans="2:11" s="61" customFormat="1" x14ac:dyDescent="0.3">
      <c r="B215" s="67"/>
      <c r="C215" s="63"/>
      <c r="D215" s="64"/>
      <c r="E215" s="65"/>
      <c r="F215" s="66"/>
      <c r="G215" s="62"/>
      <c r="H215" s="64"/>
      <c r="I215" s="62"/>
      <c r="J215" s="64"/>
      <c r="K215" s="93"/>
    </row>
    <row r="216" spans="2:11" s="61" customFormat="1" x14ac:dyDescent="0.3">
      <c r="B216" s="67"/>
      <c r="C216" s="63"/>
      <c r="D216" s="64"/>
      <c r="E216" s="65"/>
      <c r="F216" s="66"/>
      <c r="G216" s="62"/>
      <c r="H216" s="64"/>
      <c r="I216" s="62"/>
      <c r="J216" s="64"/>
      <c r="K216" s="93"/>
    </row>
    <row r="217" spans="2:11" s="61" customFormat="1" x14ac:dyDescent="0.3">
      <c r="B217" s="67"/>
      <c r="C217" s="63"/>
      <c r="D217" s="64"/>
      <c r="E217" s="65"/>
      <c r="F217" s="66"/>
      <c r="G217" s="62"/>
      <c r="H217" s="64"/>
      <c r="I217" s="62"/>
      <c r="J217" s="64"/>
      <c r="K217" s="93"/>
    </row>
    <row r="218" spans="2:11" s="61" customFormat="1" x14ac:dyDescent="0.3">
      <c r="B218" s="67"/>
      <c r="C218" s="63"/>
      <c r="D218" s="64"/>
      <c r="E218" s="65"/>
      <c r="F218" s="66"/>
      <c r="G218" s="62"/>
      <c r="H218" s="64"/>
      <c r="I218" s="62"/>
      <c r="J218" s="64"/>
      <c r="K218" s="93"/>
    </row>
    <row r="219" spans="2:11" s="61" customFormat="1" x14ac:dyDescent="0.3">
      <c r="B219" s="67"/>
      <c r="C219" s="63"/>
      <c r="D219" s="64"/>
      <c r="E219" s="65"/>
      <c r="F219" s="66"/>
      <c r="G219" s="62"/>
      <c r="H219" s="64"/>
      <c r="I219" s="62"/>
      <c r="J219" s="64"/>
      <c r="K219" s="93"/>
    </row>
    <row r="220" spans="2:11" s="61" customFormat="1" ht="18" customHeight="1" x14ac:dyDescent="0.3">
      <c r="B220" s="67"/>
      <c r="C220" s="63"/>
      <c r="D220" s="64"/>
      <c r="E220" s="65"/>
      <c r="F220" s="66"/>
      <c r="G220" s="62"/>
      <c r="H220" s="64"/>
      <c r="I220" s="62"/>
      <c r="J220" s="64"/>
      <c r="K220" s="93"/>
    </row>
    <row r="221" spans="2:11" s="61" customFormat="1" x14ac:dyDescent="0.3">
      <c r="B221" s="67"/>
      <c r="C221" s="63"/>
      <c r="D221" s="64"/>
      <c r="E221" s="65"/>
      <c r="F221" s="66"/>
      <c r="G221" s="62"/>
      <c r="H221" s="64"/>
      <c r="I221" s="62"/>
      <c r="J221" s="64"/>
      <c r="K221" s="93"/>
    </row>
    <row r="222" spans="2:11" s="61" customFormat="1" x14ac:dyDescent="0.3">
      <c r="B222" s="67"/>
      <c r="C222" s="63"/>
      <c r="D222" s="64"/>
      <c r="E222" s="65"/>
      <c r="F222" s="66"/>
      <c r="G222" s="62"/>
      <c r="H222" s="64"/>
      <c r="I222" s="62"/>
      <c r="J222" s="64"/>
      <c r="K222" s="93"/>
    </row>
    <row r="223" spans="2:11" s="61" customFormat="1" x14ac:dyDescent="0.3">
      <c r="B223" s="67"/>
      <c r="C223" s="63"/>
      <c r="D223" s="64"/>
      <c r="E223" s="65"/>
      <c r="F223" s="66"/>
      <c r="G223" s="62"/>
      <c r="H223" s="64"/>
      <c r="I223" s="62"/>
      <c r="J223" s="64"/>
      <c r="K223" s="93"/>
    </row>
    <row r="224" spans="2:11" s="61" customFormat="1" x14ac:dyDescent="0.3">
      <c r="B224" s="67"/>
      <c r="C224" s="63"/>
      <c r="D224" s="64"/>
      <c r="E224" s="65"/>
      <c r="F224" s="66"/>
      <c r="G224" s="62"/>
      <c r="H224" s="64"/>
      <c r="I224" s="62"/>
      <c r="J224" s="64"/>
      <c r="K224" s="93"/>
    </row>
    <row r="225" spans="2:11" s="61" customFormat="1" x14ac:dyDescent="0.3">
      <c r="B225" s="67"/>
      <c r="C225" s="63"/>
      <c r="D225" s="64"/>
      <c r="E225" s="65"/>
      <c r="F225" s="66"/>
      <c r="G225" s="62"/>
      <c r="H225" s="64"/>
      <c r="I225" s="62"/>
      <c r="J225" s="64"/>
      <c r="K225" s="93"/>
    </row>
    <row r="226" spans="2:11" s="61" customFormat="1" x14ac:dyDescent="0.3">
      <c r="B226" s="67"/>
      <c r="C226" s="63"/>
      <c r="D226" s="64"/>
      <c r="E226" s="65"/>
      <c r="F226" s="66"/>
      <c r="G226" s="62"/>
      <c r="H226" s="64"/>
      <c r="I226" s="62"/>
      <c r="J226" s="64"/>
      <c r="K226" s="93"/>
    </row>
    <row r="227" spans="2:11" s="61" customFormat="1" ht="56.1" customHeight="1" x14ac:dyDescent="0.3">
      <c r="B227" s="67"/>
      <c r="C227" s="63"/>
      <c r="D227" s="64"/>
      <c r="E227" s="65"/>
      <c r="F227" s="66"/>
      <c r="G227" s="62"/>
      <c r="H227" s="64"/>
      <c r="I227" s="62"/>
      <c r="J227" s="64"/>
      <c r="K227" s="93"/>
    </row>
    <row r="228" spans="2:11" s="61" customFormat="1" x14ac:dyDescent="0.3">
      <c r="B228" s="67"/>
      <c r="C228" s="63"/>
      <c r="D228" s="64"/>
      <c r="E228" s="65"/>
      <c r="F228" s="66"/>
      <c r="G228" s="62"/>
      <c r="H228" s="64"/>
      <c r="I228" s="62"/>
      <c r="J228" s="64"/>
      <c r="K228" s="93"/>
    </row>
    <row r="229" spans="2:11" s="61" customFormat="1" x14ac:dyDescent="0.3">
      <c r="B229" s="67"/>
      <c r="C229" s="63"/>
      <c r="D229" s="64"/>
      <c r="E229" s="65"/>
      <c r="F229" s="66"/>
      <c r="G229" s="62"/>
      <c r="H229" s="64"/>
      <c r="I229" s="62"/>
      <c r="J229" s="64"/>
      <c r="K229" s="93"/>
    </row>
    <row r="230" spans="2:11" s="61" customFormat="1" x14ac:dyDescent="0.3">
      <c r="B230" s="67"/>
      <c r="C230" s="63"/>
      <c r="D230" s="64"/>
      <c r="E230" s="65"/>
      <c r="F230" s="66"/>
      <c r="G230" s="62"/>
      <c r="H230" s="64"/>
      <c r="I230" s="62"/>
      <c r="J230" s="64"/>
      <c r="K230" s="93"/>
    </row>
    <row r="231" spans="2:11" s="61" customFormat="1" x14ac:dyDescent="0.3">
      <c r="B231" s="67"/>
      <c r="C231" s="63"/>
      <c r="D231" s="64"/>
      <c r="E231" s="65"/>
      <c r="F231" s="66"/>
      <c r="G231" s="62"/>
      <c r="H231" s="64"/>
      <c r="I231" s="62"/>
      <c r="J231" s="64"/>
      <c r="K231" s="93"/>
    </row>
    <row r="232" spans="2:11" s="61" customFormat="1" x14ac:dyDescent="0.3">
      <c r="B232" s="67"/>
      <c r="C232" s="63"/>
      <c r="D232" s="64"/>
      <c r="E232" s="65"/>
      <c r="F232" s="66"/>
      <c r="G232" s="62"/>
      <c r="H232" s="64"/>
      <c r="I232" s="62"/>
      <c r="J232" s="64"/>
      <c r="K232" s="93"/>
    </row>
    <row r="233" spans="2:11" s="61" customFormat="1" x14ac:dyDescent="0.3">
      <c r="B233" s="67"/>
      <c r="C233" s="63"/>
      <c r="D233" s="64"/>
      <c r="E233" s="65"/>
      <c r="F233" s="66"/>
      <c r="G233" s="62"/>
      <c r="H233" s="64"/>
      <c r="I233" s="62"/>
      <c r="J233" s="64"/>
      <c r="K233" s="93"/>
    </row>
    <row r="234" spans="2:11" s="61" customFormat="1" x14ac:dyDescent="0.3">
      <c r="B234" s="67"/>
      <c r="C234" s="63"/>
      <c r="D234" s="64"/>
      <c r="E234" s="65"/>
      <c r="F234" s="66"/>
      <c r="G234" s="62"/>
      <c r="H234" s="64"/>
      <c r="I234" s="62"/>
      <c r="J234" s="64"/>
      <c r="K234" s="93"/>
    </row>
    <row r="235" spans="2:11" s="61" customFormat="1" x14ac:dyDescent="0.3">
      <c r="B235" s="67"/>
      <c r="C235" s="63"/>
      <c r="D235" s="64"/>
      <c r="E235" s="65"/>
      <c r="F235" s="66"/>
      <c r="G235" s="62"/>
      <c r="H235" s="64"/>
      <c r="I235" s="62"/>
      <c r="J235" s="64"/>
      <c r="K235" s="93"/>
    </row>
    <row r="236" spans="2:11" s="61" customFormat="1" x14ac:dyDescent="0.3">
      <c r="B236" s="67"/>
      <c r="C236" s="63"/>
      <c r="D236" s="64"/>
      <c r="E236" s="65"/>
      <c r="F236" s="66"/>
      <c r="G236" s="62"/>
      <c r="H236" s="64"/>
      <c r="I236" s="62"/>
      <c r="J236" s="64"/>
      <c r="K236" s="93"/>
    </row>
    <row r="237" spans="2:11" s="61" customFormat="1" x14ac:dyDescent="0.3">
      <c r="B237" s="67"/>
      <c r="C237" s="63"/>
      <c r="D237" s="64"/>
      <c r="E237" s="65"/>
      <c r="F237" s="66"/>
      <c r="G237" s="62"/>
      <c r="H237" s="64"/>
      <c r="I237" s="62"/>
      <c r="J237" s="64"/>
      <c r="K237" s="93"/>
    </row>
    <row r="238" spans="2:11" s="61" customFormat="1" x14ac:dyDescent="0.3">
      <c r="B238" s="67"/>
      <c r="C238" s="63"/>
      <c r="D238" s="64"/>
      <c r="E238" s="65"/>
      <c r="F238" s="66"/>
      <c r="G238" s="62"/>
      <c r="H238" s="64"/>
      <c r="I238" s="62"/>
      <c r="J238" s="64"/>
      <c r="K238" s="93"/>
    </row>
    <row r="239" spans="2:11" s="61" customFormat="1" x14ac:dyDescent="0.3">
      <c r="B239" s="67"/>
      <c r="C239" s="63"/>
      <c r="D239" s="64"/>
      <c r="E239" s="65"/>
      <c r="F239" s="66"/>
      <c r="G239" s="62"/>
      <c r="H239" s="64"/>
      <c r="I239" s="62"/>
      <c r="J239" s="64"/>
      <c r="K239" s="93"/>
    </row>
    <row r="240" spans="2:11" s="61" customFormat="1" x14ac:dyDescent="0.3">
      <c r="B240" s="67"/>
      <c r="C240" s="63"/>
      <c r="D240" s="64"/>
      <c r="E240" s="65"/>
      <c r="F240" s="66"/>
      <c r="G240" s="62"/>
      <c r="H240" s="64"/>
      <c r="I240" s="62"/>
      <c r="J240" s="64"/>
      <c r="K240" s="93"/>
    </row>
    <row r="241" spans="2:11" s="61" customFormat="1" ht="18" customHeight="1" x14ac:dyDescent="0.3">
      <c r="B241" s="67"/>
      <c r="C241" s="63"/>
      <c r="D241" s="64"/>
      <c r="E241" s="65"/>
      <c r="F241" s="66"/>
      <c r="G241" s="62"/>
      <c r="H241" s="64"/>
      <c r="I241" s="62"/>
      <c r="J241" s="64"/>
      <c r="K241" s="93"/>
    </row>
    <row r="242" spans="2:11" s="61" customFormat="1" x14ac:dyDescent="0.3">
      <c r="B242" s="67"/>
      <c r="C242" s="63"/>
      <c r="D242" s="64"/>
      <c r="E242" s="65"/>
      <c r="F242" s="66"/>
      <c r="G242" s="62"/>
      <c r="H242" s="64"/>
      <c r="I242" s="62"/>
      <c r="J242" s="64"/>
      <c r="K242" s="93"/>
    </row>
    <row r="243" spans="2:11" s="61" customFormat="1" x14ac:dyDescent="0.3">
      <c r="B243" s="67"/>
      <c r="C243" s="63"/>
      <c r="D243" s="64"/>
      <c r="E243" s="65"/>
      <c r="F243" s="66"/>
      <c r="G243" s="62"/>
      <c r="H243" s="64"/>
      <c r="I243" s="62"/>
      <c r="J243" s="64"/>
      <c r="K243" s="93"/>
    </row>
    <row r="244" spans="2:11" s="61" customFormat="1" x14ac:dyDescent="0.3">
      <c r="B244" s="67"/>
      <c r="C244" s="63"/>
      <c r="D244" s="64"/>
      <c r="E244" s="65"/>
      <c r="F244" s="66"/>
      <c r="G244" s="62"/>
      <c r="H244" s="64"/>
      <c r="I244" s="62"/>
      <c r="J244" s="64"/>
      <c r="K244" s="93"/>
    </row>
    <row r="245" spans="2:11" s="61" customFormat="1" x14ac:dyDescent="0.3">
      <c r="B245" s="67"/>
      <c r="C245" s="63"/>
      <c r="D245" s="64"/>
      <c r="E245" s="65"/>
      <c r="F245" s="66"/>
      <c r="G245" s="62"/>
      <c r="H245" s="64"/>
      <c r="I245" s="62"/>
      <c r="J245" s="64"/>
      <c r="K245" s="93"/>
    </row>
    <row r="246" spans="2:11" s="61" customFormat="1" x14ac:dyDescent="0.3">
      <c r="B246" s="67"/>
      <c r="C246" s="63"/>
      <c r="D246" s="64"/>
      <c r="E246" s="65"/>
      <c r="F246" s="66"/>
      <c r="G246" s="62"/>
      <c r="H246" s="64"/>
      <c r="I246" s="62"/>
      <c r="J246" s="64"/>
      <c r="K246" s="93"/>
    </row>
    <row r="247" spans="2:11" s="61" customFormat="1" x14ac:dyDescent="0.3">
      <c r="B247" s="67"/>
      <c r="C247" s="63"/>
      <c r="D247" s="64"/>
      <c r="E247" s="65"/>
      <c r="F247" s="66"/>
      <c r="G247" s="62"/>
      <c r="H247" s="64"/>
      <c r="I247" s="62"/>
      <c r="J247" s="64"/>
      <c r="K247" s="93"/>
    </row>
    <row r="248" spans="2:11" s="61" customFormat="1" x14ac:dyDescent="0.3">
      <c r="B248" s="67"/>
      <c r="C248" s="63"/>
      <c r="D248" s="64"/>
      <c r="E248" s="65"/>
      <c r="F248" s="66"/>
      <c r="G248" s="62"/>
      <c r="H248" s="64"/>
      <c r="I248" s="62"/>
      <c r="J248" s="64"/>
      <c r="K248" s="93"/>
    </row>
    <row r="249" spans="2:11" s="61" customFormat="1" x14ac:dyDescent="0.3">
      <c r="B249" s="67"/>
      <c r="C249" s="63"/>
      <c r="D249" s="64"/>
      <c r="E249" s="65"/>
      <c r="F249" s="66"/>
      <c r="G249" s="62"/>
      <c r="H249" s="64"/>
      <c r="I249" s="62"/>
      <c r="J249" s="64"/>
      <c r="K249" s="93"/>
    </row>
    <row r="250" spans="2:11" s="61" customFormat="1" x14ac:dyDescent="0.3">
      <c r="B250" s="67"/>
      <c r="C250" s="63"/>
      <c r="D250" s="64"/>
      <c r="E250" s="65"/>
      <c r="F250" s="66"/>
      <c r="G250" s="62"/>
      <c r="H250" s="64"/>
      <c r="I250" s="62"/>
      <c r="J250" s="64"/>
      <c r="K250" s="93"/>
    </row>
    <row r="251" spans="2:11" s="61" customFormat="1" x14ac:dyDescent="0.3">
      <c r="B251" s="67"/>
      <c r="C251" s="63"/>
      <c r="D251" s="64"/>
      <c r="E251" s="65"/>
      <c r="F251" s="66"/>
      <c r="G251" s="62"/>
      <c r="H251" s="64"/>
      <c r="I251" s="62"/>
      <c r="J251" s="64"/>
      <c r="K251" s="93"/>
    </row>
    <row r="252" spans="2:11" s="61" customFormat="1" x14ac:dyDescent="0.3">
      <c r="B252" s="67"/>
      <c r="C252" s="63"/>
      <c r="D252" s="64"/>
      <c r="E252" s="65"/>
      <c r="F252" s="66"/>
      <c r="G252" s="62"/>
      <c r="H252" s="64"/>
      <c r="I252" s="62"/>
      <c r="J252" s="64"/>
      <c r="K252" s="93"/>
    </row>
    <row r="253" spans="2:11" s="61" customFormat="1" x14ac:dyDescent="0.3">
      <c r="B253" s="67"/>
      <c r="C253" s="63"/>
      <c r="D253" s="64"/>
      <c r="E253" s="65"/>
      <c r="F253" s="66"/>
      <c r="G253" s="62"/>
      <c r="H253" s="64"/>
      <c r="I253" s="62"/>
      <c r="J253" s="64"/>
      <c r="K253" s="93"/>
    </row>
    <row r="254" spans="2:11" s="61" customFormat="1" x14ac:dyDescent="0.3">
      <c r="B254" s="67"/>
      <c r="C254" s="63"/>
      <c r="D254" s="64"/>
      <c r="E254" s="65"/>
      <c r="F254" s="66"/>
      <c r="G254" s="62"/>
      <c r="H254" s="64"/>
      <c r="I254" s="62"/>
      <c r="J254" s="64"/>
      <c r="K254" s="93"/>
    </row>
    <row r="255" spans="2:11" s="61" customFormat="1" x14ac:dyDescent="0.3">
      <c r="B255" s="67"/>
      <c r="C255" s="63"/>
      <c r="D255" s="64"/>
      <c r="E255" s="65"/>
      <c r="F255" s="66"/>
      <c r="G255" s="62"/>
      <c r="H255" s="64"/>
      <c r="I255" s="62"/>
      <c r="J255" s="64"/>
      <c r="K255" s="93"/>
    </row>
    <row r="256" spans="2:11" s="61" customFormat="1" x14ac:dyDescent="0.3">
      <c r="B256" s="67"/>
      <c r="C256" s="63"/>
      <c r="D256" s="64"/>
      <c r="E256" s="65"/>
      <c r="F256" s="66"/>
      <c r="G256" s="62"/>
      <c r="H256" s="64"/>
      <c r="I256" s="62"/>
      <c r="J256" s="64"/>
      <c r="K256" s="93"/>
    </row>
    <row r="257" spans="2:11" s="61" customFormat="1" x14ac:dyDescent="0.3">
      <c r="B257" s="67"/>
      <c r="C257" s="63"/>
      <c r="D257" s="64"/>
      <c r="E257" s="65"/>
      <c r="F257" s="66"/>
      <c r="G257" s="62"/>
      <c r="H257" s="64"/>
      <c r="I257" s="62"/>
      <c r="J257" s="64"/>
      <c r="K257" s="93"/>
    </row>
    <row r="258" spans="2:11" s="61" customFormat="1" x14ac:dyDescent="0.3">
      <c r="B258" s="67"/>
      <c r="C258" s="63"/>
      <c r="D258" s="64"/>
      <c r="E258" s="65"/>
      <c r="F258" s="66"/>
      <c r="G258" s="62"/>
      <c r="H258" s="64"/>
      <c r="I258" s="62"/>
      <c r="J258" s="64"/>
      <c r="K258" s="93"/>
    </row>
    <row r="259" spans="2:11" s="61" customFormat="1" x14ac:dyDescent="0.3">
      <c r="B259" s="67"/>
      <c r="C259" s="63"/>
      <c r="D259" s="64"/>
      <c r="E259" s="65"/>
      <c r="F259" s="66"/>
      <c r="G259" s="62"/>
      <c r="H259" s="64"/>
      <c r="I259" s="62"/>
      <c r="J259" s="64"/>
      <c r="K259" s="93"/>
    </row>
    <row r="260" spans="2:11" s="61" customFormat="1" x14ac:dyDescent="0.3">
      <c r="B260" s="67"/>
      <c r="C260" s="63"/>
      <c r="D260" s="64"/>
      <c r="E260" s="65"/>
      <c r="F260" s="66"/>
      <c r="G260" s="62"/>
      <c r="H260" s="64"/>
      <c r="I260" s="62"/>
      <c r="J260" s="64"/>
      <c r="K260" s="93"/>
    </row>
    <row r="261" spans="2:11" s="61" customFormat="1" x14ac:dyDescent="0.3">
      <c r="B261" s="67"/>
      <c r="C261" s="63"/>
      <c r="D261" s="64"/>
      <c r="E261" s="65"/>
      <c r="F261" s="66"/>
      <c r="G261" s="62"/>
      <c r="H261" s="64"/>
      <c r="I261" s="62"/>
      <c r="J261" s="64"/>
      <c r="K261" s="93"/>
    </row>
    <row r="262" spans="2:11" s="61" customFormat="1" x14ac:dyDescent="0.3">
      <c r="B262" s="67"/>
      <c r="C262" s="63"/>
      <c r="D262" s="64"/>
      <c r="E262" s="65"/>
      <c r="F262" s="66"/>
      <c r="G262" s="62"/>
      <c r="H262" s="64"/>
      <c r="I262" s="62"/>
      <c r="J262" s="64"/>
      <c r="K262" s="93"/>
    </row>
    <row r="263" spans="2:11" s="61" customFormat="1" x14ac:dyDescent="0.3">
      <c r="B263" s="67"/>
      <c r="C263" s="63"/>
      <c r="D263" s="64"/>
      <c r="E263" s="65"/>
      <c r="F263" s="66"/>
      <c r="G263" s="62"/>
      <c r="H263" s="64"/>
      <c r="I263" s="62"/>
      <c r="J263" s="64"/>
      <c r="K263" s="93"/>
    </row>
    <row r="264" spans="2:11" s="61" customFormat="1" x14ac:dyDescent="0.3">
      <c r="B264" s="67"/>
      <c r="C264" s="63"/>
      <c r="D264" s="64"/>
      <c r="E264" s="65"/>
      <c r="F264" s="66"/>
      <c r="G264" s="62"/>
      <c r="H264" s="64"/>
      <c r="I264" s="62"/>
      <c r="J264" s="64"/>
      <c r="K264" s="93"/>
    </row>
    <row r="265" spans="2:11" s="61" customFormat="1" x14ac:dyDescent="0.3">
      <c r="B265" s="67"/>
      <c r="C265" s="63"/>
      <c r="D265" s="64"/>
      <c r="E265" s="65"/>
      <c r="F265" s="66"/>
      <c r="G265" s="62"/>
      <c r="H265" s="64"/>
      <c r="I265" s="62"/>
      <c r="J265" s="64"/>
      <c r="K265" s="93"/>
    </row>
    <row r="266" spans="2:11" s="61" customFormat="1" x14ac:dyDescent="0.3">
      <c r="B266" s="67"/>
      <c r="C266" s="63"/>
      <c r="D266" s="64"/>
      <c r="E266" s="65"/>
      <c r="F266" s="66"/>
      <c r="G266" s="62"/>
      <c r="H266" s="64"/>
      <c r="I266" s="62"/>
      <c r="J266" s="64"/>
      <c r="K266" s="93"/>
    </row>
    <row r="267" spans="2:11" s="61" customFormat="1" x14ac:dyDescent="0.3">
      <c r="B267" s="67"/>
      <c r="C267" s="63"/>
      <c r="D267" s="64"/>
      <c r="E267" s="65"/>
      <c r="F267" s="66"/>
      <c r="G267" s="62"/>
      <c r="H267" s="64"/>
      <c r="I267" s="62"/>
      <c r="J267" s="64"/>
      <c r="K267" s="93"/>
    </row>
    <row r="268" spans="2:11" s="61" customFormat="1" x14ac:dyDescent="0.3">
      <c r="B268" s="67"/>
      <c r="C268" s="63"/>
      <c r="D268" s="64"/>
      <c r="E268" s="65"/>
      <c r="F268" s="66"/>
      <c r="G268" s="62"/>
      <c r="H268" s="64"/>
      <c r="I268" s="62"/>
      <c r="J268" s="64"/>
      <c r="K268" s="93"/>
    </row>
    <row r="269" spans="2:11" s="61" customFormat="1" x14ac:dyDescent="0.3">
      <c r="B269" s="67"/>
      <c r="C269" s="63"/>
      <c r="D269" s="64"/>
      <c r="E269" s="65"/>
      <c r="F269" s="66"/>
      <c r="G269" s="62"/>
      <c r="H269" s="64"/>
      <c r="I269" s="62"/>
      <c r="J269" s="64"/>
      <c r="K269" s="93"/>
    </row>
    <row r="270" spans="2:11" s="61" customFormat="1" x14ac:dyDescent="0.3">
      <c r="B270" s="67"/>
      <c r="C270" s="63"/>
      <c r="D270" s="64"/>
      <c r="E270" s="65"/>
      <c r="F270" s="66"/>
      <c r="G270" s="62"/>
      <c r="H270" s="64"/>
      <c r="I270" s="62"/>
      <c r="J270" s="64"/>
      <c r="K270" s="93"/>
    </row>
    <row r="271" spans="2:11" s="61" customFormat="1" x14ac:dyDescent="0.3">
      <c r="B271" s="67"/>
      <c r="C271" s="63"/>
      <c r="D271" s="64"/>
      <c r="E271" s="65"/>
      <c r="F271" s="66"/>
      <c r="G271" s="62"/>
      <c r="H271" s="64"/>
      <c r="I271" s="62"/>
      <c r="J271" s="64"/>
      <c r="K271" s="93"/>
    </row>
    <row r="272" spans="2:11" s="61" customFormat="1" x14ac:dyDescent="0.3">
      <c r="B272" s="67"/>
      <c r="C272" s="63"/>
      <c r="D272" s="64"/>
      <c r="E272" s="65"/>
      <c r="F272" s="66"/>
      <c r="G272" s="62"/>
      <c r="H272" s="64"/>
      <c r="I272" s="62"/>
      <c r="J272" s="64"/>
      <c r="K272" s="93"/>
    </row>
    <row r="273" spans="2:11" s="61" customFormat="1" x14ac:dyDescent="0.3">
      <c r="B273" s="67"/>
      <c r="C273" s="63"/>
      <c r="D273" s="64"/>
      <c r="E273" s="65"/>
      <c r="F273" s="66"/>
      <c r="G273" s="62"/>
      <c r="H273" s="64"/>
      <c r="I273" s="62"/>
      <c r="J273" s="64"/>
      <c r="K273" s="93"/>
    </row>
    <row r="274" spans="2:11" s="61" customFormat="1" x14ac:dyDescent="0.3">
      <c r="B274" s="67"/>
      <c r="C274" s="63"/>
      <c r="D274" s="64"/>
      <c r="E274" s="65"/>
      <c r="F274" s="66"/>
      <c r="G274" s="62"/>
      <c r="H274" s="64"/>
      <c r="I274" s="62"/>
      <c r="J274" s="64"/>
      <c r="K274" s="93"/>
    </row>
    <row r="275" spans="2:11" s="61" customFormat="1" x14ac:dyDescent="0.3">
      <c r="B275" s="67"/>
      <c r="C275" s="63"/>
      <c r="D275" s="64"/>
      <c r="E275" s="65"/>
      <c r="F275" s="66"/>
      <c r="G275" s="62"/>
      <c r="H275" s="64"/>
      <c r="I275" s="62"/>
      <c r="J275" s="64"/>
      <c r="K275" s="93"/>
    </row>
    <row r="276" spans="2:11" s="61" customFormat="1" x14ac:dyDescent="0.3">
      <c r="B276" s="67"/>
      <c r="C276" s="63"/>
      <c r="D276" s="64"/>
      <c r="E276" s="65"/>
      <c r="F276" s="66"/>
      <c r="G276" s="62"/>
      <c r="H276" s="64"/>
      <c r="I276" s="62"/>
      <c r="J276" s="64"/>
      <c r="K276" s="93"/>
    </row>
    <row r="277" spans="2:11" s="61" customFormat="1" x14ac:dyDescent="0.3">
      <c r="B277" s="67"/>
      <c r="C277" s="63"/>
      <c r="D277" s="64"/>
      <c r="E277" s="65"/>
      <c r="F277" s="66"/>
      <c r="G277" s="62"/>
      <c r="H277" s="64"/>
      <c r="I277" s="62"/>
      <c r="J277" s="64"/>
      <c r="K277" s="93"/>
    </row>
    <row r="278" spans="2:11" s="61" customFormat="1" x14ac:dyDescent="0.3">
      <c r="B278" s="67"/>
      <c r="C278" s="63"/>
      <c r="D278" s="64"/>
      <c r="E278" s="65"/>
      <c r="F278" s="66"/>
      <c r="G278" s="62"/>
      <c r="H278" s="64"/>
      <c r="I278" s="62"/>
      <c r="J278" s="64"/>
      <c r="K278" s="93"/>
    </row>
    <row r="279" spans="2:11" s="61" customFormat="1" x14ac:dyDescent="0.3">
      <c r="B279" s="67"/>
      <c r="C279" s="63"/>
      <c r="D279" s="64"/>
      <c r="E279" s="65"/>
      <c r="F279" s="66"/>
      <c r="G279" s="62"/>
      <c r="H279" s="64"/>
      <c r="I279" s="62"/>
      <c r="J279" s="64"/>
      <c r="K279" s="93"/>
    </row>
    <row r="280" spans="2:11" s="61" customFormat="1" x14ac:dyDescent="0.3">
      <c r="B280" s="67"/>
      <c r="C280" s="63"/>
      <c r="D280" s="64"/>
      <c r="E280" s="65"/>
      <c r="F280" s="66"/>
      <c r="G280" s="62"/>
      <c r="H280" s="64"/>
      <c r="I280" s="62"/>
      <c r="J280" s="64"/>
      <c r="K280" s="93"/>
    </row>
    <row r="281" spans="2:11" s="61" customFormat="1" x14ac:dyDescent="0.3">
      <c r="B281" s="67"/>
      <c r="C281" s="63"/>
      <c r="D281" s="64"/>
      <c r="E281" s="65"/>
      <c r="F281" s="66"/>
      <c r="G281" s="62"/>
      <c r="H281" s="64"/>
      <c r="I281" s="62"/>
      <c r="J281" s="64"/>
      <c r="K281" s="93"/>
    </row>
    <row r="282" spans="2:11" s="61" customFormat="1" x14ac:dyDescent="0.3">
      <c r="B282" s="67"/>
      <c r="C282" s="63"/>
      <c r="D282" s="64"/>
      <c r="E282" s="65"/>
      <c r="F282" s="66"/>
      <c r="G282" s="62"/>
      <c r="H282" s="64"/>
      <c r="I282" s="62"/>
      <c r="J282" s="64"/>
      <c r="K282" s="93"/>
    </row>
    <row r="283" spans="2:11" s="61" customFormat="1" x14ac:dyDescent="0.3">
      <c r="B283" s="67"/>
      <c r="C283" s="63"/>
      <c r="D283" s="64"/>
      <c r="E283" s="65"/>
      <c r="F283" s="66"/>
      <c r="G283" s="62"/>
      <c r="H283" s="64"/>
      <c r="I283" s="62"/>
      <c r="J283" s="64"/>
      <c r="K283" s="93"/>
    </row>
    <row r="284" spans="2:11" s="61" customFormat="1" x14ac:dyDescent="0.3">
      <c r="B284" s="67"/>
      <c r="C284" s="63"/>
      <c r="D284" s="64"/>
      <c r="E284" s="65"/>
      <c r="F284" s="66"/>
      <c r="G284" s="62"/>
      <c r="H284" s="64"/>
      <c r="I284" s="62"/>
      <c r="J284" s="64"/>
      <c r="K284" s="93"/>
    </row>
    <row r="285" spans="2:11" s="61" customFormat="1" x14ac:dyDescent="0.3">
      <c r="B285" s="67"/>
      <c r="C285" s="63"/>
      <c r="D285" s="64"/>
      <c r="E285" s="65"/>
      <c r="F285" s="66"/>
      <c r="G285" s="62"/>
      <c r="H285" s="64"/>
      <c r="I285" s="62"/>
      <c r="J285" s="64"/>
      <c r="K285" s="93"/>
    </row>
    <row r="286" spans="2:11" s="61" customFormat="1" x14ac:dyDescent="0.3">
      <c r="B286" s="67"/>
      <c r="C286" s="63"/>
      <c r="D286" s="64"/>
      <c r="E286" s="65"/>
      <c r="F286" s="66"/>
      <c r="G286" s="62"/>
      <c r="H286" s="64"/>
      <c r="I286" s="62"/>
      <c r="J286" s="64"/>
      <c r="K286" s="93"/>
    </row>
    <row r="287" spans="2:11" s="61" customFormat="1" x14ac:dyDescent="0.3">
      <c r="B287" s="67"/>
      <c r="C287" s="63"/>
      <c r="D287" s="64"/>
      <c r="E287" s="65"/>
      <c r="F287" s="66"/>
      <c r="G287" s="62"/>
      <c r="H287" s="64"/>
      <c r="I287" s="62"/>
      <c r="J287" s="64"/>
      <c r="K287" s="93"/>
    </row>
    <row r="288" spans="2:11" s="61" customFormat="1" x14ac:dyDescent="0.3">
      <c r="B288" s="67"/>
      <c r="C288" s="63"/>
      <c r="D288" s="64"/>
      <c r="E288" s="65"/>
      <c r="F288" s="66"/>
      <c r="G288" s="62"/>
      <c r="H288" s="64"/>
      <c r="I288" s="62"/>
      <c r="J288" s="64"/>
      <c r="K288" s="93"/>
    </row>
    <row r="289" spans="2:11" s="61" customFormat="1" x14ac:dyDescent="0.3">
      <c r="B289" s="67"/>
      <c r="C289" s="63"/>
      <c r="D289" s="64"/>
      <c r="E289" s="65"/>
      <c r="F289" s="66"/>
      <c r="G289" s="62"/>
      <c r="H289" s="64"/>
      <c r="I289" s="62"/>
      <c r="J289" s="64"/>
      <c r="K289" s="93"/>
    </row>
    <row r="290" spans="2:11" s="61" customFormat="1" x14ac:dyDescent="0.3">
      <c r="B290" s="67"/>
      <c r="C290" s="63"/>
      <c r="D290" s="64"/>
      <c r="E290" s="65"/>
      <c r="F290" s="66"/>
      <c r="G290" s="62"/>
      <c r="H290" s="64"/>
      <c r="I290" s="62"/>
      <c r="J290" s="64"/>
      <c r="K290" s="93"/>
    </row>
    <row r="291" spans="2:11" s="61" customFormat="1" x14ac:dyDescent="0.3">
      <c r="B291" s="67"/>
      <c r="C291" s="63"/>
      <c r="D291" s="64"/>
      <c r="E291" s="65"/>
      <c r="F291" s="66"/>
      <c r="G291" s="62"/>
      <c r="H291" s="64"/>
      <c r="I291" s="62"/>
      <c r="J291" s="64"/>
      <c r="K291" s="93"/>
    </row>
    <row r="292" spans="2:11" s="61" customFormat="1" x14ac:dyDescent="0.3">
      <c r="B292" s="67"/>
      <c r="C292" s="63"/>
      <c r="D292" s="64"/>
      <c r="E292" s="65"/>
      <c r="F292" s="66"/>
      <c r="G292" s="62"/>
      <c r="H292" s="64"/>
      <c r="I292" s="62"/>
      <c r="J292" s="64"/>
      <c r="K292" s="93"/>
    </row>
    <row r="293" spans="2:11" s="61" customFormat="1" x14ac:dyDescent="0.3">
      <c r="B293" s="67"/>
      <c r="C293" s="63"/>
      <c r="D293" s="64"/>
      <c r="E293" s="65"/>
      <c r="F293" s="66"/>
      <c r="G293" s="62"/>
      <c r="H293" s="64"/>
      <c r="I293" s="62"/>
      <c r="J293" s="64"/>
      <c r="K293" s="93"/>
    </row>
    <row r="294" spans="2:11" s="61" customFormat="1" x14ac:dyDescent="0.3">
      <c r="B294" s="67"/>
      <c r="C294" s="63"/>
      <c r="D294" s="64"/>
      <c r="E294" s="65"/>
      <c r="F294" s="66"/>
      <c r="G294" s="62"/>
      <c r="H294" s="64"/>
      <c r="I294" s="62"/>
      <c r="J294" s="64"/>
      <c r="K294" s="93"/>
    </row>
    <row r="295" spans="2:11" s="61" customFormat="1" x14ac:dyDescent="0.3">
      <c r="B295" s="67"/>
      <c r="C295" s="63"/>
      <c r="D295" s="64"/>
      <c r="E295" s="65"/>
      <c r="F295" s="66"/>
      <c r="G295" s="62"/>
      <c r="H295" s="64"/>
      <c r="I295" s="62"/>
      <c r="J295" s="64"/>
      <c r="K295" s="93"/>
    </row>
    <row r="296" spans="2:11" s="61" customFormat="1" x14ac:dyDescent="0.3">
      <c r="B296" s="67"/>
      <c r="C296" s="63"/>
      <c r="D296" s="64"/>
      <c r="E296" s="65"/>
      <c r="F296" s="66"/>
      <c r="G296" s="62"/>
      <c r="H296" s="64"/>
      <c r="I296" s="62"/>
      <c r="J296" s="64"/>
      <c r="K296" s="93"/>
    </row>
    <row r="297" spans="2:11" s="61" customFormat="1" x14ac:dyDescent="0.3">
      <c r="B297" s="67"/>
      <c r="C297" s="63"/>
      <c r="D297" s="64"/>
      <c r="E297" s="65"/>
      <c r="F297" s="66"/>
      <c r="G297" s="62"/>
      <c r="H297" s="64"/>
      <c r="I297" s="62"/>
      <c r="J297" s="64"/>
      <c r="K297" s="93"/>
    </row>
    <row r="298" spans="2:11" s="61" customFormat="1" x14ac:dyDescent="0.3">
      <c r="B298" s="67"/>
      <c r="C298" s="63"/>
      <c r="D298" s="64"/>
      <c r="E298" s="65"/>
      <c r="F298" s="66"/>
      <c r="G298" s="62"/>
      <c r="H298" s="64"/>
      <c r="I298" s="62"/>
      <c r="J298" s="64"/>
      <c r="K298" s="93"/>
    </row>
    <row r="299" spans="2:11" s="61" customFormat="1" x14ac:dyDescent="0.3">
      <c r="B299" s="67"/>
      <c r="C299" s="63"/>
      <c r="D299" s="64"/>
      <c r="E299" s="65"/>
      <c r="F299" s="66"/>
      <c r="G299" s="62"/>
      <c r="H299" s="64"/>
      <c r="I299" s="62"/>
      <c r="J299" s="64"/>
      <c r="K299" s="93"/>
    </row>
    <row r="300" spans="2:11" s="61" customFormat="1" x14ac:dyDescent="0.3">
      <c r="B300" s="67"/>
      <c r="C300" s="63"/>
      <c r="D300" s="64"/>
      <c r="E300" s="65"/>
      <c r="F300" s="66"/>
      <c r="G300" s="62"/>
      <c r="H300" s="64"/>
      <c r="I300" s="62"/>
      <c r="J300" s="64"/>
      <c r="K300" s="93"/>
    </row>
    <row r="301" spans="2:11" s="61" customFormat="1" x14ac:dyDescent="0.3">
      <c r="B301" s="67"/>
      <c r="C301" s="63"/>
      <c r="D301" s="64"/>
      <c r="E301" s="65"/>
      <c r="F301" s="66"/>
      <c r="G301" s="62"/>
      <c r="H301" s="64"/>
      <c r="I301" s="62"/>
      <c r="J301" s="64"/>
      <c r="K301" s="93"/>
    </row>
    <row r="302" spans="2:11" s="61" customFormat="1" x14ac:dyDescent="0.3">
      <c r="B302" s="67"/>
      <c r="C302" s="63"/>
      <c r="D302" s="64"/>
      <c r="E302" s="65"/>
      <c r="F302" s="66"/>
      <c r="G302" s="62"/>
      <c r="H302" s="64"/>
      <c r="I302" s="62"/>
      <c r="J302" s="64"/>
      <c r="K302" s="93"/>
    </row>
    <row r="303" spans="2:11" s="61" customFormat="1" x14ac:dyDescent="0.3">
      <c r="B303" s="67"/>
      <c r="C303" s="63"/>
      <c r="D303" s="64"/>
      <c r="E303" s="65"/>
      <c r="F303" s="66"/>
      <c r="G303" s="62"/>
      <c r="H303" s="64"/>
      <c r="I303" s="62"/>
      <c r="J303" s="64"/>
      <c r="K303" s="93"/>
    </row>
    <row r="304" spans="2:11" s="61" customFormat="1" x14ac:dyDescent="0.3">
      <c r="B304" s="67"/>
      <c r="C304" s="63"/>
      <c r="D304" s="64"/>
      <c r="E304" s="65"/>
      <c r="F304" s="66"/>
      <c r="G304" s="62"/>
      <c r="H304" s="64"/>
      <c r="I304" s="62"/>
      <c r="J304" s="64"/>
      <c r="K304" s="93"/>
    </row>
    <row r="305" spans="2:11" s="61" customFormat="1" x14ac:dyDescent="0.3">
      <c r="B305" s="67"/>
      <c r="C305" s="63"/>
      <c r="D305" s="64"/>
      <c r="E305" s="65"/>
      <c r="F305" s="66"/>
      <c r="G305" s="62"/>
      <c r="H305" s="64"/>
      <c r="I305" s="62"/>
      <c r="J305" s="64"/>
      <c r="K305" s="93"/>
    </row>
    <row r="306" spans="2:11" s="61" customFormat="1" x14ac:dyDescent="0.3">
      <c r="B306" s="67"/>
      <c r="C306" s="63"/>
      <c r="D306" s="64"/>
      <c r="E306" s="65"/>
      <c r="F306" s="66"/>
      <c r="G306" s="62"/>
      <c r="H306" s="64"/>
      <c r="I306" s="62"/>
      <c r="J306" s="64"/>
      <c r="K306" s="93"/>
    </row>
    <row r="307" spans="2:11" s="61" customFormat="1" x14ac:dyDescent="0.3">
      <c r="B307" s="67"/>
      <c r="C307" s="63"/>
      <c r="D307" s="64"/>
      <c r="E307" s="65"/>
      <c r="F307" s="66"/>
      <c r="G307" s="62"/>
      <c r="H307" s="64"/>
      <c r="I307" s="62"/>
      <c r="J307" s="64"/>
      <c r="K307" s="93"/>
    </row>
    <row r="308" spans="2:11" s="61" customFormat="1" x14ac:dyDescent="0.3">
      <c r="B308" s="67"/>
      <c r="C308" s="63"/>
      <c r="D308" s="64"/>
      <c r="E308" s="65"/>
      <c r="F308" s="66"/>
      <c r="G308" s="62"/>
      <c r="H308" s="64"/>
      <c r="I308" s="62"/>
      <c r="J308" s="64"/>
      <c r="K308" s="93"/>
    </row>
    <row r="309" spans="2:11" s="61" customFormat="1" x14ac:dyDescent="0.3">
      <c r="B309" s="67"/>
      <c r="C309" s="63"/>
      <c r="D309" s="64"/>
      <c r="E309" s="65"/>
      <c r="F309" s="66"/>
      <c r="G309" s="62"/>
      <c r="H309" s="64"/>
      <c r="I309" s="62"/>
      <c r="J309" s="64"/>
      <c r="K309" s="93"/>
    </row>
    <row r="310" spans="2:11" s="61" customFormat="1" x14ac:dyDescent="0.3">
      <c r="B310" s="67"/>
      <c r="C310" s="63"/>
      <c r="D310" s="64"/>
      <c r="E310" s="65"/>
      <c r="F310" s="66"/>
      <c r="G310" s="62"/>
      <c r="H310" s="64"/>
      <c r="I310" s="62"/>
      <c r="J310" s="64"/>
      <c r="K310" s="93"/>
    </row>
    <row r="311" spans="2:11" s="61" customFormat="1" x14ac:dyDescent="0.3">
      <c r="B311" s="67"/>
      <c r="C311" s="63"/>
      <c r="D311" s="64"/>
      <c r="E311" s="65"/>
      <c r="F311" s="66"/>
      <c r="G311" s="62"/>
      <c r="H311" s="64"/>
      <c r="I311" s="62"/>
      <c r="J311" s="64"/>
      <c r="K311" s="93"/>
    </row>
    <row r="312" spans="2:11" s="61" customFormat="1" x14ac:dyDescent="0.3">
      <c r="B312" s="67"/>
      <c r="C312" s="63"/>
      <c r="D312" s="64"/>
      <c r="E312" s="65"/>
      <c r="F312" s="66"/>
      <c r="G312" s="62"/>
      <c r="H312" s="64"/>
      <c r="I312" s="62"/>
      <c r="J312" s="64"/>
      <c r="K312" s="93"/>
    </row>
    <row r="313" spans="2:11" s="61" customFormat="1" x14ac:dyDescent="0.3">
      <c r="B313" s="67"/>
      <c r="C313" s="63"/>
      <c r="D313" s="64"/>
      <c r="E313" s="65"/>
      <c r="F313" s="66"/>
      <c r="G313" s="62"/>
      <c r="H313" s="64"/>
      <c r="I313" s="62"/>
      <c r="J313" s="64"/>
      <c r="K313" s="93"/>
    </row>
    <row r="314" spans="2:11" s="61" customFormat="1" x14ac:dyDescent="0.3">
      <c r="B314" s="67"/>
      <c r="C314" s="63"/>
      <c r="D314" s="64"/>
      <c r="E314" s="65"/>
      <c r="F314" s="66"/>
      <c r="G314" s="62"/>
      <c r="H314" s="64"/>
      <c r="I314" s="62"/>
      <c r="J314" s="64"/>
      <c r="K314" s="93"/>
    </row>
    <row r="315" spans="2:11" s="61" customFormat="1" x14ac:dyDescent="0.3">
      <c r="B315" s="67"/>
      <c r="C315" s="63"/>
      <c r="D315" s="64"/>
      <c r="E315" s="65"/>
      <c r="F315" s="66"/>
      <c r="G315" s="62"/>
      <c r="H315" s="64"/>
      <c r="I315" s="62"/>
      <c r="J315" s="64"/>
      <c r="K315" s="93"/>
    </row>
    <row r="316" spans="2:11" s="61" customFormat="1" x14ac:dyDescent="0.3">
      <c r="B316" s="67"/>
      <c r="C316" s="63"/>
      <c r="D316" s="64"/>
      <c r="E316" s="65"/>
      <c r="F316" s="66"/>
      <c r="G316" s="62"/>
      <c r="H316" s="64"/>
      <c r="I316" s="62"/>
      <c r="J316" s="64"/>
      <c r="K316" s="93"/>
    </row>
    <row r="317" spans="2:11" s="61" customFormat="1" x14ac:dyDescent="0.3">
      <c r="B317" s="67"/>
      <c r="C317" s="63"/>
      <c r="D317" s="64"/>
      <c r="E317" s="65"/>
      <c r="F317" s="66"/>
      <c r="G317" s="62"/>
      <c r="H317" s="64"/>
      <c r="I317" s="62"/>
      <c r="J317" s="64"/>
      <c r="K317" s="93"/>
    </row>
    <row r="318" spans="2:11" s="61" customFormat="1" x14ac:dyDescent="0.3">
      <c r="B318" s="67"/>
      <c r="C318" s="63"/>
      <c r="D318" s="64"/>
      <c r="E318" s="65"/>
      <c r="F318" s="66"/>
      <c r="G318" s="62"/>
      <c r="H318" s="64"/>
      <c r="I318" s="62"/>
      <c r="J318" s="64"/>
      <c r="K318" s="93"/>
    </row>
    <row r="319" spans="2:11" s="61" customFormat="1" x14ac:dyDescent="0.3">
      <c r="B319" s="67"/>
      <c r="C319" s="63"/>
      <c r="D319" s="64"/>
      <c r="E319" s="65"/>
      <c r="F319" s="66"/>
      <c r="G319" s="62"/>
      <c r="H319" s="64"/>
      <c r="I319" s="62"/>
      <c r="J319" s="64"/>
      <c r="K319" s="93"/>
    </row>
    <row r="320" spans="2:11" s="61" customFormat="1" x14ac:dyDescent="0.3">
      <c r="B320" s="67"/>
      <c r="C320" s="63"/>
      <c r="D320" s="64"/>
      <c r="E320" s="65"/>
      <c r="F320" s="66"/>
      <c r="G320" s="62"/>
      <c r="H320" s="64"/>
      <c r="I320" s="62"/>
      <c r="J320" s="64"/>
      <c r="K320" s="93"/>
    </row>
    <row r="321" spans="2:11" s="61" customFormat="1" x14ac:dyDescent="0.3">
      <c r="B321" s="67"/>
      <c r="C321" s="63"/>
      <c r="D321" s="64"/>
      <c r="E321" s="65"/>
      <c r="F321" s="66"/>
      <c r="G321" s="62"/>
      <c r="H321" s="64"/>
      <c r="I321" s="62"/>
      <c r="J321" s="64"/>
      <c r="K321" s="93"/>
    </row>
    <row r="322" spans="2:11" s="61" customFormat="1" x14ac:dyDescent="0.3">
      <c r="B322" s="67"/>
      <c r="C322" s="63"/>
      <c r="D322" s="64"/>
      <c r="E322" s="65"/>
      <c r="F322" s="66"/>
      <c r="G322" s="62"/>
      <c r="H322" s="64"/>
      <c r="I322" s="62"/>
      <c r="J322" s="64"/>
      <c r="K322" s="93"/>
    </row>
    <row r="323" spans="2:11" s="61" customFormat="1" x14ac:dyDescent="0.3">
      <c r="B323" s="67"/>
      <c r="C323" s="63"/>
      <c r="D323" s="64"/>
      <c r="E323" s="65"/>
      <c r="F323" s="66"/>
      <c r="G323" s="62"/>
      <c r="H323" s="64"/>
      <c r="I323" s="62"/>
      <c r="J323" s="64"/>
      <c r="K323" s="93"/>
    </row>
    <row r="324" spans="2:11" s="61" customFormat="1" x14ac:dyDescent="0.3">
      <c r="B324" s="67"/>
      <c r="C324" s="63"/>
      <c r="D324" s="64"/>
      <c r="E324" s="65"/>
      <c r="F324" s="66"/>
      <c r="G324" s="62"/>
      <c r="H324" s="64"/>
      <c r="I324" s="62"/>
      <c r="J324" s="64"/>
      <c r="K324" s="93"/>
    </row>
    <row r="325" spans="2:11" s="61" customFormat="1" ht="17.399999999999999" customHeight="1" x14ac:dyDescent="0.3">
      <c r="B325" s="67"/>
      <c r="C325" s="63"/>
      <c r="D325" s="64"/>
      <c r="E325" s="65"/>
      <c r="F325" s="66"/>
      <c r="G325" s="62"/>
      <c r="H325" s="64"/>
      <c r="I325" s="62"/>
      <c r="J325" s="64"/>
      <c r="K325" s="93"/>
    </row>
    <row r="326" spans="2:11" s="61" customFormat="1" ht="17.399999999999999" customHeight="1" x14ac:dyDescent="0.3">
      <c r="B326" s="67"/>
      <c r="C326" s="63"/>
      <c r="D326" s="64"/>
      <c r="E326" s="65"/>
      <c r="F326" s="66"/>
      <c r="G326" s="62"/>
      <c r="H326" s="64"/>
      <c r="I326" s="62"/>
      <c r="J326" s="64"/>
      <c r="K326" s="93"/>
    </row>
    <row r="327" spans="2:11" s="61" customFormat="1" x14ac:dyDescent="0.3">
      <c r="B327" s="67"/>
      <c r="C327" s="63"/>
      <c r="D327" s="64"/>
      <c r="E327" s="65"/>
      <c r="F327" s="66"/>
      <c r="G327" s="62"/>
      <c r="H327" s="64"/>
      <c r="I327" s="62"/>
      <c r="J327" s="64"/>
      <c r="K327" s="93"/>
    </row>
    <row r="328" spans="2:11" s="61" customFormat="1" x14ac:dyDescent="0.3">
      <c r="B328" s="67"/>
      <c r="C328" s="63"/>
      <c r="D328" s="64"/>
      <c r="E328" s="65"/>
      <c r="F328" s="66"/>
      <c r="G328" s="62"/>
      <c r="H328" s="64"/>
      <c r="I328" s="62"/>
      <c r="J328" s="64"/>
      <c r="K328" s="93"/>
    </row>
    <row r="329" spans="2:11" s="61" customFormat="1" x14ac:dyDescent="0.3">
      <c r="B329" s="67"/>
      <c r="C329" s="63"/>
      <c r="D329" s="64"/>
      <c r="E329" s="65"/>
      <c r="F329" s="66"/>
      <c r="G329" s="62"/>
      <c r="H329" s="64"/>
      <c r="I329" s="62"/>
      <c r="J329" s="64"/>
      <c r="K329" s="93"/>
    </row>
    <row r="330" spans="2:11" s="61" customFormat="1" x14ac:dyDescent="0.3">
      <c r="B330" s="67"/>
      <c r="C330" s="63"/>
      <c r="D330" s="64"/>
      <c r="E330" s="65"/>
      <c r="F330" s="66"/>
      <c r="G330" s="62"/>
      <c r="H330" s="64"/>
      <c r="I330" s="62"/>
      <c r="J330" s="64"/>
      <c r="K330" s="93"/>
    </row>
    <row r="331" spans="2:11" s="61" customFormat="1" x14ac:dyDescent="0.3">
      <c r="B331" s="67"/>
      <c r="C331" s="63"/>
      <c r="D331" s="64"/>
      <c r="E331" s="65"/>
      <c r="F331" s="66"/>
      <c r="G331" s="62"/>
      <c r="H331" s="64"/>
      <c r="I331" s="62"/>
      <c r="J331" s="64"/>
      <c r="K331" s="93"/>
    </row>
    <row r="332" spans="2:11" s="61" customFormat="1" x14ac:dyDescent="0.3">
      <c r="B332" s="67"/>
      <c r="C332" s="63"/>
      <c r="D332" s="64"/>
      <c r="E332" s="65"/>
      <c r="F332" s="66"/>
      <c r="G332" s="62"/>
      <c r="H332" s="64"/>
      <c r="I332" s="62"/>
      <c r="J332" s="64"/>
      <c r="K332" s="93"/>
    </row>
    <row r="333" spans="2:11" s="61" customFormat="1" x14ac:dyDescent="0.3">
      <c r="B333" s="67"/>
      <c r="C333" s="63"/>
      <c r="D333" s="64"/>
      <c r="E333" s="65"/>
      <c r="F333" s="66"/>
      <c r="G333" s="62"/>
      <c r="H333" s="64"/>
      <c r="I333" s="62"/>
      <c r="J333" s="64"/>
      <c r="K333" s="93"/>
    </row>
    <row r="334" spans="2:11" s="61" customFormat="1" x14ac:dyDescent="0.3">
      <c r="B334" s="67"/>
      <c r="C334" s="63"/>
      <c r="D334" s="64"/>
      <c r="E334" s="65"/>
      <c r="F334" s="66"/>
      <c r="G334" s="62"/>
      <c r="H334" s="64"/>
      <c r="I334" s="62"/>
      <c r="J334" s="64"/>
      <c r="K334" s="93"/>
    </row>
    <row r="335" spans="2:11" s="61" customFormat="1" x14ac:dyDescent="0.3">
      <c r="B335" s="67"/>
      <c r="C335" s="63"/>
      <c r="D335" s="64"/>
      <c r="E335" s="65"/>
      <c r="F335" s="66"/>
      <c r="G335" s="62"/>
      <c r="H335" s="64"/>
      <c r="I335" s="62"/>
      <c r="J335" s="64"/>
      <c r="K335" s="93"/>
    </row>
    <row r="336" spans="2:11" s="61" customFormat="1" x14ac:dyDescent="0.3">
      <c r="B336" s="67"/>
      <c r="C336" s="63"/>
      <c r="D336" s="64"/>
      <c r="E336" s="65"/>
      <c r="F336" s="66"/>
      <c r="G336" s="62"/>
      <c r="H336" s="64"/>
      <c r="I336" s="62"/>
      <c r="J336" s="64"/>
      <c r="K336" s="93"/>
    </row>
    <row r="337" spans="2:11" s="61" customFormat="1" x14ac:dyDescent="0.3">
      <c r="B337" s="67"/>
      <c r="C337" s="63"/>
      <c r="D337" s="64"/>
      <c r="E337" s="65"/>
      <c r="F337" s="66"/>
      <c r="G337" s="62"/>
      <c r="H337" s="64"/>
      <c r="I337" s="62"/>
      <c r="J337" s="64"/>
      <c r="K337" s="93"/>
    </row>
    <row r="338" spans="2:11" s="61" customFormat="1" x14ac:dyDescent="0.3">
      <c r="B338" s="67"/>
      <c r="C338" s="63"/>
      <c r="D338" s="64"/>
      <c r="E338" s="65"/>
      <c r="F338" s="66"/>
      <c r="G338" s="62"/>
      <c r="H338" s="64"/>
      <c r="I338" s="62"/>
      <c r="J338" s="64"/>
      <c r="K338" s="93"/>
    </row>
    <row r="339" spans="2:11" s="61" customFormat="1" x14ac:dyDescent="0.3">
      <c r="B339" s="67"/>
      <c r="C339" s="63"/>
      <c r="D339" s="64"/>
      <c r="E339" s="65"/>
      <c r="F339" s="66"/>
      <c r="G339" s="62"/>
      <c r="H339" s="64"/>
      <c r="I339" s="62"/>
      <c r="J339" s="64"/>
      <c r="K339" s="93"/>
    </row>
    <row r="340" spans="2:11" s="61" customFormat="1" x14ac:dyDescent="0.3">
      <c r="B340" s="67"/>
      <c r="C340" s="63"/>
      <c r="D340" s="64"/>
      <c r="E340" s="65"/>
      <c r="F340" s="66"/>
      <c r="G340" s="62"/>
      <c r="H340" s="64"/>
      <c r="I340" s="62"/>
      <c r="J340" s="64"/>
      <c r="K340" s="93"/>
    </row>
    <row r="341" spans="2:11" s="61" customFormat="1" x14ac:dyDescent="0.3">
      <c r="B341" s="67"/>
      <c r="C341" s="63"/>
      <c r="D341" s="64"/>
      <c r="E341" s="65"/>
      <c r="F341" s="66"/>
      <c r="G341" s="62"/>
      <c r="H341" s="64"/>
      <c r="I341" s="62"/>
      <c r="J341" s="64"/>
      <c r="K341" s="93"/>
    </row>
    <row r="342" spans="2:11" s="61" customFormat="1" x14ac:dyDescent="0.3">
      <c r="B342" s="67"/>
      <c r="C342" s="63"/>
      <c r="D342" s="64"/>
      <c r="E342" s="65"/>
      <c r="F342" s="66"/>
      <c r="G342" s="62"/>
      <c r="H342" s="64"/>
      <c r="I342" s="62"/>
      <c r="J342" s="64"/>
      <c r="K342" s="93"/>
    </row>
    <row r="343" spans="2:11" s="61" customFormat="1" x14ac:dyDescent="0.3">
      <c r="B343" s="67"/>
      <c r="C343" s="63"/>
      <c r="D343" s="64"/>
      <c r="E343" s="65"/>
      <c r="F343" s="66"/>
      <c r="G343" s="62"/>
      <c r="H343" s="64"/>
      <c r="I343" s="62"/>
      <c r="J343" s="64"/>
      <c r="K343" s="93"/>
    </row>
    <row r="344" spans="2:11" s="61" customFormat="1" x14ac:dyDescent="0.3">
      <c r="B344" s="67"/>
      <c r="C344" s="63"/>
      <c r="D344" s="64"/>
      <c r="E344" s="65"/>
      <c r="F344" s="66"/>
      <c r="G344" s="62"/>
      <c r="H344" s="64"/>
      <c r="I344" s="62"/>
      <c r="J344" s="64"/>
      <c r="K344" s="93"/>
    </row>
    <row r="345" spans="2:11" s="61" customFormat="1" x14ac:dyDescent="0.3">
      <c r="B345" s="67"/>
      <c r="C345" s="63"/>
      <c r="D345" s="64"/>
      <c r="E345" s="65"/>
      <c r="F345" s="66"/>
      <c r="G345" s="62"/>
      <c r="H345" s="64"/>
      <c r="I345" s="62"/>
      <c r="J345" s="64"/>
      <c r="K345" s="93"/>
    </row>
    <row r="346" spans="2:11" s="61" customFormat="1" x14ac:dyDescent="0.3">
      <c r="B346" s="67"/>
      <c r="C346" s="63"/>
      <c r="D346" s="64"/>
      <c r="E346" s="65"/>
      <c r="F346" s="66"/>
      <c r="G346" s="62"/>
      <c r="H346" s="64"/>
      <c r="I346" s="62"/>
      <c r="J346" s="64"/>
      <c r="K346" s="93"/>
    </row>
    <row r="347" spans="2:11" s="61" customFormat="1" x14ac:dyDescent="0.3">
      <c r="B347" s="67"/>
      <c r="C347" s="63"/>
      <c r="D347" s="64"/>
      <c r="E347" s="65"/>
      <c r="F347" s="66"/>
      <c r="G347" s="62"/>
      <c r="H347" s="64"/>
      <c r="I347" s="62"/>
      <c r="J347" s="64"/>
      <c r="K347" s="93"/>
    </row>
    <row r="348" spans="2:11" s="61" customFormat="1" x14ac:dyDescent="0.3">
      <c r="B348" s="67"/>
      <c r="C348" s="63"/>
      <c r="D348" s="64"/>
      <c r="E348" s="65"/>
      <c r="F348" s="66"/>
      <c r="G348" s="62"/>
      <c r="H348" s="64"/>
      <c r="I348" s="62"/>
      <c r="J348" s="64"/>
      <c r="K348" s="93"/>
    </row>
    <row r="349" spans="2:11" s="61" customFormat="1" x14ac:dyDescent="0.3">
      <c r="B349" s="67"/>
      <c r="C349" s="63"/>
      <c r="D349" s="64"/>
      <c r="E349" s="65"/>
      <c r="F349" s="66"/>
      <c r="G349" s="62"/>
      <c r="H349" s="64"/>
      <c r="I349" s="62"/>
      <c r="J349" s="64"/>
      <c r="K349" s="93"/>
    </row>
    <row r="350" spans="2:11" s="61" customFormat="1" x14ac:dyDescent="0.3">
      <c r="B350" s="67"/>
      <c r="C350" s="63"/>
      <c r="D350" s="64"/>
      <c r="E350" s="65"/>
      <c r="F350" s="66"/>
      <c r="G350" s="62"/>
      <c r="H350" s="64"/>
      <c r="I350" s="62"/>
      <c r="J350" s="64"/>
      <c r="K350" s="93"/>
    </row>
    <row r="351" spans="2:11" s="61" customFormat="1" x14ac:dyDescent="0.3">
      <c r="B351" s="67"/>
      <c r="C351" s="63"/>
      <c r="D351" s="64"/>
      <c r="E351" s="65"/>
      <c r="F351" s="66"/>
      <c r="G351" s="62"/>
      <c r="H351" s="64"/>
      <c r="I351" s="62"/>
      <c r="J351" s="64"/>
      <c r="K351" s="93"/>
    </row>
    <row r="352" spans="2:11" s="61" customFormat="1" x14ac:dyDescent="0.3">
      <c r="B352" s="67"/>
      <c r="C352" s="63"/>
      <c r="D352" s="64"/>
      <c r="E352" s="65"/>
      <c r="F352" s="66"/>
      <c r="G352" s="62"/>
      <c r="H352" s="64"/>
      <c r="I352" s="62"/>
      <c r="J352" s="64"/>
      <c r="K352" s="93"/>
    </row>
    <row r="353" spans="2:11" s="61" customFormat="1" x14ac:dyDescent="0.3">
      <c r="B353" s="67"/>
      <c r="C353" s="63"/>
      <c r="D353" s="64"/>
      <c r="E353" s="65"/>
      <c r="F353" s="66"/>
      <c r="G353" s="62"/>
      <c r="H353" s="64"/>
      <c r="I353" s="62"/>
      <c r="J353" s="64"/>
      <c r="K353" s="93"/>
    </row>
    <row r="354" spans="2:11" s="61" customFormat="1" x14ac:dyDescent="0.3">
      <c r="B354" s="67"/>
      <c r="C354" s="63"/>
      <c r="D354" s="64"/>
      <c r="E354" s="65"/>
      <c r="F354" s="66"/>
      <c r="G354" s="62"/>
      <c r="H354" s="64"/>
      <c r="I354" s="62"/>
      <c r="J354" s="64"/>
      <c r="K354" s="93"/>
    </row>
    <row r="355" spans="2:11" s="61" customFormat="1" x14ac:dyDescent="0.3">
      <c r="B355" s="67"/>
      <c r="C355" s="63"/>
      <c r="D355" s="64"/>
      <c r="E355" s="65"/>
      <c r="F355" s="66"/>
      <c r="G355" s="62"/>
      <c r="H355" s="64"/>
      <c r="I355" s="62"/>
      <c r="J355" s="64"/>
      <c r="K355" s="93"/>
    </row>
    <row r="356" spans="2:11" s="61" customFormat="1" x14ac:dyDescent="0.3">
      <c r="B356" s="67"/>
      <c r="C356" s="63"/>
      <c r="D356" s="64"/>
      <c r="E356" s="65"/>
      <c r="F356" s="66"/>
      <c r="G356" s="62"/>
      <c r="H356" s="64"/>
      <c r="I356" s="62"/>
      <c r="J356" s="64"/>
      <c r="K356" s="93"/>
    </row>
    <row r="357" spans="2:11" s="61" customFormat="1" x14ac:dyDescent="0.3">
      <c r="B357" s="67"/>
      <c r="C357" s="63"/>
      <c r="D357" s="64"/>
      <c r="E357" s="65"/>
      <c r="F357" s="66"/>
      <c r="G357" s="62"/>
      <c r="H357" s="64"/>
      <c r="I357" s="62"/>
      <c r="J357" s="64"/>
      <c r="K357" s="93"/>
    </row>
    <row r="358" spans="2:11" s="61" customFormat="1" x14ac:dyDescent="0.3">
      <c r="B358" s="67"/>
      <c r="C358" s="63"/>
      <c r="D358" s="64"/>
      <c r="E358" s="65"/>
      <c r="F358" s="66"/>
      <c r="G358" s="62"/>
      <c r="H358" s="64"/>
      <c r="I358" s="62"/>
      <c r="J358" s="64"/>
      <c r="K358" s="93"/>
    </row>
    <row r="359" spans="2:11" s="61" customFormat="1" x14ac:dyDescent="0.3">
      <c r="B359" s="67"/>
      <c r="C359" s="63"/>
      <c r="D359" s="64"/>
      <c r="E359" s="65"/>
      <c r="F359" s="66"/>
      <c r="G359" s="62"/>
      <c r="H359" s="64"/>
      <c r="I359" s="62"/>
      <c r="J359" s="64"/>
      <c r="K359" s="93"/>
    </row>
    <row r="360" spans="2:11" s="61" customFormat="1" x14ac:dyDescent="0.3">
      <c r="B360" s="67"/>
      <c r="C360" s="63"/>
      <c r="D360" s="64"/>
      <c r="E360" s="65"/>
      <c r="F360" s="66"/>
      <c r="G360" s="62"/>
      <c r="H360" s="64"/>
      <c r="I360" s="62"/>
      <c r="J360" s="64"/>
      <c r="K360" s="93"/>
    </row>
    <row r="361" spans="2:11" s="61" customFormat="1" x14ac:dyDescent="0.3">
      <c r="B361" s="67"/>
      <c r="C361" s="63"/>
      <c r="D361" s="64"/>
      <c r="E361" s="65"/>
      <c r="F361" s="66"/>
      <c r="G361" s="62"/>
      <c r="H361" s="64"/>
      <c r="I361" s="62"/>
      <c r="J361" s="64"/>
      <c r="K361" s="93"/>
    </row>
    <row r="362" spans="2:11" s="61" customFormat="1" x14ac:dyDescent="0.3">
      <c r="B362" s="67"/>
      <c r="C362" s="63"/>
      <c r="D362" s="64"/>
      <c r="E362" s="65"/>
      <c r="F362" s="66"/>
      <c r="G362" s="62"/>
      <c r="H362" s="64"/>
      <c r="I362" s="62"/>
      <c r="J362" s="64"/>
      <c r="K362" s="93"/>
    </row>
    <row r="363" spans="2:11" s="61" customFormat="1" x14ac:dyDescent="0.3">
      <c r="B363" s="67"/>
      <c r="C363" s="63"/>
      <c r="D363" s="64"/>
      <c r="E363" s="65"/>
      <c r="F363" s="66"/>
      <c r="G363" s="62"/>
      <c r="H363" s="64"/>
      <c r="I363" s="62"/>
      <c r="J363" s="64"/>
      <c r="K363" s="93"/>
    </row>
    <row r="364" spans="2:11" s="61" customFormat="1" x14ac:dyDescent="0.3">
      <c r="B364" s="67"/>
      <c r="C364" s="63"/>
      <c r="D364" s="64"/>
      <c r="E364" s="65"/>
      <c r="F364" s="66"/>
      <c r="G364" s="62"/>
      <c r="H364" s="64"/>
      <c r="I364" s="62"/>
      <c r="J364" s="64"/>
      <c r="K364" s="93"/>
    </row>
    <row r="365" spans="2:11" s="61" customFormat="1" x14ac:dyDescent="0.3">
      <c r="B365" s="67"/>
      <c r="C365" s="63"/>
      <c r="D365" s="64"/>
      <c r="E365" s="65"/>
      <c r="F365" s="66"/>
      <c r="G365" s="62"/>
      <c r="H365" s="64"/>
      <c r="I365" s="62"/>
      <c r="J365" s="64"/>
      <c r="K365" s="93"/>
    </row>
    <row r="366" spans="2:11" s="61" customFormat="1" x14ac:dyDescent="0.3">
      <c r="B366" s="67"/>
      <c r="C366" s="63"/>
      <c r="D366" s="64"/>
      <c r="E366" s="65"/>
      <c r="F366" s="66"/>
      <c r="G366" s="62"/>
      <c r="H366" s="64"/>
      <c r="I366" s="62"/>
      <c r="J366" s="64"/>
      <c r="K366" s="93"/>
    </row>
    <row r="367" spans="2:11" s="61" customFormat="1" x14ac:dyDescent="0.3">
      <c r="B367" s="67"/>
      <c r="C367" s="63"/>
      <c r="D367" s="64"/>
      <c r="E367" s="65"/>
      <c r="F367" s="66"/>
      <c r="G367" s="62"/>
      <c r="H367" s="64"/>
      <c r="I367" s="62"/>
      <c r="J367" s="64"/>
      <c r="K367" s="93"/>
    </row>
    <row r="368" spans="2:11" s="61" customFormat="1" x14ac:dyDescent="0.3">
      <c r="B368" s="67"/>
      <c r="C368" s="63"/>
      <c r="D368" s="64"/>
      <c r="E368" s="65"/>
      <c r="F368" s="66"/>
      <c r="G368" s="62"/>
      <c r="H368" s="64"/>
      <c r="I368" s="62"/>
      <c r="J368" s="64"/>
      <c r="K368" s="93"/>
    </row>
    <row r="369" spans="2:11" s="61" customFormat="1" x14ac:dyDescent="0.3">
      <c r="B369" s="67"/>
      <c r="C369" s="63"/>
      <c r="D369" s="64"/>
      <c r="E369" s="65"/>
      <c r="F369" s="66"/>
      <c r="G369" s="62"/>
      <c r="H369" s="64"/>
      <c r="I369" s="62"/>
      <c r="J369" s="64"/>
      <c r="K369" s="93"/>
    </row>
    <row r="370" spans="2:11" s="61" customFormat="1" x14ac:dyDescent="0.3">
      <c r="B370" s="67"/>
      <c r="C370" s="63"/>
      <c r="D370" s="64"/>
      <c r="E370" s="65"/>
      <c r="F370" s="66"/>
      <c r="G370" s="62"/>
      <c r="H370" s="64"/>
      <c r="I370" s="62"/>
      <c r="J370" s="64"/>
      <c r="K370" s="93"/>
    </row>
    <row r="371" spans="2:11" s="61" customFormat="1" x14ac:dyDescent="0.3">
      <c r="B371" s="67"/>
      <c r="C371" s="63"/>
      <c r="D371" s="64"/>
      <c r="E371" s="65"/>
      <c r="F371" s="66"/>
      <c r="G371" s="62"/>
      <c r="H371" s="64"/>
      <c r="I371" s="62"/>
      <c r="J371" s="64"/>
      <c r="K371" s="93"/>
    </row>
    <row r="372" spans="2:11" s="61" customFormat="1" x14ac:dyDescent="0.3">
      <c r="B372" s="67"/>
      <c r="C372" s="63"/>
      <c r="D372" s="64"/>
      <c r="E372" s="65"/>
      <c r="F372" s="66"/>
      <c r="G372" s="62"/>
      <c r="H372" s="64"/>
      <c r="I372" s="62"/>
      <c r="J372" s="64"/>
      <c r="K372" s="93"/>
    </row>
    <row r="373" spans="2:11" s="61" customFormat="1" x14ac:dyDescent="0.3">
      <c r="B373" s="67"/>
      <c r="C373" s="63"/>
      <c r="D373" s="64"/>
      <c r="E373" s="65"/>
      <c r="F373" s="66"/>
      <c r="G373" s="62"/>
      <c r="H373" s="64"/>
      <c r="I373" s="62"/>
      <c r="J373" s="64"/>
      <c r="K373" s="93"/>
    </row>
    <row r="374" spans="2:11" s="61" customFormat="1" x14ac:dyDescent="0.3">
      <c r="B374" s="67"/>
      <c r="C374" s="63"/>
      <c r="D374" s="64"/>
      <c r="E374" s="65"/>
      <c r="F374" s="66"/>
      <c r="G374" s="62"/>
      <c r="H374" s="64"/>
      <c r="I374" s="62"/>
      <c r="J374" s="64"/>
      <c r="K374" s="93"/>
    </row>
    <row r="375" spans="2:11" s="61" customFormat="1" x14ac:dyDescent="0.3">
      <c r="B375" s="67"/>
      <c r="C375" s="63"/>
      <c r="D375" s="64"/>
      <c r="E375" s="65"/>
      <c r="F375" s="66"/>
      <c r="G375" s="62"/>
      <c r="H375" s="64"/>
      <c r="I375" s="62"/>
      <c r="J375" s="64"/>
      <c r="K375" s="93"/>
    </row>
    <row r="376" spans="2:11" s="61" customFormat="1" x14ac:dyDescent="0.3">
      <c r="B376" s="67"/>
      <c r="C376" s="63"/>
      <c r="D376" s="64"/>
      <c r="E376" s="65"/>
      <c r="F376" s="66"/>
      <c r="G376" s="62"/>
      <c r="H376" s="64"/>
      <c r="I376" s="62"/>
      <c r="J376" s="64"/>
      <c r="K376" s="93"/>
    </row>
    <row r="377" spans="2:11" s="61" customFormat="1" x14ac:dyDescent="0.3">
      <c r="B377" s="67"/>
      <c r="C377" s="63"/>
      <c r="D377" s="64"/>
      <c r="E377" s="65"/>
      <c r="F377" s="66"/>
      <c r="G377" s="62"/>
      <c r="H377" s="64"/>
      <c r="I377" s="62"/>
      <c r="J377" s="64"/>
      <c r="K377" s="93"/>
    </row>
    <row r="378" spans="2:11" s="61" customFormat="1" x14ac:dyDescent="0.3">
      <c r="B378" s="67"/>
      <c r="C378" s="63"/>
      <c r="D378" s="64"/>
      <c r="E378" s="65"/>
      <c r="F378" s="66"/>
      <c r="G378" s="62"/>
      <c r="H378" s="64"/>
      <c r="I378" s="62"/>
      <c r="J378" s="64"/>
      <c r="K378" s="93"/>
    </row>
    <row r="379" spans="2:11" s="61" customFormat="1" x14ac:dyDescent="0.3">
      <c r="B379" s="67"/>
      <c r="C379" s="63"/>
      <c r="D379" s="64"/>
      <c r="E379" s="65"/>
      <c r="F379" s="66"/>
      <c r="G379" s="62"/>
      <c r="H379" s="64"/>
      <c r="I379" s="62"/>
      <c r="J379" s="64"/>
      <c r="K379" s="93"/>
    </row>
    <row r="380" spans="2:11" s="61" customFormat="1" x14ac:dyDescent="0.3">
      <c r="B380" s="67"/>
      <c r="C380" s="63"/>
      <c r="D380" s="64"/>
      <c r="E380" s="65"/>
      <c r="F380" s="66"/>
      <c r="G380" s="62"/>
      <c r="H380" s="64"/>
      <c r="I380" s="62"/>
      <c r="J380" s="64"/>
      <c r="K380" s="93"/>
    </row>
    <row r="381" spans="2:11" s="61" customFormat="1" x14ac:dyDescent="0.3">
      <c r="B381" s="67"/>
      <c r="C381" s="63"/>
      <c r="D381" s="64"/>
      <c r="E381" s="65"/>
      <c r="F381" s="66"/>
      <c r="G381" s="62"/>
      <c r="H381" s="64"/>
      <c r="I381" s="62"/>
      <c r="J381" s="64"/>
      <c r="K381" s="93"/>
    </row>
    <row r="382" spans="2:11" s="61" customFormat="1" x14ac:dyDescent="0.3">
      <c r="B382" s="67"/>
      <c r="C382" s="63"/>
      <c r="D382" s="64"/>
      <c r="E382" s="65"/>
      <c r="F382" s="66"/>
      <c r="G382" s="62"/>
      <c r="H382" s="64"/>
      <c r="I382" s="62"/>
      <c r="J382" s="64"/>
      <c r="K382" s="93"/>
    </row>
    <row r="383" spans="2:11" s="61" customFormat="1" x14ac:dyDescent="0.3">
      <c r="B383" s="67"/>
      <c r="C383" s="63"/>
      <c r="D383" s="64"/>
      <c r="E383" s="65"/>
      <c r="F383" s="66"/>
      <c r="G383" s="62"/>
      <c r="H383" s="64"/>
      <c r="I383" s="62"/>
      <c r="J383" s="64"/>
      <c r="K383" s="93"/>
    </row>
    <row r="384" spans="2:11" s="61" customFormat="1" x14ac:dyDescent="0.3">
      <c r="B384" s="67"/>
      <c r="C384" s="63"/>
      <c r="D384" s="64"/>
      <c r="E384" s="65"/>
      <c r="F384" s="66"/>
      <c r="G384" s="62"/>
      <c r="H384" s="64"/>
      <c r="I384" s="62"/>
      <c r="J384" s="64"/>
      <c r="K384" s="93"/>
    </row>
    <row r="385" spans="2:11" s="61" customFormat="1" x14ac:dyDescent="0.3">
      <c r="B385" s="67"/>
      <c r="C385" s="63"/>
      <c r="D385" s="64"/>
      <c r="E385" s="65"/>
      <c r="F385" s="66"/>
      <c r="G385" s="62"/>
      <c r="H385" s="64"/>
      <c r="I385" s="62"/>
      <c r="J385" s="64"/>
      <c r="K385" s="93"/>
    </row>
    <row r="386" spans="2:11" s="61" customFormat="1" x14ac:dyDescent="0.3">
      <c r="B386" s="67"/>
      <c r="C386" s="63"/>
      <c r="D386" s="64"/>
      <c r="E386" s="65"/>
      <c r="F386" s="66"/>
      <c r="G386" s="62"/>
      <c r="H386" s="64"/>
      <c r="I386" s="62"/>
      <c r="J386" s="64"/>
      <c r="K386" s="93"/>
    </row>
    <row r="387" spans="2:11" s="61" customFormat="1" x14ac:dyDescent="0.3">
      <c r="B387" s="67"/>
      <c r="C387" s="63"/>
      <c r="D387" s="64"/>
      <c r="E387" s="65"/>
      <c r="F387" s="66"/>
      <c r="G387" s="62"/>
      <c r="H387" s="64"/>
      <c r="I387" s="62"/>
      <c r="J387" s="64"/>
      <c r="K387" s="93"/>
    </row>
    <row r="388" spans="2:11" s="61" customFormat="1" x14ac:dyDescent="0.3">
      <c r="B388" s="67"/>
      <c r="C388" s="63"/>
      <c r="D388" s="64"/>
      <c r="E388" s="65"/>
      <c r="F388" s="66"/>
      <c r="G388" s="62"/>
      <c r="H388" s="64"/>
      <c r="I388" s="62"/>
      <c r="J388" s="64"/>
      <c r="K388" s="93"/>
    </row>
    <row r="389" spans="2:11" s="61" customFormat="1" x14ac:dyDescent="0.3">
      <c r="B389" s="67"/>
      <c r="C389" s="63"/>
      <c r="D389" s="64"/>
      <c r="E389" s="65"/>
      <c r="F389" s="66"/>
      <c r="G389" s="62"/>
      <c r="H389" s="64"/>
      <c r="I389" s="62"/>
      <c r="J389" s="64"/>
      <c r="K389" s="93"/>
    </row>
    <row r="390" spans="2:11" s="61" customFormat="1" x14ac:dyDescent="0.3">
      <c r="B390" s="67"/>
      <c r="C390" s="63"/>
      <c r="D390" s="64"/>
      <c r="E390" s="65"/>
      <c r="F390" s="66"/>
      <c r="G390" s="62"/>
      <c r="H390" s="64"/>
      <c r="I390" s="62"/>
      <c r="J390" s="64"/>
      <c r="K390" s="93"/>
    </row>
    <row r="391" spans="2:11" s="61" customFormat="1" x14ac:dyDescent="0.3">
      <c r="B391" s="67"/>
      <c r="C391" s="63"/>
      <c r="D391" s="64"/>
      <c r="E391" s="65"/>
      <c r="F391" s="66"/>
      <c r="G391" s="62"/>
      <c r="H391" s="64"/>
      <c r="I391" s="62"/>
      <c r="J391" s="64"/>
      <c r="K391" s="93"/>
    </row>
    <row r="392" spans="2:11" s="61" customFormat="1" x14ac:dyDescent="0.3">
      <c r="B392" s="67"/>
      <c r="C392" s="63"/>
      <c r="D392" s="64"/>
      <c r="E392" s="65"/>
      <c r="F392" s="66"/>
      <c r="G392" s="62"/>
      <c r="H392" s="64"/>
      <c r="I392" s="62"/>
      <c r="J392" s="64"/>
      <c r="K392" s="93"/>
    </row>
    <row r="393" spans="2:11" s="61" customFormat="1" x14ac:dyDescent="0.3">
      <c r="B393" s="67"/>
      <c r="C393" s="63"/>
      <c r="D393" s="64"/>
      <c r="E393" s="65"/>
      <c r="F393" s="66"/>
      <c r="G393" s="62"/>
      <c r="H393" s="64"/>
      <c r="I393" s="62"/>
      <c r="J393" s="64"/>
      <c r="K393" s="93"/>
    </row>
    <row r="394" spans="2:11" s="61" customFormat="1" x14ac:dyDescent="0.3">
      <c r="B394" s="67"/>
      <c r="C394" s="63"/>
      <c r="D394" s="64"/>
      <c r="E394" s="65"/>
      <c r="F394" s="66"/>
      <c r="G394" s="62"/>
      <c r="H394" s="64"/>
      <c r="I394" s="62"/>
      <c r="J394" s="64"/>
      <c r="K394" s="93"/>
    </row>
    <row r="395" spans="2:11" s="61" customFormat="1" x14ac:dyDescent="0.3">
      <c r="B395" s="67"/>
      <c r="C395" s="63"/>
      <c r="D395" s="64"/>
      <c r="E395" s="65"/>
      <c r="F395" s="66"/>
      <c r="G395" s="62"/>
      <c r="H395" s="64"/>
      <c r="I395" s="62"/>
      <c r="J395" s="64"/>
      <c r="K395" s="93"/>
    </row>
    <row r="396" spans="2:11" s="61" customFormat="1" x14ac:dyDescent="0.3">
      <c r="B396" s="67"/>
      <c r="C396" s="63"/>
      <c r="D396" s="64"/>
      <c r="E396" s="65"/>
      <c r="F396" s="66"/>
      <c r="G396" s="62"/>
      <c r="H396" s="64"/>
      <c r="I396" s="62"/>
      <c r="J396" s="64"/>
      <c r="K396" s="93"/>
    </row>
    <row r="397" spans="2:11" s="61" customFormat="1" x14ac:dyDescent="0.3">
      <c r="B397" s="67"/>
      <c r="C397" s="63"/>
      <c r="D397" s="64"/>
      <c r="E397" s="65"/>
      <c r="F397" s="66"/>
      <c r="G397" s="62"/>
      <c r="H397" s="64"/>
      <c r="I397" s="62"/>
      <c r="J397" s="64"/>
      <c r="K397" s="93"/>
    </row>
    <row r="398" spans="2:11" s="61" customFormat="1" x14ac:dyDescent="0.3">
      <c r="B398" s="67"/>
      <c r="C398" s="63"/>
      <c r="D398" s="64"/>
      <c r="E398" s="65"/>
      <c r="F398" s="66"/>
      <c r="G398" s="62"/>
      <c r="H398" s="64"/>
      <c r="I398" s="62"/>
      <c r="J398" s="64"/>
      <c r="K398" s="93"/>
    </row>
    <row r="399" spans="2:11" s="61" customFormat="1" x14ac:dyDescent="0.3">
      <c r="B399" s="67"/>
      <c r="C399" s="63"/>
      <c r="D399" s="64"/>
      <c r="E399" s="65"/>
      <c r="F399" s="66"/>
      <c r="G399" s="62"/>
      <c r="H399" s="64"/>
      <c r="I399" s="62"/>
      <c r="J399" s="64"/>
      <c r="K399" s="93"/>
    </row>
    <row r="400" spans="2:11" s="61" customFormat="1" x14ac:dyDescent="0.3">
      <c r="B400" s="67"/>
      <c r="C400" s="63"/>
      <c r="D400" s="64"/>
      <c r="E400" s="65"/>
      <c r="F400" s="66"/>
      <c r="G400" s="62"/>
      <c r="H400" s="64"/>
      <c r="I400" s="62"/>
      <c r="J400" s="64"/>
      <c r="K400" s="93"/>
    </row>
    <row r="401" spans="2:11" s="61" customFormat="1" x14ac:dyDescent="0.3">
      <c r="B401" s="67"/>
      <c r="C401" s="63"/>
      <c r="D401" s="64"/>
      <c r="E401" s="65"/>
      <c r="F401" s="66"/>
      <c r="G401" s="62"/>
      <c r="H401" s="64"/>
      <c r="I401" s="62"/>
      <c r="J401" s="64"/>
      <c r="K401" s="93"/>
    </row>
    <row r="402" spans="2:11" s="61" customFormat="1" x14ac:dyDescent="0.3">
      <c r="B402" s="67"/>
      <c r="C402" s="63"/>
      <c r="D402" s="64"/>
      <c r="E402" s="65"/>
      <c r="F402" s="66"/>
      <c r="G402" s="62"/>
      <c r="H402" s="64"/>
      <c r="I402" s="62"/>
      <c r="J402" s="64"/>
      <c r="K402" s="93"/>
    </row>
    <row r="403" spans="2:11" s="61" customFormat="1" x14ac:dyDescent="0.3">
      <c r="B403" s="67"/>
      <c r="C403" s="63"/>
      <c r="D403" s="64"/>
      <c r="E403" s="65"/>
      <c r="F403" s="66"/>
      <c r="G403" s="62"/>
      <c r="H403" s="64"/>
      <c r="I403" s="62"/>
      <c r="J403" s="64"/>
      <c r="K403" s="93"/>
    </row>
    <row r="404" spans="2:11" s="61" customFormat="1" x14ac:dyDescent="0.3">
      <c r="B404" s="67"/>
      <c r="C404" s="63"/>
      <c r="D404" s="64"/>
      <c r="E404" s="65"/>
      <c r="F404" s="66"/>
      <c r="G404" s="62"/>
      <c r="H404" s="64"/>
      <c r="I404" s="62"/>
      <c r="J404" s="64"/>
      <c r="K404" s="93"/>
    </row>
    <row r="405" spans="2:11" s="61" customFormat="1" x14ac:dyDescent="0.3">
      <c r="B405" s="67"/>
      <c r="C405" s="63"/>
      <c r="D405" s="64"/>
      <c r="E405" s="65"/>
      <c r="F405" s="66"/>
      <c r="G405" s="62"/>
      <c r="H405" s="64"/>
      <c r="I405" s="62"/>
      <c r="J405" s="64"/>
      <c r="K405" s="93"/>
    </row>
    <row r="406" spans="2:11" s="61" customFormat="1" x14ac:dyDescent="0.3">
      <c r="B406" s="67"/>
      <c r="C406" s="63"/>
      <c r="D406" s="64"/>
      <c r="E406" s="65"/>
      <c r="F406" s="66"/>
      <c r="G406" s="62"/>
      <c r="H406" s="64"/>
      <c r="I406" s="62"/>
      <c r="J406" s="64"/>
      <c r="K406" s="93"/>
    </row>
    <row r="407" spans="2:11" s="61" customFormat="1" x14ac:dyDescent="0.3">
      <c r="B407" s="67"/>
      <c r="C407" s="63"/>
      <c r="D407" s="64"/>
      <c r="E407" s="65"/>
      <c r="F407" s="66"/>
      <c r="G407" s="62"/>
      <c r="H407" s="64"/>
      <c r="I407" s="62"/>
      <c r="J407" s="64"/>
      <c r="K407" s="93"/>
    </row>
    <row r="408" spans="2:11" s="61" customFormat="1" x14ac:dyDescent="0.3">
      <c r="B408" s="67"/>
      <c r="C408" s="63"/>
      <c r="D408" s="64"/>
      <c r="E408" s="65"/>
      <c r="F408" s="66"/>
      <c r="G408" s="62"/>
      <c r="H408" s="64"/>
      <c r="I408" s="62"/>
      <c r="J408" s="64"/>
      <c r="K408" s="93"/>
    </row>
    <row r="409" spans="2:11" s="61" customFormat="1" x14ac:dyDescent="0.3">
      <c r="B409" s="67"/>
      <c r="C409" s="63"/>
      <c r="D409" s="64"/>
      <c r="E409" s="65"/>
      <c r="F409" s="66"/>
      <c r="G409" s="62"/>
      <c r="H409" s="64"/>
      <c r="I409" s="62"/>
      <c r="J409" s="64"/>
      <c r="K409" s="93"/>
    </row>
    <row r="410" spans="2:11" s="61" customFormat="1" x14ac:dyDescent="0.3">
      <c r="B410" s="67"/>
      <c r="C410" s="63"/>
      <c r="D410" s="64"/>
      <c r="E410" s="65"/>
      <c r="F410" s="66"/>
      <c r="G410" s="62"/>
      <c r="H410" s="64"/>
      <c r="I410" s="62"/>
      <c r="J410" s="64"/>
      <c r="K410" s="93"/>
    </row>
    <row r="411" spans="2:11" s="61" customFormat="1" x14ac:dyDescent="0.3">
      <c r="B411" s="67"/>
      <c r="C411" s="63"/>
      <c r="D411" s="64"/>
      <c r="E411" s="65"/>
      <c r="F411" s="66"/>
      <c r="G411" s="62"/>
      <c r="H411" s="64"/>
      <c r="I411" s="62"/>
      <c r="J411" s="64"/>
      <c r="K411" s="93"/>
    </row>
    <row r="412" spans="2:11" s="61" customFormat="1" x14ac:dyDescent="0.3">
      <c r="B412" s="67"/>
      <c r="C412" s="63"/>
      <c r="D412" s="64"/>
      <c r="E412" s="65"/>
      <c r="F412" s="66"/>
      <c r="G412" s="62"/>
      <c r="H412" s="64"/>
      <c r="I412" s="62"/>
      <c r="J412" s="64"/>
      <c r="K412" s="93"/>
    </row>
    <row r="413" spans="2:11" s="61" customFormat="1" x14ac:dyDescent="0.3">
      <c r="B413" s="67"/>
      <c r="C413" s="63"/>
      <c r="D413" s="64"/>
      <c r="E413" s="65"/>
      <c r="F413" s="66"/>
      <c r="G413" s="62"/>
      <c r="H413" s="64"/>
      <c r="I413" s="62"/>
      <c r="J413" s="64"/>
      <c r="K413" s="93"/>
    </row>
    <row r="414" spans="2:11" s="61" customFormat="1" x14ac:dyDescent="0.3">
      <c r="B414" s="67"/>
      <c r="C414" s="63"/>
      <c r="D414" s="64"/>
      <c r="E414" s="65"/>
      <c r="F414" s="66"/>
      <c r="G414" s="62"/>
      <c r="H414" s="64"/>
      <c r="I414" s="62"/>
      <c r="J414" s="64"/>
      <c r="K414" s="93"/>
    </row>
    <row r="415" spans="2:11" s="61" customFormat="1" x14ac:dyDescent="0.3">
      <c r="B415" s="67"/>
      <c r="C415" s="63"/>
      <c r="D415" s="64"/>
      <c r="E415" s="65"/>
      <c r="F415" s="66"/>
      <c r="G415" s="62"/>
      <c r="H415" s="64"/>
      <c r="I415" s="62"/>
      <c r="J415" s="64"/>
      <c r="K415" s="93"/>
    </row>
    <row r="416" spans="2:11" s="61" customFormat="1" x14ac:dyDescent="0.3">
      <c r="B416" s="67"/>
      <c r="C416" s="63"/>
      <c r="D416" s="64"/>
      <c r="E416" s="65"/>
      <c r="F416" s="66"/>
      <c r="G416" s="62"/>
      <c r="H416" s="64"/>
      <c r="I416" s="62"/>
      <c r="J416" s="64"/>
      <c r="K416" s="93"/>
    </row>
    <row r="417" spans="2:11" s="61" customFormat="1" x14ac:dyDescent="0.3">
      <c r="B417" s="67"/>
      <c r="C417" s="63"/>
      <c r="D417" s="64"/>
      <c r="E417" s="65"/>
      <c r="F417" s="66"/>
      <c r="G417" s="62"/>
      <c r="H417" s="64"/>
      <c r="I417" s="62"/>
      <c r="J417" s="64"/>
      <c r="K417" s="93"/>
    </row>
    <row r="418" spans="2:11" s="61" customFormat="1" x14ac:dyDescent="0.3">
      <c r="B418" s="67"/>
      <c r="C418" s="63"/>
      <c r="D418" s="64"/>
      <c r="E418" s="65"/>
      <c r="F418" s="66"/>
      <c r="G418" s="62"/>
      <c r="H418" s="64"/>
      <c r="I418" s="62"/>
      <c r="J418" s="64"/>
      <c r="K418" s="93"/>
    </row>
    <row r="419" spans="2:11" s="61" customFormat="1" x14ac:dyDescent="0.3">
      <c r="B419" s="67"/>
      <c r="C419" s="63"/>
      <c r="D419" s="64"/>
      <c r="E419" s="65"/>
      <c r="F419" s="66"/>
      <c r="G419" s="62"/>
      <c r="H419" s="64"/>
      <c r="I419" s="62"/>
      <c r="J419" s="64"/>
      <c r="K419" s="93"/>
    </row>
    <row r="420" spans="2:11" s="61" customFormat="1" x14ac:dyDescent="0.3">
      <c r="B420" s="67"/>
      <c r="C420" s="63"/>
      <c r="D420" s="64"/>
      <c r="E420" s="65"/>
      <c r="F420" s="66"/>
      <c r="G420" s="62"/>
      <c r="H420" s="64"/>
      <c r="I420" s="62"/>
      <c r="J420" s="64"/>
      <c r="K420" s="93"/>
    </row>
    <row r="421" spans="2:11" s="61" customFormat="1" x14ac:dyDescent="0.3">
      <c r="B421" s="67"/>
      <c r="C421" s="63"/>
      <c r="D421" s="64"/>
      <c r="E421" s="65"/>
      <c r="F421" s="66"/>
      <c r="G421" s="62"/>
      <c r="H421" s="64"/>
      <c r="I421" s="62"/>
      <c r="J421" s="64"/>
      <c r="K421" s="93"/>
    </row>
    <row r="422" spans="2:11" s="61" customFormat="1" x14ac:dyDescent="0.3">
      <c r="B422" s="67"/>
      <c r="C422" s="63"/>
      <c r="D422" s="64"/>
      <c r="E422" s="65"/>
      <c r="F422" s="66"/>
      <c r="G422" s="62"/>
      <c r="H422" s="64"/>
      <c r="I422" s="62"/>
      <c r="J422" s="64"/>
      <c r="K422" s="93"/>
    </row>
    <row r="423" spans="2:11" s="61" customFormat="1" x14ac:dyDescent="0.3">
      <c r="B423" s="67"/>
      <c r="C423" s="63"/>
      <c r="D423" s="64"/>
      <c r="E423" s="65"/>
      <c r="F423" s="66"/>
      <c r="G423" s="62"/>
      <c r="H423" s="64"/>
      <c r="I423" s="62"/>
      <c r="J423" s="64"/>
      <c r="K423" s="93"/>
    </row>
    <row r="424" spans="2:11" s="61" customFormat="1" x14ac:dyDescent="0.3">
      <c r="B424" s="67"/>
      <c r="C424" s="63"/>
      <c r="D424" s="64"/>
      <c r="E424" s="65"/>
      <c r="F424" s="66"/>
      <c r="G424" s="62"/>
      <c r="H424" s="64"/>
      <c r="I424" s="62"/>
      <c r="J424" s="64"/>
      <c r="K424" s="93"/>
    </row>
    <row r="425" spans="2:11" s="61" customFormat="1" x14ac:dyDescent="0.3">
      <c r="B425" s="67"/>
      <c r="C425" s="63"/>
      <c r="D425" s="64"/>
      <c r="E425" s="65"/>
      <c r="F425" s="66"/>
      <c r="G425" s="62"/>
      <c r="H425" s="64"/>
      <c r="I425" s="62"/>
      <c r="J425" s="64"/>
      <c r="K425" s="93"/>
    </row>
    <row r="426" spans="2:11" s="61" customFormat="1" x14ac:dyDescent="0.3">
      <c r="B426" s="67"/>
      <c r="C426" s="63"/>
      <c r="D426" s="64"/>
      <c r="E426" s="65"/>
      <c r="F426" s="66"/>
      <c r="G426" s="62"/>
      <c r="H426" s="64"/>
      <c r="I426" s="62"/>
      <c r="J426" s="64"/>
      <c r="K426" s="93"/>
    </row>
    <row r="427" spans="2:11" s="61" customFormat="1" x14ac:dyDescent="0.3">
      <c r="B427" s="67"/>
      <c r="C427" s="63"/>
      <c r="D427" s="64"/>
      <c r="E427" s="65"/>
      <c r="F427" s="66"/>
      <c r="G427" s="62"/>
      <c r="H427" s="64"/>
      <c r="I427" s="62"/>
      <c r="J427" s="64"/>
      <c r="K427" s="93"/>
    </row>
    <row r="428" spans="2:11" s="61" customFormat="1" x14ac:dyDescent="0.3">
      <c r="B428" s="67"/>
      <c r="C428" s="63"/>
      <c r="D428" s="64"/>
      <c r="E428" s="65"/>
      <c r="F428" s="66"/>
      <c r="G428" s="62"/>
      <c r="H428" s="64"/>
      <c r="I428" s="62"/>
      <c r="J428" s="64"/>
      <c r="K428" s="93"/>
    </row>
    <row r="429" spans="2:11" s="61" customFormat="1" x14ac:dyDescent="0.3">
      <c r="B429" s="67"/>
      <c r="C429" s="63"/>
      <c r="D429" s="64"/>
      <c r="E429" s="65"/>
      <c r="F429" s="66"/>
      <c r="G429" s="62"/>
      <c r="H429" s="64"/>
      <c r="I429" s="62"/>
      <c r="J429" s="64"/>
      <c r="K429" s="93"/>
    </row>
    <row r="430" spans="2:11" s="61" customFormat="1" x14ac:dyDescent="0.3">
      <c r="B430" s="67"/>
      <c r="C430" s="63"/>
      <c r="D430" s="64"/>
      <c r="E430" s="65"/>
      <c r="F430" s="66"/>
      <c r="G430" s="62"/>
      <c r="H430" s="64"/>
      <c r="I430" s="62"/>
      <c r="J430" s="64"/>
      <c r="K430" s="93"/>
    </row>
    <row r="431" spans="2:11" s="61" customFormat="1" x14ac:dyDescent="0.3">
      <c r="B431" s="67"/>
      <c r="C431" s="63"/>
      <c r="D431" s="64"/>
      <c r="E431" s="65"/>
      <c r="F431" s="66"/>
      <c r="G431" s="62"/>
      <c r="H431" s="64"/>
      <c r="I431" s="62"/>
      <c r="J431" s="64"/>
      <c r="K431" s="93"/>
    </row>
    <row r="432" spans="2:11" s="61" customFormat="1" x14ac:dyDescent="0.3">
      <c r="B432" s="67"/>
      <c r="C432" s="63"/>
      <c r="D432" s="64"/>
      <c r="E432" s="65"/>
      <c r="F432" s="66"/>
      <c r="G432" s="62"/>
      <c r="H432" s="64"/>
      <c r="I432" s="62"/>
      <c r="J432" s="64"/>
      <c r="K432" s="93"/>
    </row>
    <row r="433" spans="2:11" s="61" customFormat="1" x14ac:dyDescent="0.3">
      <c r="B433" s="67"/>
      <c r="C433" s="63"/>
      <c r="D433" s="64"/>
      <c r="E433" s="65"/>
      <c r="F433" s="66"/>
      <c r="G433" s="62"/>
      <c r="H433" s="64"/>
      <c r="I433" s="62"/>
      <c r="J433" s="64"/>
      <c r="K433" s="93"/>
    </row>
    <row r="434" spans="2:11" s="61" customFormat="1" x14ac:dyDescent="0.3">
      <c r="B434" s="67"/>
      <c r="C434" s="63"/>
      <c r="D434" s="64"/>
      <c r="E434" s="65"/>
      <c r="F434" s="66"/>
      <c r="G434" s="62"/>
      <c r="H434" s="64"/>
      <c r="I434" s="62"/>
      <c r="J434" s="64"/>
      <c r="K434" s="93"/>
    </row>
    <row r="435" spans="2:11" s="61" customFormat="1" x14ac:dyDescent="0.3">
      <c r="B435" s="67"/>
      <c r="C435" s="63"/>
      <c r="D435" s="64"/>
      <c r="E435" s="65"/>
      <c r="F435" s="66"/>
      <c r="G435" s="62"/>
      <c r="H435" s="64"/>
      <c r="I435" s="62"/>
      <c r="J435" s="64"/>
      <c r="K435" s="93"/>
    </row>
    <row r="436" spans="2:11" s="61" customFormat="1" x14ac:dyDescent="0.3">
      <c r="B436" s="67"/>
      <c r="C436" s="63"/>
      <c r="D436" s="64"/>
      <c r="E436" s="65"/>
      <c r="F436" s="66"/>
      <c r="G436" s="62"/>
      <c r="H436" s="64"/>
      <c r="I436" s="62"/>
      <c r="J436" s="64"/>
      <c r="K436" s="93"/>
    </row>
    <row r="437" spans="2:11" s="61" customFormat="1" x14ac:dyDescent="0.3">
      <c r="B437" s="67"/>
      <c r="C437" s="63"/>
      <c r="D437" s="64"/>
      <c r="E437" s="65"/>
      <c r="F437" s="66"/>
      <c r="G437" s="62"/>
      <c r="H437" s="64"/>
      <c r="I437" s="62"/>
      <c r="J437" s="64"/>
      <c r="K437" s="93"/>
    </row>
    <row r="438" spans="2:11" s="61" customFormat="1" x14ac:dyDescent="0.3">
      <c r="B438" s="67"/>
      <c r="C438" s="63"/>
      <c r="D438" s="64"/>
      <c r="E438" s="65"/>
      <c r="F438" s="66"/>
      <c r="G438" s="62"/>
      <c r="H438" s="64"/>
      <c r="I438" s="62"/>
      <c r="J438" s="64"/>
      <c r="K438" s="93"/>
    </row>
    <row r="439" spans="2:11" s="61" customFormat="1" x14ac:dyDescent="0.3">
      <c r="B439" s="67"/>
      <c r="C439" s="63"/>
      <c r="D439" s="64"/>
      <c r="E439" s="65"/>
      <c r="F439" s="66"/>
      <c r="G439" s="62"/>
      <c r="H439" s="64"/>
      <c r="I439" s="62"/>
      <c r="J439" s="64"/>
      <c r="K439" s="93"/>
    </row>
    <row r="440" spans="2:11" s="61" customFormat="1" x14ac:dyDescent="0.3">
      <c r="B440" s="67"/>
      <c r="C440" s="63"/>
      <c r="D440" s="64"/>
      <c r="E440" s="65"/>
      <c r="F440" s="66"/>
      <c r="G440" s="62"/>
      <c r="H440" s="64"/>
      <c r="I440" s="62"/>
      <c r="J440" s="64"/>
      <c r="K440" s="93"/>
    </row>
    <row r="441" spans="2:11" s="61" customFormat="1" x14ac:dyDescent="0.3">
      <c r="B441" s="67"/>
      <c r="C441" s="63"/>
      <c r="D441" s="64"/>
      <c r="E441" s="65"/>
      <c r="F441" s="66"/>
      <c r="G441" s="62"/>
      <c r="H441" s="64"/>
      <c r="I441" s="62"/>
      <c r="J441" s="64"/>
      <c r="K441" s="93"/>
    </row>
    <row r="442" spans="2:11" s="61" customFormat="1" x14ac:dyDescent="0.3">
      <c r="B442" s="67"/>
      <c r="C442" s="63"/>
      <c r="D442" s="64"/>
      <c r="E442" s="65"/>
      <c r="F442" s="66"/>
      <c r="G442" s="62"/>
      <c r="H442" s="64"/>
      <c r="I442" s="62"/>
      <c r="J442" s="64"/>
      <c r="K442" s="93"/>
    </row>
    <row r="443" spans="2:11" s="61" customFormat="1" x14ac:dyDescent="0.3">
      <c r="B443" s="67"/>
      <c r="C443" s="63"/>
      <c r="D443" s="64"/>
      <c r="E443" s="65"/>
      <c r="F443" s="66"/>
      <c r="G443" s="62"/>
      <c r="H443" s="64"/>
      <c r="I443" s="62"/>
      <c r="J443" s="64"/>
      <c r="K443" s="93"/>
    </row>
    <row r="444" spans="2:11" s="61" customFormat="1" x14ac:dyDescent="0.3">
      <c r="B444" s="67"/>
      <c r="C444" s="63"/>
      <c r="D444" s="64"/>
      <c r="E444" s="65"/>
      <c r="F444" s="66"/>
      <c r="G444" s="62"/>
      <c r="H444" s="64"/>
      <c r="I444" s="62"/>
      <c r="J444" s="64"/>
      <c r="K444" s="93"/>
    </row>
    <row r="445" spans="2:11" s="61" customFormat="1" x14ac:dyDescent="0.3">
      <c r="B445" s="67"/>
      <c r="C445" s="63"/>
      <c r="D445" s="64"/>
      <c r="E445" s="65"/>
      <c r="F445" s="66"/>
      <c r="G445" s="62"/>
      <c r="H445" s="64"/>
      <c r="I445" s="62"/>
      <c r="J445" s="64"/>
      <c r="K445" s="93"/>
    </row>
    <row r="446" spans="2:11" s="61" customFormat="1" x14ac:dyDescent="0.3">
      <c r="B446" s="67"/>
      <c r="C446" s="63"/>
      <c r="D446" s="64"/>
      <c r="E446" s="65"/>
      <c r="F446" s="66"/>
      <c r="G446" s="62"/>
      <c r="H446" s="64"/>
      <c r="I446" s="62"/>
      <c r="J446" s="64"/>
      <c r="K446" s="93"/>
    </row>
    <row r="447" spans="2:11" s="61" customFormat="1" x14ac:dyDescent="0.3">
      <c r="B447" s="67"/>
      <c r="C447" s="63"/>
      <c r="D447" s="64"/>
      <c r="E447" s="65"/>
      <c r="F447" s="66"/>
      <c r="G447" s="62"/>
      <c r="H447" s="64"/>
      <c r="I447" s="62"/>
      <c r="J447" s="64"/>
      <c r="K447" s="93"/>
    </row>
    <row r="448" spans="2:11" s="61" customFormat="1" x14ac:dyDescent="0.3">
      <c r="B448" s="67"/>
      <c r="C448" s="63"/>
      <c r="D448" s="64"/>
      <c r="E448" s="65"/>
      <c r="F448" s="66"/>
      <c r="G448" s="62"/>
      <c r="H448" s="64"/>
      <c r="I448" s="62"/>
      <c r="J448" s="64"/>
      <c r="K448" s="93"/>
    </row>
    <row r="449" spans="2:11" s="61" customFormat="1" x14ac:dyDescent="0.3">
      <c r="B449" s="67"/>
      <c r="C449" s="63"/>
      <c r="D449" s="64"/>
      <c r="E449" s="65"/>
      <c r="F449" s="66"/>
      <c r="G449" s="62"/>
      <c r="H449" s="64"/>
      <c r="I449" s="62"/>
      <c r="J449" s="64"/>
      <c r="K449" s="93"/>
    </row>
    <row r="450" spans="2:11" s="61" customFormat="1" x14ac:dyDescent="0.3">
      <c r="B450" s="67"/>
      <c r="C450" s="63"/>
      <c r="D450" s="64"/>
      <c r="E450" s="65"/>
      <c r="F450" s="66"/>
      <c r="G450" s="62"/>
      <c r="H450" s="64"/>
      <c r="I450" s="62"/>
      <c r="J450" s="64"/>
      <c r="K450" s="93"/>
    </row>
    <row r="451" spans="2:11" s="61" customFormat="1" x14ac:dyDescent="0.3">
      <c r="B451" s="67"/>
      <c r="C451" s="63"/>
      <c r="D451" s="64"/>
      <c r="E451" s="65"/>
      <c r="F451" s="66"/>
      <c r="G451" s="62"/>
      <c r="H451" s="64"/>
      <c r="I451" s="62"/>
      <c r="J451" s="64"/>
      <c r="K451" s="93"/>
    </row>
    <row r="452" spans="2:11" s="61" customFormat="1" x14ac:dyDescent="0.3">
      <c r="B452" s="67"/>
      <c r="C452" s="63"/>
      <c r="D452" s="64"/>
      <c r="E452" s="65"/>
      <c r="F452" s="66"/>
      <c r="G452" s="62"/>
      <c r="H452" s="64"/>
      <c r="I452" s="62"/>
      <c r="J452" s="64"/>
      <c r="K452" s="93"/>
    </row>
    <row r="453" spans="2:11" s="61" customFormat="1" x14ac:dyDescent="0.3">
      <c r="B453" s="67"/>
      <c r="C453" s="63"/>
      <c r="D453" s="64"/>
      <c r="E453" s="65"/>
      <c r="F453" s="66"/>
      <c r="G453" s="62"/>
      <c r="H453" s="64"/>
      <c r="I453" s="62"/>
      <c r="J453" s="64"/>
      <c r="K453" s="93"/>
    </row>
    <row r="454" spans="2:11" s="61" customFormat="1" x14ac:dyDescent="0.3">
      <c r="B454" s="67"/>
      <c r="C454" s="63"/>
      <c r="D454" s="64"/>
      <c r="E454" s="65"/>
      <c r="F454" s="66"/>
      <c r="G454" s="62"/>
      <c r="H454" s="64"/>
      <c r="I454" s="62"/>
      <c r="J454" s="64"/>
      <c r="K454" s="93"/>
    </row>
    <row r="455" spans="2:11" s="61" customFormat="1" x14ac:dyDescent="0.3">
      <c r="B455" s="67"/>
      <c r="C455" s="63"/>
      <c r="D455" s="64"/>
      <c r="E455" s="65"/>
      <c r="F455" s="66"/>
      <c r="G455" s="62"/>
      <c r="H455" s="64"/>
      <c r="I455" s="62"/>
      <c r="J455" s="64"/>
      <c r="K455" s="93"/>
    </row>
    <row r="456" spans="2:11" s="61" customFormat="1" x14ac:dyDescent="0.3">
      <c r="B456" s="67"/>
      <c r="C456" s="63"/>
      <c r="D456" s="64"/>
      <c r="E456" s="65"/>
      <c r="F456" s="66"/>
      <c r="G456" s="62"/>
      <c r="H456" s="64"/>
      <c r="I456" s="62"/>
      <c r="J456" s="64"/>
      <c r="K456" s="93"/>
    </row>
    <row r="457" spans="2:11" s="61" customFormat="1" x14ac:dyDescent="0.3">
      <c r="B457" s="67"/>
      <c r="C457" s="63"/>
      <c r="D457" s="64"/>
      <c r="E457" s="65"/>
      <c r="F457" s="66"/>
      <c r="G457" s="62"/>
      <c r="H457" s="64"/>
      <c r="I457" s="62"/>
      <c r="J457" s="64"/>
      <c r="K457" s="93"/>
    </row>
    <row r="458" spans="2:11" s="61" customFormat="1" x14ac:dyDescent="0.3">
      <c r="B458" s="67"/>
      <c r="C458" s="63"/>
      <c r="D458" s="64"/>
      <c r="E458" s="65"/>
      <c r="F458" s="66"/>
      <c r="G458" s="62"/>
      <c r="H458" s="64"/>
      <c r="I458" s="62"/>
      <c r="J458" s="64"/>
      <c r="K458" s="93"/>
    </row>
    <row r="459" spans="2:11" s="61" customFormat="1" x14ac:dyDescent="0.3">
      <c r="B459" s="67"/>
      <c r="C459" s="63"/>
      <c r="D459" s="64"/>
      <c r="E459" s="65"/>
      <c r="F459" s="66"/>
      <c r="G459" s="62"/>
      <c r="H459" s="64"/>
      <c r="I459" s="62"/>
      <c r="J459" s="64"/>
      <c r="K459" s="93"/>
    </row>
    <row r="460" spans="2:11" s="61" customFormat="1" x14ac:dyDescent="0.3">
      <c r="B460" s="67"/>
      <c r="C460" s="63"/>
      <c r="D460" s="64"/>
      <c r="E460" s="65"/>
      <c r="F460" s="66"/>
      <c r="G460" s="62"/>
      <c r="H460" s="64"/>
      <c r="I460" s="62"/>
      <c r="J460" s="64"/>
      <c r="K460" s="93"/>
    </row>
    <row r="461" spans="2:11" s="61" customFormat="1" x14ac:dyDescent="0.3">
      <c r="B461" s="67"/>
      <c r="C461" s="63"/>
      <c r="D461" s="64"/>
      <c r="E461" s="65"/>
      <c r="F461" s="66"/>
      <c r="G461" s="62"/>
      <c r="H461" s="64"/>
      <c r="I461" s="62"/>
      <c r="J461" s="64"/>
      <c r="K461" s="93"/>
    </row>
    <row r="462" spans="2:11" s="61" customFormat="1" x14ac:dyDescent="0.3">
      <c r="B462" s="67"/>
      <c r="C462" s="63"/>
      <c r="D462" s="64"/>
      <c r="E462" s="65"/>
      <c r="F462" s="66"/>
      <c r="G462" s="62"/>
      <c r="H462" s="64"/>
      <c r="I462" s="62"/>
      <c r="J462" s="64"/>
      <c r="K462" s="93"/>
    </row>
    <row r="463" spans="2:11" s="61" customFormat="1" x14ac:dyDescent="0.3">
      <c r="B463" s="67"/>
      <c r="C463" s="63"/>
      <c r="D463" s="64"/>
      <c r="E463" s="65"/>
      <c r="F463" s="66"/>
      <c r="G463" s="62"/>
      <c r="H463" s="64"/>
      <c r="I463" s="62"/>
      <c r="J463" s="64"/>
      <c r="K463" s="93"/>
    </row>
    <row r="464" spans="2:11" s="61" customFormat="1" x14ac:dyDescent="0.3">
      <c r="B464" s="67"/>
      <c r="C464" s="63"/>
      <c r="D464" s="64"/>
      <c r="E464" s="65"/>
      <c r="F464" s="66"/>
      <c r="G464" s="62"/>
      <c r="H464" s="64"/>
      <c r="I464" s="62"/>
      <c r="J464" s="64"/>
      <c r="K464" s="93"/>
    </row>
    <row r="465" spans="2:11" s="61" customFormat="1" x14ac:dyDescent="0.3">
      <c r="B465" s="67"/>
      <c r="C465" s="63"/>
      <c r="D465" s="64"/>
      <c r="E465" s="65"/>
      <c r="F465" s="66"/>
      <c r="G465" s="62"/>
      <c r="H465" s="64"/>
      <c r="I465" s="62"/>
      <c r="J465" s="64"/>
      <c r="K465" s="93"/>
    </row>
    <row r="466" spans="2:11" s="61" customFormat="1" x14ac:dyDescent="0.3">
      <c r="B466" s="67"/>
      <c r="C466" s="63"/>
      <c r="D466" s="64"/>
      <c r="E466" s="65"/>
      <c r="F466" s="66"/>
      <c r="G466" s="62"/>
      <c r="H466" s="64"/>
      <c r="I466" s="62"/>
      <c r="J466" s="64"/>
      <c r="K466" s="93"/>
    </row>
    <row r="467" spans="2:11" s="61" customFormat="1" x14ac:dyDescent="0.3">
      <c r="B467" s="67"/>
      <c r="C467" s="63"/>
      <c r="D467" s="64"/>
      <c r="E467" s="65"/>
      <c r="F467" s="66"/>
      <c r="G467" s="62"/>
      <c r="H467" s="64"/>
      <c r="I467" s="62"/>
      <c r="J467" s="64"/>
      <c r="K467" s="93"/>
    </row>
    <row r="468" spans="2:11" s="61" customFormat="1" x14ac:dyDescent="0.3">
      <c r="B468" s="67"/>
      <c r="C468" s="63"/>
      <c r="D468" s="64"/>
      <c r="E468" s="65"/>
      <c r="F468" s="66"/>
      <c r="G468" s="62"/>
      <c r="H468" s="64"/>
      <c r="I468" s="62"/>
      <c r="J468" s="64"/>
      <c r="K468" s="93"/>
    </row>
    <row r="469" spans="2:11" s="61" customFormat="1" x14ac:dyDescent="0.3">
      <c r="B469" s="67"/>
      <c r="C469" s="63"/>
      <c r="D469" s="64"/>
      <c r="E469" s="65"/>
      <c r="F469" s="66"/>
      <c r="G469" s="62"/>
      <c r="H469" s="64"/>
      <c r="I469" s="62"/>
      <c r="J469" s="64"/>
      <c r="K469" s="93"/>
    </row>
    <row r="470" spans="2:11" s="61" customFormat="1" x14ac:dyDescent="0.3">
      <c r="B470" s="67"/>
      <c r="C470" s="63"/>
      <c r="D470" s="64"/>
      <c r="E470" s="65"/>
      <c r="F470" s="66"/>
      <c r="G470" s="62"/>
      <c r="H470" s="64"/>
      <c r="I470" s="62"/>
      <c r="J470" s="64"/>
      <c r="K470" s="93"/>
    </row>
    <row r="471" spans="2:11" s="61" customFormat="1" x14ac:dyDescent="0.3">
      <c r="B471" s="67"/>
      <c r="C471" s="63"/>
      <c r="D471" s="64"/>
      <c r="E471" s="65"/>
      <c r="F471" s="66"/>
      <c r="G471" s="62"/>
      <c r="H471" s="64"/>
      <c r="I471" s="62"/>
      <c r="J471" s="64"/>
      <c r="K471" s="93"/>
    </row>
    <row r="472" spans="2:11" s="61" customFormat="1" x14ac:dyDescent="0.3">
      <c r="B472" s="67"/>
      <c r="C472" s="63"/>
      <c r="D472" s="64"/>
      <c r="E472" s="65"/>
      <c r="F472" s="66"/>
      <c r="G472" s="62"/>
      <c r="H472" s="64"/>
      <c r="I472" s="62"/>
      <c r="J472" s="64"/>
      <c r="K472" s="93"/>
    </row>
    <row r="473" spans="2:11" s="61" customFormat="1" x14ac:dyDescent="0.3">
      <c r="B473" s="67"/>
      <c r="C473" s="63"/>
      <c r="D473" s="64"/>
      <c r="E473" s="65"/>
      <c r="F473" s="66"/>
      <c r="G473" s="62"/>
      <c r="H473" s="64"/>
      <c r="I473" s="62"/>
      <c r="J473" s="64"/>
      <c r="K473" s="93"/>
    </row>
    <row r="474" spans="2:11" s="61" customFormat="1" x14ac:dyDescent="0.3">
      <c r="B474" s="67"/>
      <c r="C474" s="63"/>
      <c r="D474" s="64"/>
      <c r="E474" s="65"/>
      <c r="F474" s="66"/>
      <c r="G474" s="62"/>
      <c r="H474" s="64"/>
      <c r="I474" s="62"/>
      <c r="J474" s="64"/>
      <c r="K474" s="93"/>
    </row>
    <row r="475" spans="2:11" s="61" customFormat="1" x14ac:dyDescent="0.3">
      <c r="B475" s="67"/>
      <c r="C475" s="63"/>
      <c r="D475" s="64"/>
      <c r="E475" s="65"/>
      <c r="F475" s="66"/>
      <c r="G475" s="62"/>
      <c r="H475" s="64"/>
      <c r="I475" s="62"/>
      <c r="J475" s="64"/>
      <c r="K475" s="93"/>
    </row>
    <row r="476" spans="2:11" s="61" customFormat="1" x14ac:dyDescent="0.3">
      <c r="B476" s="67"/>
      <c r="C476" s="63"/>
      <c r="D476" s="64"/>
      <c r="E476" s="65"/>
      <c r="F476" s="66"/>
      <c r="G476" s="62"/>
      <c r="H476" s="64"/>
      <c r="I476" s="62"/>
      <c r="J476" s="64"/>
      <c r="K476" s="93"/>
    </row>
    <row r="477" spans="2:11" s="61" customFormat="1" x14ac:dyDescent="0.3">
      <c r="B477" s="67"/>
      <c r="C477" s="63"/>
      <c r="D477" s="64"/>
      <c r="E477" s="65"/>
      <c r="F477" s="66"/>
      <c r="G477" s="62"/>
      <c r="H477" s="64"/>
      <c r="I477" s="62"/>
      <c r="J477" s="64"/>
      <c r="K477" s="93"/>
    </row>
    <row r="478" spans="2:11" s="61" customFormat="1" x14ac:dyDescent="0.3">
      <c r="B478" s="67"/>
      <c r="C478" s="63"/>
      <c r="D478" s="64"/>
      <c r="E478" s="65"/>
      <c r="F478" s="66"/>
      <c r="G478" s="62"/>
      <c r="H478" s="64"/>
      <c r="I478" s="62"/>
      <c r="J478" s="64"/>
      <c r="K478" s="93"/>
    </row>
    <row r="479" spans="2:11" s="61" customFormat="1" x14ac:dyDescent="0.3">
      <c r="B479" s="67"/>
      <c r="C479" s="63"/>
      <c r="D479" s="64"/>
      <c r="E479" s="65"/>
      <c r="F479" s="66"/>
      <c r="G479" s="62"/>
      <c r="H479" s="64"/>
      <c r="I479" s="62"/>
      <c r="J479" s="64"/>
      <c r="K479" s="93"/>
    </row>
    <row r="480" spans="2:11" s="61" customFormat="1" x14ac:dyDescent="0.3">
      <c r="B480" s="67"/>
      <c r="C480" s="63"/>
      <c r="D480" s="64"/>
      <c r="E480" s="65"/>
      <c r="F480" s="66"/>
      <c r="G480" s="62"/>
      <c r="H480" s="64"/>
      <c r="I480" s="62"/>
      <c r="J480" s="64"/>
      <c r="K480" s="93"/>
    </row>
    <row r="481" spans="2:11" s="61" customFormat="1" x14ac:dyDescent="0.3">
      <c r="B481" s="67"/>
      <c r="C481" s="63"/>
      <c r="D481" s="64"/>
      <c r="E481" s="65"/>
      <c r="F481" s="66"/>
      <c r="G481" s="62"/>
      <c r="H481" s="64"/>
      <c r="I481" s="62"/>
      <c r="J481" s="64"/>
      <c r="K481" s="93"/>
    </row>
    <row r="482" spans="2:11" s="61" customFormat="1" x14ac:dyDescent="0.3">
      <c r="B482" s="67"/>
      <c r="C482" s="63"/>
      <c r="D482" s="64"/>
      <c r="E482" s="65"/>
      <c r="F482" s="66"/>
      <c r="G482" s="62"/>
      <c r="H482" s="64"/>
      <c r="I482" s="62"/>
      <c r="J482" s="64"/>
      <c r="K482" s="93"/>
    </row>
    <row r="483" spans="2:11" s="61" customFormat="1" x14ac:dyDescent="0.3">
      <c r="B483" s="67"/>
      <c r="C483" s="63"/>
      <c r="D483" s="64"/>
      <c r="E483" s="65"/>
      <c r="F483" s="66"/>
      <c r="G483" s="62"/>
      <c r="H483" s="64"/>
      <c r="I483" s="62"/>
      <c r="J483" s="64"/>
      <c r="K483" s="93"/>
    </row>
    <row r="484" spans="2:11" s="61" customFormat="1" x14ac:dyDescent="0.3">
      <c r="B484" s="67"/>
      <c r="C484" s="63"/>
      <c r="D484" s="64"/>
      <c r="E484" s="65"/>
      <c r="F484" s="66"/>
      <c r="G484" s="62"/>
      <c r="H484" s="64"/>
      <c r="I484" s="62"/>
      <c r="J484" s="64"/>
      <c r="K484" s="93"/>
    </row>
    <row r="485" spans="2:11" s="61" customFormat="1" x14ac:dyDescent="0.3">
      <c r="B485" s="67"/>
      <c r="C485" s="63"/>
      <c r="D485" s="64"/>
      <c r="E485" s="65"/>
      <c r="F485" s="66"/>
      <c r="G485" s="62"/>
      <c r="H485" s="64"/>
      <c r="I485" s="62"/>
      <c r="J485" s="64"/>
      <c r="K485" s="93"/>
    </row>
    <row r="486" spans="2:11" s="61" customFormat="1" x14ac:dyDescent="0.3">
      <c r="B486" s="67"/>
      <c r="C486" s="63"/>
      <c r="D486" s="64"/>
      <c r="E486" s="65"/>
      <c r="F486" s="66"/>
      <c r="G486" s="62"/>
      <c r="H486" s="64"/>
      <c r="I486" s="62"/>
      <c r="J486" s="64"/>
      <c r="K486" s="93"/>
    </row>
    <row r="487" spans="2:11" s="61" customFormat="1" x14ac:dyDescent="0.3">
      <c r="B487" s="67"/>
      <c r="C487" s="63"/>
      <c r="D487" s="64"/>
      <c r="E487" s="65"/>
      <c r="F487" s="66"/>
      <c r="G487" s="62"/>
      <c r="H487" s="64"/>
      <c r="I487" s="62"/>
      <c r="J487" s="64"/>
      <c r="K487" s="93"/>
    </row>
    <row r="488" spans="2:11" s="61" customFormat="1" x14ac:dyDescent="0.3">
      <c r="B488" s="67"/>
      <c r="C488" s="63"/>
      <c r="D488" s="64"/>
      <c r="E488" s="65"/>
      <c r="F488" s="66"/>
      <c r="G488" s="62"/>
      <c r="H488" s="64"/>
      <c r="I488" s="62"/>
      <c r="J488" s="64"/>
      <c r="K488" s="93"/>
    </row>
    <row r="489" spans="2:11" s="61" customFormat="1" x14ac:dyDescent="0.3">
      <c r="B489" s="67"/>
      <c r="C489" s="63"/>
      <c r="D489" s="64"/>
      <c r="E489" s="65"/>
      <c r="F489" s="66"/>
      <c r="G489" s="62"/>
      <c r="H489" s="64"/>
      <c r="I489" s="62"/>
      <c r="J489" s="64"/>
      <c r="K489" s="93"/>
    </row>
    <row r="490" spans="2:11" s="61" customFormat="1" x14ac:dyDescent="0.3">
      <c r="B490" s="67"/>
      <c r="C490" s="63"/>
      <c r="D490" s="64"/>
      <c r="E490" s="65"/>
      <c r="F490" s="66"/>
      <c r="G490" s="62"/>
      <c r="H490" s="64"/>
      <c r="I490" s="62"/>
      <c r="J490" s="64"/>
      <c r="K490" s="93"/>
    </row>
    <row r="491" spans="2:11" s="61" customFormat="1" x14ac:dyDescent="0.3">
      <c r="B491" s="67"/>
      <c r="C491" s="63"/>
      <c r="D491" s="64"/>
      <c r="E491" s="65"/>
      <c r="F491" s="66"/>
      <c r="G491" s="62"/>
      <c r="H491" s="64"/>
      <c r="I491" s="62"/>
      <c r="J491" s="64"/>
      <c r="K491" s="93"/>
    </row>
    <row r="492" spans="2:11" s="61" customFormat="1" x14ac:dyDescent="0.3">
      <c r="B492" s="67"/>
      <c r="C492" s="63"/>
      <c r="D492" s="64"/>
      <c r="E492" s="65"/>
      <c r="F492" s="66"/>
      <c r="G492" s="62"/>
      <c r="H492" s="64"/>
      <c r="I492" s="62"/>
      <c r="J492" s="64"/>
      <c r="K492" s="93"/>
    </row>
    <row r="493" spans="2:11" s="61" customFormat="1" x14ac:dyDescent="0.3">
      <c r="B493" s="67"/>
      <c r="C493" s="63"/>
      <c r="D493" s="64"/>
      <c r="E493" s="65"/>
      <c r="F493" s="66"/>
      <c r="G493" s="62"/>
      <c r="H493" s="64"/>
      <c r="I493" s="62"/>
      <c r="J493" s="64"/>
      <c r="K493" s="93"/>
    </row>
    <row r="494" spans="2:11" s="61" customFormat="1" x14ac:dyDescent="0.3">
      <c r="B494" s="67"/>
      <c r="C494" s="63"/>
      <c r="D494" s="64"/>
      <c r="E494" s="65"/>
      <c r="F494" s="66"/>
      <c r="G494" s="62"/>
      <c r="H494" s="64"/>
      <c r="I494" s="62"/>
      <c r="J494" s="64"/>
      <c r="K494" s="93"/>
    </row>
    <row r="495" spans="2:11" s="61" customFormat="1" x14ac:dyDescent="0.3">
      <c r="B495" s="67"/>
      <c r="C495" s="63"/>
      <c r="D495" s="64"/>
      <c r="E495" s="65"/>
      <c r="F495" s="66"/>
      <c r="G495" s="62"/>
      <c r="H495" s="64"/>
      <c r="I495" s="62"/>
      <c r="J495" s="64"/>
      <c r="K495" s="93"/>
    </row>
    <row r="496" spans="2:11" s="61" customFormat="1" x14ac:dyDescent="0.3">
      <c r="B496" s="67"/>
      <c r="C496" s="63"/>
      <c r="D496" s="64"/>
      <c r="E496" s="65"/>
      <c r="F496" s="66"/>
      <c r="G496" s="62"/>
      <c r="H496" s="64"/>
      <c r="I496" s="62"/>
      <c r="J496" s="64"/>
      <c r="K496" s="93"/>
    </row>
    <row r="497" spans="2:11" s="61" customFormat="1" x14ac:dyDescent="0.3">
      <c r="B497" s="67"/>
      <c r="C497" s="63"/>
      <c r="D497" s="64"/>
      <c r="E497" s="65"/>
      <c r="F497" s="66"/>
      <c r="G497" s="62"/>
      <c r="H497" s="64"/>
      <c r="I497" s="62"/>
      <c r="J497" s="64"/>
      <c r="K497" s="93"/>
    </row>
    <row r="498" spans="2:11" s="61" customFormat="1" x14ac:dyDescent="0.3">
      <c r="B498" s="67"/>
      <c r="C498" s="63"/>
      <c r="D498" s="64"/>
      <c r="E498" s="65"/>
      <c r="F498" s="66"/>
      <c r="G498" s="62"/>
      <c r="H498" s="64"/>
      <c r="I498" s="62"/>
      <c r="J498" s="64"/>
      <c r="K498" s="93"/>
    </row>
    <row r="499" spans="2:11" s="61" customFormat="1" x14ac:dyDescent="0.3">
      <c r="B499" s="67"/>
      <c r="C499" s="63"/>
      <c r="D499" s="64"/>
      <c r="E499" s="65"/>
      <c r="F499" s="66"/>
      <c r="G499" s="62"/>
      <c r="H499" s="64"/>
      <c r="I499" s="62"/>
      <c r="J499" s="64"/>
      <c r="K499" s="93"/>
    </row>
    <row r="500" spans="2:11" s="61" customFormat="1" x14ac:dyDescent="0.3">
      <c r="B500" s="67"/>
      <c r="C500" s="63"/>
      <c r="D500" s="64"/>
      <c r="E500" s="65"/>
      <c r="F500" s="66"/>
      <c r="G500" s="62"/>
      <c r="H500" s="64"/>
      <c r="I500" s="62"/>
      <c r="J500" s="64"/>
      <c r="K500" s="93"/>
    </row>
    <row r="501" spans="2:11" s="61" customFormat="1" x14ac:dyDescent="0.3">
      <c r="B501" s="67"/>
      <c r="C501" s="63"/>
      <c r="D501" s="64"/>
      <c r="E501" s="65"/>
      <c r="F501" s="66"/>
      <c r="G501" s="62"/>
      <c r="H501" s="64"/>
      <c r="I501" s="62"/>
      <c r="J501" s="64"/>
      <c r="K501" s="93"/>
    </row>
    <row r="502" spans="2:11" s="61" customFormat="1" x14ac:dyDescent="0.3">
      <c r="B502" s="67"/>
      <c r="C502" s="63"/>
      <c r="D502" s="64"/>
      <c r="E502" s="65"/>
      <c r="F502" s="66"/>
      <c r="G502" s="62"/>
      <c r="H502" s="64"/>
      <c r="I502" s="62"/>
      <c r="J502" s="64"/>
      <c r="K502" s="93"/>
    </row>
    <row r="503" spans="2:11" s="61" customFormat="1" x14ac:dyDescent="0.3">
      <c r="B503" s="67"/>
      <c r="C503" s="63"/>
      <c r="D503" s="64"/>
      <c r="E503" s="65"/>
      <c r="F503" s="66"/>
      <c r="G503" s="62"/>
      <c r="H503" s="64"/>
      <c r="I503" s="62"/>
      <c r="J503" s="64"/>
      <c r="K503" s="93"/>
    </row>
    <row r="504" spans="2:11" s="61" customFormat="1" x14ac:dyDescent="0.3">
      <c r="B504" s="67"/>
      <c r="C504" s="63"/>
      <c r="D504" s="64"/>
      <c r="E504" s="65"/>
      <c r="F504" s="66"/>
      <c r="G504" s="62"/>
      <c r="H504" s="64"/>
      <c r="I504" s="62"/>
      <c r="J504" s="64"/>
      <c r="K504" s="93"/>
    </row>
    <row r="505" spans="2:11" s="61" customFormat="1" x14ac:dyDescent="0.3">
      <c r="B505" s="67"/>
      <c r="C505" s="63"/>
      <c r="D505" s="64"/>
      <c r="E505" s="65"/>
      <c r="F505" s="66"/>
      <c r="G505" s="62"/>
      <c r="H505" s="64"/>
      <c r="I505" s="62"/>
      <c r="J505" s="64"/>
      <c r="K505" s="93"/>
    </row>
    <row r="506" spans="2:11" s="61" customFormat="1" x14ac:dyDescent="0.3">
      <c r="B506" s="67"/>
      <c r="C506" s="63"/>
      <c r="D506" s="64"/>
      <c r="E506" s="65"/>
      <c r="F506" s="66"/>
      <c r="G506" s="62"/>
      <c r="H506" s="64"/>
      <c r="I506" s="62"/>
      <c r="J506" s="64"/>
      <c r="K506" s="93"/>
    </row>
    <row r="507" spans="2:11" s="61" customFormat="1" x14ac:dyDescent="0.3">
      <c r="B507" s="67"/>
      <c r="C507" s="63"/>
      <c r="D507" s="64"/>
      <c r="E507" s="65"/>
      <c r="F507" s="66"/>
      <c r="G507" s="62"/>
      <c r="H507" s="64"/>
      <c r="I507" s="62"/>
      <c r="J507" s="64"/>
      <c r="K507" s="93"/>
    </row>
    <row r="508" spans="2:11" s="61" customFormat="1" x14ac:dyDescent="0.3">
      <c r="B508" s="67"/>
      <c r="C508" s="63"/>
      <c r="D508" s="64"/>
      <c r="E508" s="65"/>
      <c r="F508" s="66"/>
      <c r="G508" s="62"/>
      <c r="H508" s="64"/>
      <c r="I508" s="62"/>
      <c r="J508" s="64"/>
      <c r="K508" s="93"/>
    </row>
    <row r="509" spans="2:11" s="61" customFormat="1" x14ac:dyDescent="0.3">
      <c r="B509" s="67"/>
      <c r="C509" s="63"/>
      <c r="D509" s="64"/>
      <c r="E509" s="65"/>
      <c r="F509" s="66"/>
      <c r="G509" s="62"/>
      <c r="H509" s="64"/>
      <c r="I509" s="62"/>
      <c r="J509" s="64"/>
      <c r="K509" s="93"/>
    </row>
    <row r="510" spans="2:11" s="61" customFormat="1" x14ac:dyDescent="0.3">
      <c r="B510" s="67"/>
      <c r="C510" s="63"/>
      <c r="D510" s="64"/>
      <c r="E510" s="65"/>
      <c r="F510" s="66"/>
      <c r="G510" s="62"/>
      <c r="H510" s="64"/>
      <c r="I510" s="62"/>
      <c r="J510" s="64"/>
      <c r="K510" s="93"/>
    </row>
    <row r="511" spans="2:11" s="61" customFormat="1" x14ac:dyDescent="0.3">
      <c r="B511" s="67"/>
      <c r="C511" s="63"/>
      <c r="D511" s="64"/>
      <c r="E511" s="65"/>
      <c r="F511" s="66"/>
      <c r="G511" s="62"/>
      <c r="H511" s="64"/>
      <c r="I511" s="62"/>
      <c r="J511" s="64"/>
      <c r="K511" s="93"/>
    </row>
    <row r="512" spans="2:11" s="61" customFormat="1" x14ac:dyDescent="0.3">
      <c r="B512" s="67"/>
      <c r="C512" s="63"/>
      <c r="D512" s="64"/>
      <c r="E512" s="65"/>
      <c r="F512" s="66"/>
      <c r="G512" s="62"/>
      <c r="H512" s="64"/>
      <c r="I512" s="62"/>
      <c r="J512" s="64"/>
      <c r="K512" s="93"/>
    </row>
    <row r="513" spans="2:11" s="61" customFormat="1" ht="15.6" customHeight="1" x14ac:dyDescent="0.3">
      <c r="B513" s="67"/>
      <c r="C513" s="63"/>
      <c r="D513" s="64"/>
      <c r="E513" s="65"/>
      <c r="F513" s="66"/>
      <c r="G513" s="62"/>
      <c r="H513" s="64"/>
      <c r="I513" s="62"/>
      <c r="J513" s="64"/>
      <c r="K513" s="93"/>
    </row>
    <row r="514" spans="2:11" s="61" customFormat="1" ht="17.100000000000001" customHeight="1" x14ac:dyDescent="0.3">
      <c r="B514" s="67"/>
      <c r="C514" s="63"/>
      <c r="D514" s="64"/>
      <c r="E514" s="65"/>
      <c r="F514" s="66"/>
      <c r="G514" s="62"/>
      <c r="H514" s="64"/>
      <c r="I514" s="62"/>
      <c r="J514" s="64"/>
      <c r="K514" s="93"/>
    </row>
    <row r="515" spans="2:11" s="61" customFormat="1" x14ac:dyDescent="0.3">
      <c r="B515" s="67"/>
      <c r="C515" s="63"/>
      <c r="D515" s="64"/>
      <c r="E515" s="65"/>
      <c r="F515" s="66"/>
      <c r="G515" s="62"/>
      <c r="H515" s="64"/>
      <c r="I515" s="62"/>
      <c r="J515" s="64"/>
      <c r="K515" s="93"/>
    </row>
    <row r="516" spans="2:11" s="61" customFormat="1" x14ac:dyDescent="0.3">
      <c r="B516" s="67"/>
      <c r="C516" s="63"/>
      <c r="D516" s="64"/>
      <c r="E516" s="65"/>
      <c r="F516" s="66"/>
      <c r="G516" s="62"/>
      <c r="H516" s="64"/>
      <c r="I516" s="62"/>
      <c r="J516" s="64"/>
      <c r="K516" s="93"/>
    </row>
    <row r="517" spans="2:11" s="61" customFormat="1" x14ac:dyDescent="0.3">
      <c r="B517" s="67"/>
      <c r="C517" s="63"/>
      <c r="D517" s="64"/>
      <c r="E517" s="65"/>
      <c r="F517" s="66"/>
      <c r="G517" s="62"/>
      <c r="H517" s="64"/>
      <c r="I517" s="62"/>
      <c r="J517" s="64"/>
      <c r="K517" s="93"/>
    </row>
    <row r="518" spans="2:11" s="61" customFormat="1" x14ac:dyDescent="0.3">
      <c r="B518" s="67"/>
      <c r="C518" s="63"/>
      <c r="D518" s="64"/>
      <c r="E518" s="65"/>
      <c r="F518" s="66"/>
      <c r="G518" s="62"/>
      <c r="H518" s="64"/>
      <c r="I518" s="62"/>
      <c r="J518" s="64"/>
      <c r="K518" s="93"/>
    </row>
    <row r="519" spans="2:11" s="61" customFormat="1" x14ac:dyDescent="0.3">
      <c r="B519" s="67"/>
      <c r="C519" s="63"/>
      <c r="D519" s="64"/>
      <c r="E519" s="65"/>
      <c r="F519" s="66"/>
      <c r="G519" s="62"/>
      <c r="H519" s="64"/>
      <c r="I519" s="62"/>
      <c r="J519" s="64"/>
      <c r="K519" s="93"/>
    </row>
    <row r="520" spans="2:11" s="61" customFormat="1" x14ac:dyDescent="0.3">
      <c r="B520" s="67"/>
      <c r="C520" s="63"/>
      <c r="D520" s="64"/>
      <c r="E520" s="65"/>
      <c r="F520" s="66"/>
      <c r="G520" s="62"/>
      <c r="H520" s="64"/>
      <c r="I520" s="62"/>
      <c r="J520" s="64"/>
      <c r="K520" s="93"/>
    </row>
    <row r="521" spans="2:11" s="61" customFormat="1" x14ac:dyDescent="0.3">
      <c r="B521" s="67"/>
      <c r="C521" s="63"/>
      <c r="D521" s="64"/>
      <c r="E521" s="65"/>
      <c r="F521" s="66"/>
      <c r="G521" s="62"/>
      <c r="H521" s="64"/>
      <c r="I521" s="62"/>
      <c r="J521" s="64"/>
      <c r="K521" s="93"/>
    </row>
    <row r="522" spans="2:11" s="61" customFormat="1" x14ac:dyDescent="0.3">
      <c r="B522" s="67"/>
      <c r="C522" s="63"/>
      <c r="D522" s="64"/>
      <c r="E522" s="65"/>
      <c r="F522" s="66"/>
      <c r="G522" s="62"/>
      <c r="H522" s="64"/>
      <c r="I522" s="62"/>
      <c r="J522" s="64"/>
      <c r="K522" s="93"/>
    </row>
    <row r="523" spans="2:11" s="61" customFormat="1" x14ac:dyDescent="0.3">
      <c r="B523" s="67"/>
      <c r="C523" s="63"/>
      <c r="D523" s="64"/>
      <c r="E523" s="65"/>
      <c r="F523" s="66"/>
      <c r="G523" s="62"/>
      <c r="H523" s="64"/>
      <c r="I523" s="62"/>
      <c r="J523" s="64"/>
      <c r="K523" s="93"/>
    </row>
    <row r="524" spans="2:11" s="61" customFormat="1" x14ac:dyDescent="0.3">
      <c r="B524" s="67"/>
      <c r="C524" s="63"/>
      <c r="D524" s="64"/>
      <c r="E524" s="65"/>
      <c r="F524" s="66"/>
      <c r="G524" s="62"/>
      <c r="H524" s="64"/>
      <c r="I524" s="62"/>
      <c r="J524" s="64"/>
      <c r="K524" s="93"/>
    </row>
    <row r="525" spans="2:11" s="61" customFormat="1" x14ac:dyDescent="0.3">
      <c r="B525" s="67"/>
      <c r="C525" s="63"/>
      <c r="D525" s="64"/>
      <c r="E525" s="65"/>
      <c r="F525" s="66"/>
      <c r="G525" s="62"/>
      <c r="H525" s="64"/>
      <c r="I525" s="62"/>
      <c r="J525" s="64"/>
      <c r="K525" s="93"/>
    </row>
    <row r="526" spans="2:11" s="61" customFormat="1" ht="15.6" customHeight="1" x14ac:dyDescent="0.3">
      <c r="B526" s="67"/>
      <c r="C526" s="63"/>
      <c r="D526" s="64"/>
      <c r="E526" s="65"/>
      <c r="F526" s="66"/>
      <c r="G526" s="62"/>
      <c r="H526" s="64"/>
      <c r="I526" s="62"/>
      <c r="J526" s="64"/>
      <c r="K526" s="93"/>
    </row>
    <row r="527" spans="2:11" s="61" customFormat="1" ht="17.100000000000001" customHeight="1" x14ac:dyDescent="0.3">
      <c r="B527" s="67"/>
      <c r="C527" s="63"/>
      <c r="D527" s="64"/>
      <c r="E527" s="65"/>
      <c r="F527" s="66"/>
      <c r="G527" s="62"/>
      <c r="H527" s="64"/>
      <c r="I527" s="62"/>
      <c r="J527" s="64"/>
      <c r="K527" s="93"/>
    </row>
    <row r="528" spans="2:11" s="61" customFormat="1" x14ac:dyDescent="0.3">
      <c r="B528" s="67"/>
      <c r="C528" s="63"/>
      <c r="D528" s="64"/>
      <c r="E528" s="65"/>
      <c r="F528" s="66"/>
      <c r="G528" s="62"/>
      <c r="H528" s="64"/>
      <c r="I528" s="62"/>
      <c r="J528" s="64"/>
      <c r="K528" s="93"/>
    </row>
    <row r="529" spans="2:11" s="61" customFormat="1" x14ac:dyDescent="0.3">
      <c r="B529" s="67"/>
      <c r="C529" s="63"/>
      <c r="D529" s="64"/>
      <c r="E529" s="65"/>
      <c r="F529" s="66"/>
      <c r="G529" s="62"/>
      <c r="H529" s="64"/>
      <c r="I529" s="62"/>
      <c r="J529" s="64"/>
      <c r="K529" s="93"/>
    </row>
    <row r="530" spans="2:11" s="61" customFormat="1" x14ac:dyDescent="0.3">
      <c r="B530" s="67"/>
      <c r="C530" s="63"/>
      <c r="D530" s="64"/>
      <c r="E530" s="65"/>
      <c r="F530" s="66"/>
      <c r="G530" s="62"/>
      <c r="H530" s="64"/>
      <c r="I530" s="62"/>
      <c r="J530" s="64"/>
      <c r="K530" s="93"/>
    </row>
    <row r="531" spans="2:11" s="61" customFormat="1" x14ac:dyDescent="0.3">
      <c r="B531" s="67"/>
      <c r="C531" s="63"/>
      <c r="D531" s="64"/>
      <c r="E531" s="65"/>
      <c r="F531" s="66"/>
      <c r="G531" s="62"/>
      <c r="H531" s="64"/>
      <c r="I531" s="62"/>
      <c r="J531" s="64"/>
      <c r="K531" s="93"/>
    </row>
    <row r="532" spans="2:11" s="61" customFormat="1" x14ac:dyDescent="0.3">
      <c r="B532" s="67"/>
      <c r="C532" s="63"/>
      <c r="D532" s="64"/>
      <c r="E532" s="65"/>
      <c r="F532" s="66"/>
      <c r="G532" s="62"/>
      <c r="H532" s="64"/>
      <c r="I532" s="62"/>
      <c r="J532" s="64"/>
      <c r="K532" s="93"/>
    </row>
    <row r="533" spans="2:11" s="61" customFormat="1" x14ac:dyDescent="0.3">
      <c r="B533" s="67"/>
      <c r="C533" s="63"/>
      <c r="D533" s="64"/>
      <c r="E533" s="65"/>
      <c r="F533" s="66"/>
      <c r="G533" s="62"/>
      <c r="H533" s="64"/>
      <c r="I533" s="62"/>
      <c r="J533" s="64"/>
      <c r="K533" s="93"/>
    </row>
    <row r="534" spans="2:11" s="61" customFormat="1" x14ac:dyDescent="0.3">
      <c r="B534" s="67"/>
      <c r="C534" s="63"/>
      <c r="D534" s="64"/>
      <c r="E534" s="65"/>
      <c r="F534" s="66"/>
      <c r="G534" s="62"/>
      <c r="H534" s="64"/>
      <c r="I534" s="62"/>
      <c r="J534" s="64"/>
      <c r="K534" s="93"/>
    </row>
    <row r="535" spans="2:11" s="61" customFormat="1" x14ac:dyDescent="0.3">
      <c r="B535" s="67"/>
      <c r="C535" s="63"/>
      <c r="D535" s="64"/>
      <c r="E535" s="65"/>
      <c r="F535" s="66"/>
      <c r="G535" s="62"/>
      <c r="H535" s="64"/>
      <c r="I535" s="62"/>
      <c r="J535" s="64"/>
      <c r="K535" s="93"/>
    </row>
    <row r="536" spans="2:11" s="61" customFormat="1" x14ac:dyDescent="0.3">
      <c r="B536" s="67"/>
      <c r="C536" s="63"/>
      <c r="D536" s="64"/>
      <c r="E536" s="65"/>
      <c r="F536" s="66"/>
      <c r="G536" s="62"/>
      <c r="H536" s="64"/>
      <c r="I536" s="62"/>
      <c r="J536" s="64"/>
      <c r="K536" s="93"/>
    </row>
    <row r="537" spans="2:11" s="61" customFormat="1" x14ac:dyDescent="0.3">
      <c r="B537" s="67"/>
      <c r="C537" s="63"/>
      <c r="D537" s="64"/>
      <c r="E537" s="65"/>
      <c r="F537" s="66"/>
      <c r="G537" s="62"/>
      <c r="H537" s="64"/>
      <c r="I537" s="62"/>
      <c r="J537" s="64"/>
      <c r="K537" s="93"/>
    </row>
    <row r="538" spans="2:11" s="61" customFormat="1" x14ac:dyDescent="0.3">
      <c r="B538" s="67"/>
      <c r="C538" s="63"/>
      <c r="D538" s="64"/>
      <c r="E538" s="65"/>
      <c r="F538" s="66"/>
      <c r="G538" s="62"/>
      <c r="H538" s="64"/>
      <c r="I538" s="62"/>
      <c r="J538" s="64"/>
      <c r="K538" s="93"/>
    </row>
    <row r="539" spans="2:11" s="61" customFormat="1" x14ac:dyDescent="0.3">
      <c r="B539" s="67"/>
      <c r="C539" s="63"/>
      <c r="D539" s="64"/>
      <c r="E539" s="65"/>
      <c r="F539" s="66"/>
      <c r="G539" s="62"/>
      <c r="H539" s="64"/>
      <c r="I539" s="62"/>
      <c r="J539" s="64"/>
      <c r="K539" s="93"/>
    </row>
    <row r="540" spans="2:11" s="61" customFormat="1" x14ac:dyDescent="0.3">
      <c r="B540" s="67"/>
      <c r="C540" s="63"/>
      <c r="D540" s="64"/>
      <c r="E540" s="65"/>
      <c r="F540" s="66"/>
      <c r="G540" s="62"/>
      <c r="H540" s="64"/>
      <c r="I540" s="62"/>
      <c r="J540" s="64"/>
      <c r="K540" s="93"/>
    </row>
    <row r="541" spans="2:11" s="61" customFormat="1" x14ac:dyDescent="0.3">
      <c r="B541" s="67"/>
      <c r="C541" s="63"/>
      <c r="D541" s="64"/>
      <c r="E541" s="65"/>
      <c r="F541" s="66"/>
      <c r="G541" s="62"/>
      <c r="H541" s="64"/>
      <c r="I541" s="62"/>
      <c r="J541" s="64"/>
      <c r="K541" s="93"/>
    </row>
    <row r="542" spans="2:11" s="61" customFormat="1" x14ac:dyDescent="0.3">
      <c r="B542" s="67"/>
      <c r="C542" s="63"/>
      <c r="D542" s="64"/>
      <c r="E542" s="65"/>
      <c r="F542" s="66"/>
      <c r="G542" s="62"/>
      <c r="H542" s="64"/>
      <c r="I542" s="62"/>
      <c r="J542" s="64"/>
      <c r="K542" s="93"/>
    </row>
    <row r="543" spans="2:11" s="61" customFormat="1" x14ac:dyDescent="0.3">
      <c r="B543" s="67"/>
      <c r="C543" s="63"/>
      <c r="D543" s="64"/>
      <c r="E543" s="65"/>
      <c r="F543" s="66"/>
      <c r="G543" s="62"/>
      <c r="H543" s="64"/>
      <c r="I543" s="62"/>
      <c r="J543" s="64"/>
      <c r="K543" s="93"/>
    </row>
    <row r="544" spans="2:11" s="61" customFormat="1" x14ac:dyDescent="0.3">
      <c r="B544" s="67"/>
      <c r="C544" s="63"/>
      <c r="D544" s="64"/>
      <c r="E544" s="65"/>
      <c r="F544" s="66"/>
      <c r="G544" s="62"/>
      <c r="H544" s="64"/>
      <c r="I544" s="62"/>
      <c r="J544" s="64"/>
      <c r="K544" s="93"/>
    </row>
    <row r="545" spans="2:11" s="61" customFormat="1" x14ac:dyDescent="0.3">
      <c r="B545" s="67"/>
      <c r="C545" s="63"/>
      <c r="D545" s="64"/>
      <c r="E545" s="65"/>
      <c r="F545" s="66"/>
      <c r="G545" s="62"/>
      <c r="H545" s="64"/>
      <c r="I545" s="62"/>
      <c r="J545" s="64"/>
      <c r="K545" s="93"/>
    </row>
    <row r="546" spans="2:11" s="61" customFormat="1" x14ac:dyDescent="0.3">
      <c r="B546" s="67"/>
      <c r="C546" s="63"/>
      <c r="D546" s="64"/>
      <c r="E546" s="65"/>
      <c r="F546" s="66"/>
      <c r="G546" s="62"/>
      <c r="H546" s="64"/>
      <c r="I546" s="62"/>
      <c r="J546" s="64"/>
      <c r="K546" s="93"/>
    </row>
    <row r="547" spans="2:11" s="61" customFormat="1" x14ac:dyDescent="0.3">
      <c r="B547" s="67"/>
      <c r="C547" s="63"/>
      <c r="D547" s="64"/>
      <c r="E547" s="65"/>
      <c r="F547" s="66"/>
      <c r="G547" s="62"/>
      <c r="H547" s="64"/>
      <c r="I547" s="62"/>
      <c r="J547" s="64"/>
      <c r="K547" s="93"/>
    </row>
    <row r="548" spans="2:11" s="61" customFormat="1" x14ac:dyDescent="0.3">
      <c r="B548" s="67"/>
      <c r="C548" s="63"/>
      <c r="D548" s="64"/>
      <c r="E548" s="65"/>
      <c r="F548" s="66"/>
      <c r="G548" s="62"/>
      <c r="H548" s="64"/>
      <c r="I548" s="62"/>
      <c r="J548" s="64"/>
      <c r="K548" s="93"/>
    </row>
    <row r="549" spans="2:11" s="61" customFormat="1" x14ac:dyDescent="0.3">
      <c r="B549" s="67"/>
      <c r="C549" s="63"/>
      <c r="D549" s="64"/>
      <c r="E549" s="65"/>
      <c r="F549" s="66"/>
      <c r="G549" s="62"/>
      <c r="H549" s="64"/>
      <c r="I549" s="62"/>
      <c r="J549" s="64"/>
      <c r="K549" s="93"/>
    </row>
    <row r="550" spans="2:11" s="61" customFormat="1" x14ac:dyDescent="0.3">
      <c r="B550" s="67"/>
      <c r="C550" s="63"/>
      <c r="D550" s="64"/>
      <c r="E550" s="65"/>
      <c r="F550" s="66"/>
      <c r="G550" s="62"/>
      <c r="H550" s="64"/>
      <c r="I550" s="62"/>
      <c r="J550" s="64"/>
      <c r="K550" s="93"/>
    </row>
    <row r="551" spans="2:11" s="61" customFormat="1" x14ac:dyDescent="0.3">
      <c r="B551" s="67"/>
      <c r="C551" s="63"/>
      <c r="D551" s="64"/>
      <c r="E551" s="65"/>
      <c r="F551" s="66"/>
      <c r="G551" s="62"/>
      <c r="H551" s="64"/>
      <c r="I551" s="62"/>
      <c r="J551" s="64"/>
      <c r="K551" s="93"/>
    </row>
    <row r="552" spans="2:11" s="61" customFormat="1" x14ac:dyDescent="0.3">
      <c r="B552" s="67"/>
      <c r="C552" s="63"/>
      <c r="D552" s="64"/>
      <c r="E552" s="65"/>
      <c r="F552" s="66"/>
      <c r="G552" s="62"/>
      <c r="H552" s="64"/>
      <c r="I552" s="62"/>
      <c r="J552" s="64"/>
      <c r="K552" s="93"/>
    </row>
    <row r="553" spans="2:11" s="61" customFormat="1" ht="15.6" customHeight="1" x14ac:dyDescent="0.3">
      <c r="B553" s="67"/>
      <c r="C553" s="63"/>
      <c r="D553" s="64"/>
      <c r="E553" s="65"/>
      <c r="F553" s="66"/>
      <c r="G553" s="62"/>
      <c r="H553" s="64"/>
      <c r="I553" s="62"/>
      <c r="J553" s="64"/>
      <c r="K553" s="93"/>
    </row>
    <row r="554" spans="2:11" s="61" customFormat="1" ht="17.100000000000001" customHeight="1" x14ac:dyDescent="0.3">
      <c r="B554" s="67"/>
      <c r="C554" s="63"/>
      <c r="D554" s="64"/>
      <c r="E554" s="65"/>
      <c r="F554" s="66"/>
      <c r="G554" s="62"/>
      <c r="H554" s="64"/>
      <c r="I554" s="62"/>
      <c r="J554" s="64"/>
      <c r="K554" s="93"/>
    </row>
    <row r="555" spans="2:11" s="61" customFormat="1" x14ac:dyDescent="0.3">
      <c r="B555" s="67"/>
      <c r="C555" s="63"/>
      <c r="D555" s="64"/>
      <c r="E555" s="65"/>
      <c r="F555" s="66"/>
      <c r="G555" s="62"/>
      <c r="H555" s="64"/>
      <c r="I555" s="62"/>
      <c r="J555" s="64"/>
      <c r="K555" s="93"/>
    </row>
    <row r="556" spans="2:11" s="61" customFormat="1" x14ac:dyDescent="0.3">
      <c r="B556" s="67"/>
      <c r="C556" s="63"/>
      <c r="D556" s="64"/>
      <c r="E556" s="65"/>
      <c r="F556" s="66"/>
      <c r="G556" s="62"/>
      <c r="H556" s="64"/>
      <c r="I556" s="62"/>
      <c r="J556" s="64"/>
      <c r="K556" s="93"/>
    </row>
    <row r="557" spans="2:11" s="61" customFormat="1" x14ac:dyDescent="0.3">
      <c r="B557" s="67"/>
      <c r="C557" s="63"/>
      <c r="D557" s="64"/>
      <c r="E557" s="65"/>
      <c r="F557" s="66"/>
      <c r="G557" s="62"/>
      <c r="H557" s="64"/>
      <c r="I557" s="62"/>
      <c r="J557" s="64"/>
      <c r="K557" s="93"/>
    </row>
    <row r="558" spans="2:11" s="61" customFormat="1" x14ac:dyDescent="0.3">
      <c r="B558" s="67"/>
      <c r="C558" s="63"/>
      <c r="D558" s="64"/>
      <c r="E558" s="65"/>
      <c r="F558" s="66"/>
      <c r="G558" s="62"/>
      <c r="H558" s="64"/>
      <c r="I558" s="62"/>
      <c r="J558" s="64"/>
      <c r="K558" s="93"/>
    </row>
    <row r="559" spans="2:11" s="61" customFormat="1" x14ac:dyDescent="0.3">
      <c r="B559" s="67"/>
      <c r="C559" s="63"/>
      <c r="D559" s="64"/>
      <c r="E559" s="65"/>
      <c r="F559" s="66"/>
      <c r="G559" s="62"/>
      <c r="H559" s="64"/>
      <c r="I559" s="62"/>
      <c r="J559" s="64"/>
      <c r="K559" s="93"/>
    </row>
    <row r="560" spans="2:11" s="61" customFormat="1" x14ac:dyDescent="0.3">
      <c r="B560" s="67"/>
      <c r="C560" s="63"/>
      <c r="D560" s="64"/>
      <c r="E560" s="65"/>
      <c r="F560" s="66"/>
      <c r="G560" s="62"/>
      <c r="H560" s="64"/>
      <c r="I560" s="62"/>
      <c r="J560" s="64"/>
      <c r="K560" s="93"/>
    </row>
    <row r="561" spans="2:11" s="61" customFormat="1" x14ac:dyDescent="0.3">
      <c r="B561" s="67"/>
      <c r="C561" s="63"/>
      <c r="D561" s="64"/>
      <c r="E561" s="65"/>
      <c r="F561" s="66"/>
      <c r="G561" s="62"/>
      <c r="H561" s="64"/>
      <c r="I561" s="62"/>
      <c r="J561" s="64"/>
      <c r="K561" s="93"/>
    </row>
    <row r="562" spans="2:11" s="61" customFormat="1" x14ac:dyDescent="0.3">
      <c r="B562" s="67"/>
      <c r="C562" s="63"/>
      <c r="D562" s="64"/>
      <c r="E562" s="65"/>
      <c r="F562" s="66"/>
      <c r="G562" s="62"/>
      <c r="H562" s="64"/>
      <c r="I562" s="62"/>
      <c r="J562" s="64"/>
      <c r="K562" s="93"/>
    </row>
    <row r="563" spans="2:11" s="61" customFormat="1" x14ac:dyDescent="0.3">
      <c r="B563" s="67"/>
      <c r="C563" s="63"/>
      <c r="D563" s="64"/>
      <c r="E563" s="65"/>
      <c r="F563" s="66"/>
      <c r="G563" s="62"/>
      <c r="H563" s="64"/>
      <c r="I563" s="62"/>
      <c r="J563" s="64"/>
      <c r="K563" s="93"/>
    </row>
    <row r="564" spans="2:11" s="61" customFormat="1" x14ac:dyDescent="0.3">
      <c r="B564" s="67"/>
      <c r="C564" s="63"/>
      <c r="D564" s="64"/>
      <c r="E564" s="65"/>
      <c r="F564" s="66"/>
      <c r="G564" s="62"/>
      <c r="H564" s="64"/>
      <c r="I564" s="62"/>
      <c r="J564" s="64"/>
      <c r="K564" s="93"/>
    </row>
    <row r="565" spans="2:11" s="61" customFormat="1" x14ac:dyDescent="0.3">
      <c r="B565" s="67"/>
      <c r="C565" s="63"/>
      <c r="D565" s="64"/>
      <c r="E565" s="65"/>
      <c r="F565" s="66"/>
      <c r="G565" s="62"/>
      <c r="H565" s="64"/>
      <c r="I565" s="62"/>
      <c r="J565" s="64"/>
      <c r="K565" s="93"/>
    </row>
    <row r="566" spans="2:11" s="61" customFormat="1" ht="15.6" customHeight="1" x14ac:dyDescent="0.3">
      <c r="B566" s="67"/>
      <c r="C566" s="63"/>
      <c r="D566" s="64"/>
      <c r="E566" s="65"/>
      <c r="F566" s="66"/>
      <c r="G566" s="62"/>
      <c r="H566" s="64"/>
      <c r="I566" s="62"/>
      <c r="J566" s="64"/>
      <c r="K566" s="93"/>
    </row>
    <row r="567" spans="2:11" s="61" customFormat="1" ht="17.100000000000001" customHeight="1" x14ac:dyDescent="0.3">
      <c r="B567" s="67"/>
      <c r="C567" s="63"/>
      <c r="D567" s="64"/>
      <c r="E567" s="65"/>
      <c r="F567" s="66"/>
      <c r="G567" s="62"/>
      <c r="H567" s="64"/>
      <c r="I567" s="62"/>
      <c r="J567" s="64"/>
      <c r="K567" s="93"/>
    </row>
    <row r="568" spans="2:11" s="61" customFormat="1" x14ac:dyDescent="0.3">
      <c r="B568" s="67"/>
      <c r="C568" s="63"/>
      <c r="D568" s="64"/>
      <c r="E568" s="65"/>
      <c r="F568" s="66"/>
      <c r="G568" s="62"/>
      <c r="H568" s="64"/>
      <c r="I568" s="62"/>
      <c r="J568" s="64"/>
      <c r="K568" s="93"/>
    </row>
    <row r="569" spans="2:11" s="61" customFormat="1" x14ac:dyDescent="0.3">
      <c r="B569" s="67"/>
      <c r="C569" s="63"/>
      <c r="D569" s="64"/>
      <c r="E569" s="65"/>
      <c r="F569" s="66"/>
      <c r="G569" s="62"/>
      <c r="H569" s="64"/>
      <c r="I569" s="62"/>
      <c r="J569" s="64"/>
      <c r="K569" s="93"/>
    </row>
    <row r="570" spans="2:11" s="61" customFormat="1" x14ac:dyDescent="0.3">
      <c r="B570" s="67"/>
      <c r="C570" s="63"/>
      <c r="D570" s="64"/>
      <c r="E570" s="65"/>
      <c r="F570" s="66"/>
      <c r="G570" s="62"/>
      <c r="H570" s="64"/>
      <c r="I570" s="62"/>
      <c r="J570" s="64"/>
      <c r="K570" s="93"/>
    </row>
    <row r="571" spans="2:11" s="61" customFormat="1" x14ac:dyDescent="0.3">
      <c r="B571" s="67"/>
      <c r="C571" s="63"/>
      <c r="D571" s="64"/>
      <c r="E571" s="65"/>
      <c r="F571" s="66"/>
      <c r="G571" s="62"/>
      <c r="H571" s="64"/>
      <c r="I571" s="62"/>
      <c r="J571" s="64"/>
      <c r="K571" s="93"/>
    </row>
    <row r="572" spans="2:11" s="61" customFormat="1" x14ac:dyDescent="0.3">
      <c r="B572" s="67"/>
      <c r="C572" s="63"/>
      <c r="D572" s="64"/>
      <c r="E572" s="65"/>
      <c r="F572" s="66"/>
      <c r="G572" s="62"/>
      <c r="H572" s="64"/>
      <c r="I572" s="62"/>
      <c r="J572" s="64"/>
      <c r="K572" s="93"/>
    </row>
    <row r="573" spans="2:11" s="61" customFormat="1" x14ac:dyDescent="0.3">
      <c r="B573" s="67"/>
      <c r="C573" s="63"/>
      <c r="D573" s="64"/>
      <c r="E573" s="65"/>
      <c r="F573" s="66"/>
      <c r="G573" s="62"/>
      <c r="H573" s="64"/>
      <c r="I573" s="62"/>
      <c r="J573" s="64"/>
      <c r="K573" s="93"/>
    </row>
    <row r="574" spans="2:11" s="61" customFormat="1" x14ac:dyDescent="0.3">
      <c r="B574" s="67"/>
      <c r="C574" s="63"/>
      <c r="D574" s="64"/>
      <c r="E574" s="65"/>
      <c r="F574" s="66"/>
      <c r="G574" s="62"/>
      <c r="H574" s="64"/>
      <c r="I574" s="62"/>
      <c r="J574" s="64"/>
      <c r="K574" s="93"/>
    </row>
    <row r="575" spans="2:11" s="61" customFormat="1" x14ac:dyDescent="0.3">
      <c r="B575" s="67"/>
      <c r="C575" s="63"/>
      <c r="D575" s="64"/>
      <c r="E575" s="65"/>
      <c r="F575" s="66"/>
      <c r="G575" s="62"/>
      <c r="H575" s="64"/>
      <c r="I575" s="62"/>
      <c r="J575" s="64"/>
      <c r="K575" s="93"/>
    </row>
    <row r="576" spans="2:11" s="61" customFormat="1" x14ac:dyDescent="0.3">
      <c r="B576" s="67"/>
      <c r="C576" s="63"/>
      <c r="D576" s="64"/>
      <c r="E576" s="65"/>
      <c r="F576" s="66"/>
      <c r="G576" s="62"/>
      <c r="H576" s="64"/>
      <c r="I576" s="62"/>
      <c r="J576" s="64"/>
      <c r="K576" s="93"/>
    </row>
    <row r="577" spans="2:11" s="61" customFormat="1" x14ac:dyDescent="0.3">
      <c r="B577" s="67"/>
      <c r="C577" s="63"/>
      <c r="D577" s="64"/>
      <c r="E577" s="65"/>
      <c r="F577" s="66"/>
      <c r="G577" s="62"/>
      <c r="H577" s="64"/>
      <c r="I577" s="62"/>
      <c r="J577" s="64"/>
      <c r="K577" s="93"/>
    </row>
    <row r="578" spans="2:11" s="61" customFormat="1" x14ac:dyDescent="0.3">
      <c r="B578" s="67"/>
      <c r="C578" s="63"/>
      <c r="D578" s="64"/>
      <c r="E578" s="65"/>
      <c r="F578" s="66"/>
      <c r="G578" s="62"/>
      <c r="H578" s="64"/>
      <c r="I578" s="62"/>
      <c r="J578" s="64"/>
      <c r="K578" s="93"/>
    </row>
    <row r="579" spans="2:11" s="61" customFormat="1" x14ac:dyDescent="0.3">
      <c r="B579" s="67"/>
      <c r="C579" s="63"/>
      <c r="D579" s="64"/>
      <c r="E579" s="65"/>
      <c r="F579" s="66"/>
      <c r="G579" s="62"/>
      <c r="H579" s="64"/>
      <c r="I579" s="62"/>
      <c r="J579" s="64"/>
      <c r="K579" s="93"/>
    </row>
    <row r="580" spans="2:11" s="61" customFormat="1" x14ac:dyDescent="0.3">
      <c r="B580" s="67"/>
      <c r="C580" s="63"/>
      <c r="D580" s="64"/>
      <c r="E580" s="65"/>
      <c r="F580" s="66"/>
      <c r="G580" s="62"/>
      <c r="H580" s="64"/>
      <c r="I580" s="62"/>
      <c r="J580" s="64"/>
      <c r="K580" s="93"/>
    </row>
    <row r="581" spans="2:11" s="61" customFormat="1" x14ac:dyDescent="0.3">
      <c r="B581" s="67"/>
      <c r="C581" s="63"/>
      <c r="D581" s="64"/>
      <c r="E581" s="65"/>
      <c r="F581" s="66"/>
      <c r="G581" s="62"/>
      <c r="H581" s="64"/>
      <c r="I581" s="62"/>
      <c r="J581" s="64"/>
      <c r="K581" s="93"/>
    </row>
    <row r="582" spans="2:11" s="61" customFormat="1" x14ac:dyDescent="0.3">
      <c r="B582" s="67"/>
      <c r="C582" s="63"/>
      <c r="D582" s="64"/>
      <c r="E582" s="65"/>
      <c r="F582" s="66"/>
      <c r="G582" s="62"/>
      <c r="H582" s="64"/>
      <c r="I582" s="62"/>
      <c r="J582" s="64"/>
      <c r="K582" s="93"/>
    </row>
    <row r="583" spans="2:11" s="61" customFormat="1" x14ac:dyDescent="0.3">
      <c r="B583" s="67"/>
      <c r="C583" s="63"/>
      <c r="D583" s="64"/>
      <c r="E583" s="65"/>
      <c r="F583" s="66"/>
      <c r="G583" s="62"/>
      <c r="H583" s="64"/>
      <c r="I583" s="62"/>
      <c r="J583" s="64"/>
      <c r="K583" s="93"/>
    </row>
    <row r="584" spans="2:11" s="61" customFormat="1" x14ac:dyDescent="0.3">
      <c r="B584" s="67"/>
      <c r="C584" s="63"/>
      <c r="D584" s="64"/>
      <c r="E584" s="65"/>
      <c r="F584" s="66"/>
      <c r="G584" s="62"/>
      <c r="H584" s="64"/>
      <c r="I584" s="62"/>
      <c r="J584" s="64"/>
      <c r="K584" s="93"/>
    </row>
    <row r="585" spans="2:11" s="61" customFormat="1" x14ac:dyDescent="0.3">
      <c r="B585" s="67"/>
      <c r="C585" s="63"/>
      <c r="D585" s="64"/>
      <c r="E585" s="65"/>
      <c r="F585" s="66"/>
      <c r="G585" s="62"/>
      <c r="H585" s="64"/>
      <c r="I585" s="62"/>
      <c r="J585" s="64"/>
      <c r="K585" s="93"/>
    </row>
    <row r="586" spans="2:11" s="61" customFormat="1" x14ac:dyDescent="0.3">
      <c r="B586" s="67"/>
      <c r="C586" s="63"/>
      <c r="D586" s="64"/>
      <c r="E586" s="65"/>
      <c r="F586" s="66"/>
      <c r="G586" s="62"/>
      <c r="H586" s="64"/>
      <c r="I586" s="62"/>
      <c r="J586" s="64"/>
      <c r="K586" s="93"/>
    </row>
    <row r="587" spans="2:11" s="61" customFormat="1" x14ac:dyDescent="0.3">
      <c r="B587" s="67"/>
      <c r="C587" s="63"/>
      <c r="D587" s="64"/>
      <c r="E587" s="65"/>
      <c r="F587" s="66"/>
      <c r="G587" s="62"/>
      <c r="H587" s="64"/>
      <c r="I587" s="62"/>
      <c r="J587" s="64"/>
      <c r="K587" s="93"/>
    </row>
    <row r="588" spans="2:11" s="61" customFormat="1" x14ac:dyDescent="0.3">
      <c r="B588" s="67"/>
      <c r="C588" s="63"/>
      <c r="D588" s="64"/>
      <c r="E588" s="65"/>
      <c r="F588" s="66"/>
      <c r="G588" s="62"/>
      <c r="H588" s="64"/>
      <c r="I588" s="62"/>
      <c r="J588" s="64"/>
      <c r="K588" s="93"/>
    </row>
    <row r="589" spans="2:11" s="61" customFormat="1" x14ac:dyDescent="0.3">
      <c r="B589" s="67"/>
      <c r="C589" s="63"/>
      <c r="D589" s="64"/>
      <c r="E589" s="65"/>
      <c r="F589" s="66"/>
      <c r="G589" s="62"/>
      <c r="H589" s="64"/>
      <c r="I589" s="62"/>
      <c r="J589" s="64"/>
      <c r="K589" s="93"/>
    </row>
    <row r="590" spans="2:11" s="61" customFormat="1" x14ac:dyDescent="0.3">
      <c r="B590" s="67"/>
      <c r="C590" s="63"/>
      <c r="D590" s="64"/>
      <c r="E590" s="65"/>
      <c r="F590" s="66"/>
      <c r="G590" s="62"/>
      <c r="H590" s="64"/>
      <c r="I590" s="62"/>
      <c r="J590" s="64"/>
      <c r="K590" s="93"/>
    </row>
    <row r="591" spans="2:11" s="61" customFormat="1" x14ac:dyDescent="0.3">
      <c r="B591" s="67"/>
      <c r="C591" s="63"/>
      <c r="D591" s="64"/>
      <c r="E591" s="65"/>
      <c r="F591" s="66"/>
      <c r="G591" s="62"/>
      <c r="H591" s="64"/>
      <c r="I591" s="62"/>
      <c r="J591" s="64"/>
      <c r="K591" s="93"/>
    </row>
    <row r="592" spans="2:11" s="61" customFormat="1" x14ac:dyDescent="0.3">
      <c r="B592" s="67"/>
      <c r="C592" s="63"/>
      <c r="D592" s="64"/>
      <c r="E592" s="65"/>
      <c r="F592" s="66"/>
      <c r="G592" s="62"/>
      <c r="H592" s="64"/>
      <c r="I592" s="62"/>
      <c r="J592" s="64"/>
      <c r="K592" s="93"/>
    </row>
    <row r="593" spans="2:11" s="61" customFormat="1" x14ac:dyDescent="0.3">
      <c r="B593" s="67"/>
      <c r="C593" s="63"/>
      <c r="D593" s="64"/>
      <c r="E593" s="65"/>
      <c r="F593" s="66"/>
      <c r="G593" s="62"/>
      <c r="H593" s="64"/>
      <c r="I593" s="62"/>
      <c r="J593" s="64"/>
      <c r="K593" s="93"/>
    </row>
    <row r="594" spans="2:11" s="61" customFormat="1" ht="20.100000000000001" customHeight="1" x14ac:dyDescent="0.3">
      <c r="B594" s="67"/>
      <c r="C594" s="63"/>
      <c r="D594" s="64"/>
      <c r="E594" s="65"/>
      <c r="F594" s="66"/>
      <c r="G594" s="62"/>
      <c r="H594" s="64"/>
      <c r="I594" s="62"/>
      <c r="J594" s="64"/>
      <c r="K594" s="93"/>
    </row>
    <row r="595" spans="2:11" s="61" customFormat="1" x14ac:dyDescent="0.3">
      <c r="B595" s="67"/>
      <c r="C595" s="63"/>
      <c r="D595" s="64"/>
      <c r="E595" s="65"/>
      <c r="F595" s="66"/>
      <c r="G595" s="62"/>
      <c r="H595" s="64"/>
      <c r="I595" s="62"/>
      <c r="J595" s="64"/>
      <c r="K595" s="93"/>
    </row>
    <row r="596" spans="2:11" s="61" customFormat="1" x14ac:dyDescent="0.3">
      <c r="B596" s="67"/>
      <c r="C596" s="63"/>
      <c r="D596" s="64"/>
      <c r="E596" s="65"/>
      <c r="F596" s="66"/>
      <c r="G596" s="62"/>
      <c r="H596" s="64"/>
      <c r="I596" s="62"/>
      <c r="J596" s="64"/>
      <c r="K596" s="93"/>
    </row>
    <row r="597" spans="2:11" s="61" customFormat="1" x14ac:dyDescent="0.3">
      <c r="B597" s="67"/>
      <c r="C597" s="63"/>
      <c r="D597" s="64"/>
      <c r="E597" s="65"/>
      <c r="F597" s="66"/>
      <c r="G597" s="62"/>
      <c r="H597" s="64"/>
      <c r="I597" s="62"/>
      <c r="J597" s="64"/>
      <c r="K597" s="93"/>
    </row>
    <row r="598" spans="2:11" s="61" customFormat="1" x14ac:dyDescent="0.3">
      <c r="B598" s="67"/>
      <c r="C598" s="63"/>
      <c r="D598" s="64"/>
      <c r="E598" s="65"/>
      <c r="F598" s="66"/>
      <c r="G598" s="62"/>
      <c r="H598" s="64"/>
      <c r="I598" s="62"/>
      <c r="J598" s="64"/>
      <c r="K598" s="93"/>
    </row>
    <row r="599" spans="2:11" s="61" customFormat="1" x14ac:dyDescent="0.3">
      <c r="B599" s="67"/>
      <c r="C599" s="63"/>
      <c r="D599" s="64"/>
      <c r="E599" s="65"/>
      <c r="F599" s="66"/>
      <c r="G599" s="62"/>
      <c r="H599" s="64"/>
      <c r="I599" s="62"/>
      <c r="J599" s="64"/>
      <c r="K599" s="93"/>
    </row>
    <row r="600" spans="2:11" s="61" customFormat="1" x14ac:dyDescent="0.3">
      <c r="B600" s="67"/>
      <c r="C600" s="63"/>
      <c r="D600" s="64"/>
      <c r="E600" s="65"/>
      <c r="F600" s="66"/>
      <c r="G600" s="62"/>
      <c r="H600" s="64"/>
      <c r="I600" s="62"/>
      <c r="J600" s="64"/>
      <c r="K600" s="93"/>
    </row>
    <row r="601" spans="2:11" s="61" customFormat="1" x14ac:dyDescent="0.3">
      <c r="B601" s="67"/>
      <c r="C601" s="63"/>
      <c r="D601" s="64"/>
      <c r="E601" s="65"/>
      <c r="F601" s="66"/>
      <c r="G601" s="62"/>
      <c r="H601" s="64"/>
      <c r="I601" s="62"/>
      <c r="J601" s="64"/>
      <c r="K601" s="93"/>
    </row>
    <row r="602" spans="2:11" s="61" customFormat="1" x14ac:dyDescent="0.3">
      <c r="B602" s="67"/>
      <c r="C602" s="63"/>
      <c r="D602" s="64"/>
      <c r="E602" s="65"/>
      <c r="F602" s="66"/>
      <c r="G602" s="62"/>
      <c r="H602" s="64"/>
      <c r="I602" s="62"/>
      <c r="J602" s="64"/>
      <c r="K602" s="93"/>
    </row>
    <row r="603" spans="2:11" s="61" customFormat="1" x14ac:dyDescent="0.3">
      <c r="B603" s="67"/>
      <c r="C603" s="63"/>
      <c r="D603" s="64"/>
      <c r="E603" s="65"/>
      <c r="F603" s="66"/>
      <c r="G603" s="62"/>
      <c r="H603" s="64"/>
      <c r="I603" s="62"/>
      <c r="J603" s="64"/>
      <c r="K603" s="93"/>
    </row>
    <row r="604" spans="2:11" s="61" customFormat="1" x14ac:dyDescent="0.3">
      <c r="B604" s="67"/>
      <c r="C604" s="63"/>
      <c r="D604" s="64"/>
      <c r="E604" s="65"/>
      <c r="F604" s="66"/>
      <c r="G604" s="62"/>
      <c r="H604" s="64"/>
      <c r="I604" s="62"/>
      <c r="J604" s="64"/>
      <c r="K604" s="93"/>
    </row>
    <row r="605" spans="2:11" s="61" customFormat="1" x14ac:dyDescent="0.3">
      <c r="B605" s="67"/>
      <c r="C605" s="63"/>
      <c r="D605" s="64"/>
      <c r="E605" s="65"/>
      <c r="F605" s="66"/>
      <c r="G605" s="62"/>
      <c r="H605" s="64"/>
      <c r="I605" s="62"/>
      <c r="J605" s="64"/>
      <c r="K605" s="93"/>
    </row>
    <row r="606" spans="2:11" s="61" customFormat="1" ht="20.100000000000001" customHeight="1" x14ac:dyDescent="0.3">
      <c r="B606" s="67"/>
      <c r="C606" s="63"/>
      <c r="D606" s="64"/>
      <c r="E606" s="65"/>
      <c r="F606" s="66"/>
      <c r="G606" s="62"/>
      <c r="H606" s="64"/>
      <c r="I606" s="62"/>
      <c r="J606" s="64"/>
      <c r="K606" s="93"/>
    </row>
    <row r="607" spans="2:11" s="61" customFormat="1" x14ac:dyDescent="0.3">
      <c r="B607" s="67"/>
      <c r="C607" s="63"/>
      <c r="D607" s="64"/>
      <c r="E607" s="65"/>
      <c r="F607" s="66"/>
      <c r="G607" s="62"/>
      <c r="H607" s="64"/>
      <c r="I607" s="62"/>
      <c r="J607" s="64"/>
      <c r="K607" s="93"/>
    </row>
    <row r="608" spans="2:11" s="61" customFormat="1" x14ac:dyDescent="0.3">
      <c r="B608" s="67"/>
      <c r="C608" s="63"/>
      <c r="D608" s="64"/>
      <c r="E608" s="65"/>
      <c r="F608" s="66"/>
      <c r="G608" s="62"/>
      <c r="H608" s="64"/>
      <c r="I608" s="62"/>
      <c r="J608" s="64"/>
      <c r="K608" s="93"/>
    </row>
    <row r="609" spans="2:11" s="61" customFormat="1" x14ac:dyDescent="0.3">
      <c r="B609" s="67"/>
      <c r="C609" s="63"/>
      <c r="D609" s="64"/>
      <c r="E609" s="65"/>
      <c r="F609" s="66"/>
      <c r="G609" s="62"/>
      <c r="H609" s="64"/>
      <c r="I609" s="62"/>
      <c r="J609" s="64"/>
      <c r="K609" s="93"/>
    </row>
    <row r="610" spans="2:11" s="61" customFormat="1" x14ac:dyDescent="0.3">
      <c r="B610" s="67"/>
      <c r="C610" s="63"/>
      <c r="D610" s="64"/>
      <c r="E610" s="65"/>
      <c r="F610" s="66"/>
      <c r="G610" s="62"/>
      <c r="H610" s="64"/>
      <c r="I610" s="62"/>
      <c r="J610" s="64"/>
      <c r="K610" s="93"/>
    </row>
    <row r="611" spans="2:11" s="61" customFormat="1" x14ac:dyDescent="0.3">
      <c r="B611" s="67"/>
      <c r="C611" s="63"/>
      <c r="D611" s="64"/>
      <c r="E611" s="65"/>
      <c r="F611" s="66"/>
      <c r="G611" s="62"/>
      <c r="H611" s="64"/>
      <c r="I611" s="62"/>
      <c r="J611" s="64"/>
      <c r="K611" s="93"/>
    </row>
    <row r="612" spans="2:11" s="61" customFormat="1" x14ac:dyDescent="0.3">
      <c r="B612" s="67"/>
      <c r="C612" s="63"/>
      <c r="D612" s="64"/>
      <c r="E612" s="65"/>
      <c r="F612" s="66"/>
      <c r="G612" s="62"/>
      <c r="H612" s="64"/>
      <c r="I612" s="62"/>
      <c r="J612" s="64"/>
      <c r="K612" s="93"/>
    </row>
    <row r="613" spans="2:11" s="61" customFormat="1" x14ac:dyDescent="0.3">
      <c r="B613" s="67"/>
      <c r="C613" s="63"/>
      <c r="D613" s="64"/>
      <c r="E613" s="65"/>
      <c r="F613" s="66"/>
      <c r="G613" s="62"/>
      <c r="H613" s="64"/>
      <c r="I613" s="62"/>
      <c r="J613" s="64"/>
      <c r="K613" s="93"/>
    </row>
    <row r="614" spans="2:11" s="61" customFormat="1" x14ac:dyDescent="0.3">
      <c r="B614" s="67"/>
      <c r="C614" s="63"/>
      <c r="D614" s="64"/>
      <c r="E614" s="65"/>
      <c r="F614" s="66"/>
      <c r="G614" s="62"/>
      <c r="H614" s="64"/>
      <c r="I614" s="62"/>
      <c r="J614" s="64"/>
      <c r="K614" s="93"/>
    </row>
    <row r="615" spans="2:11" s="61" customFormat="1" x14ac:dyDescent="0.3">
      <c r="B615" s="67"/>
      <c r="C615" s="63"/>
      <c r="D615" s="64"/>
      <c r="E615" s="65"/>
      <c r="F615" s="66"/>
      <c r="G615" s="62"/>
      <c r="H615" s="64"/>
      <c r="I615" s="62"/>
      <c r="J615" s="64"/>
      <c r="K615" s="93"/>
    </row>
    <row r="616" spans="2:11" s="61" customFormat="1" x14ac:dyDescent="0.3">
      <c r="B616" s="67"/>
      <c r="C616" s="63"/>
      <c r="D616" s="64"/>
      <c r="E616" s="65"/>
      <c r="F616" s="66"/>
      <c r="G616" s="62"/>
      <c r="H616" s="64"/>
      <c r="I616" s="62"/>
      <c r="J616" s="64"/>
      <c r="K616" s="93"/>
    </row>
    <row r="617" spans="2:11" s="61" customFormat="1" x14ac:dyDescent="0.3">
      <c r="B617" s="67"/>
      <c r="C617" s="63"/>
      <c r="D617" s="64"/>
      <c r="E617" s="65"/>
      <c r="F617" s="66"/>
      <c r="G617" s="62"/>
      <c r="H617" s="64"/>
      <c r="I617" s="62"/>
      <c r="J617" s="64"/>
      <c r="K617" s="93"/>
    </row>
    <row r="618" spans="2:11" s="61" customFormat="1" x14ac:dyDescent="0.3">
      <c r="B618" s="67"/>
      <c r="C618" s="63"/>
      <c r="D618" s="64"/>
      <c r="E618" s="65"/>
      <c r="F618" s="66"/>
      <c r="G618" s="62"/>
      <c r="H618" s="64"/>
      <c r="I618" s="62"/>
      <c r="J618" s="64"/>
      <c r="K618" s="93"/>
    </row>
    <row r="619" spans="2:11" s="61" customFormat="1" x14ac:dyDescent="0.3">
      <c r="B619" s="67"/>
      <c r="C619" s="63"/>
      <c r="D619" s="64"/>
      <c r="E619" s="65"/>
      <c r="F619" s="66"/>
      <c r="G619" s="62"/>
      <c r="H619" s="64"/>
      <c r="I619" s="62"/>
      <c r="J619" s="64"/>
      <c r="K619" s="93"/>
    </row>
    <row r="620" spans="2:11" s="61" customFormat="1" x14ac:dyDescent="0.3">
      <c r="B620" s="67"/>
      <c r="C620" s="63"/>
      <c r="D620" s="64"/>
      <c r="E620" s="65"/>
      <c r="F620" s="66"/>
      <c r="G620" s="62"/>
      <c r="H620" s="64"/>
      <c r="I620" s="62"/>
      <c r="J620" s="64"/>
      <c r="K620" s="93"/>
    </row>
    <row r="621" spans="2:11" s="61" customFormat="1" x14ac:dyDescent="0.3">
      <c r="B621" s="67"/>
      <c r="C621" s="63"/>
      <c r="D621" s="64"/>
      <c r="E621" s="65"/>
      <c r="F621" s="66"/>
      <c r="G621" s="62"/>
      <c r="H621" s="64"/>
      <c r="I621" s="62"/>
      <c r="J621" s="64"/>
      <c r="K621" s="93"/>
    </row>
    <row r="622" spans="2:11" s="61" customFormat="1" x14ac:dyDescent="0.3">
      <c r="B622" s="67"/>
      <c r="C622" s="63"/>
      <c r="D622" s="64"/>
      <c r="E622" s="65"/>
      <c r="F622" s="66"/>
      <c r="G622" s="62"/>
      <c r="H622" s="64"/>
      <c r="I622" s="62"/>
      <c r="J622" s="64"/>
      <c r="K622" s="93"/>
    </row>
    <row r="623" spans="2:11" s="61" customFormat="1" x14ac:dyDescent="0.3">
      <c r="B623" s="67"/>
      <c r="C623" s="63"/>
      <c r="D623" s="64"/>
      <c r="E623" s="65"/>
      <c r="F623" s="66"/>
      <c r="G623" s="62"/>
      <c r="H623" s="64"/>
      <c r="I623" s="62"/>
      <c r="J623" s="64"/>
      <c r="K623" s="93"/>
    </row>
    <row r="624" spans="2:11" s="61" customFormat="1" x14ac:dyDescent="0.3">
      <c r="B624" s="67"/>
      <c r="C624" s="63"/>
      <c r="D624" s="64"/>
      <c r="E624" s="65"/>
      <c r="F624" s="66"/>
      <c r="G624" s="62"/>
      <c r="H624" s="64"/>
      <c r="I624" s="62"/>
      <c r="J624" s="64"/>
      <c r="K624" s="93"/>
    </row>
    <row r="625" spans="2:11" s="61" customFormat="1" x14ac:dyDescent="0.3">
      <c r="B625" s="67"/>
      <c r="C625" s="63"/>
      <c r="D625" s="64"/>
      <c r="E625" s="65"/>
      <c r="F625" s="66"/>
      <c r="G625" s="62"/>
      <c r="H625" s="64"/>
      <c r="I625" s="62"/>
      <c r="J625" s="64"/>
      <c r="K625" s="93"/>
    </row>
    <row r="626" spans="2:11" s="61" customFormat="1" x14ac:dyDescent="0.3">
      <c r="B626" s="67"/>
      <c r="C626" s="63"/>
      <c r="D626" s="64"/>
      <c r="E626" s="65"/>
      <c r="F626" s="66"/>
      <c r="G626" s="62"/>
      <c r="H626" s="64"/>
      <c r="I626" s="62"/>
      <c r="J626" s="64"/>
      <c r="K626" s="93"/>
    </row>
    <row r="627" spans="2:11" s="61" customFormat="1" x14ac:dyDescent="0.3">
      <c r="B627" s="67"/>
      <c r="C627" s="63"/>
      <c r="D627" s="64"/>
      <c r="E627" s="65"/>
      <c r="F627" s="66"/>
      <c r="G627" s="62"/>
      <c r="H627" s="64"/>
      <c r="I627" s="62"/>
      <c r="J627" s="64"/>
      <c r="K627" s="93"/>
    </row>
    <row r="628" spans="2:11" s="61" customFormat="1" x14ac:dyDescent="0.3">
      <c r="B628" s="67"/>
      <c r="C628" s="63"/>
      <c r="D628" s="64"/>
      <c r="E628" s="65"/>
      <c r="F628" s="66"/>
      <c r="G628" s="62"/>
      <c r="H628" s="64"/>
      <c r="I628" s="62"/>
      <c r="J628" s="64"/>
      <c r="K628" s="93"/>
    </row>
    <row r="629" spans="2:11" s="61" customFormat="1" x14ac:dyDescent="0.3">
      <c r="B629" s="67"/>
      <c r="C629" s="63"/>
      <c r="D629" s="64"/>
      <c r="E629" s="65"/>
      <c r="F629" s="66"/>
      <c r="G629" s="62"/>
      <c r="H629" s="64"/>
      <c r="I629" s="62"/>
      <c r="J629" s="64"/>
      <c r="K629" s="93"/>
    </row>
    <row r="630" spans="2:11" s="61" customFormat="1" x14ac:dyDescent="0.3">
      <c r="B630" s="67"/>
      <c r="C630" s="63"/>
      <c r="D630" s="64"/>
      <c r="E630" s="65"/>
      <c r="F630" s="66"/>
      <c r="G630" s="62"/>
      <c r="H630" s="64"/>
      <c r="I630" s="62"/>
      <c r="J630" s="64"/>
      <c r="K630" s="93"/>
    </row>
    <row r="631" spans="2:11" s="61" customFormat="1" x14ac:dyDescent="0.3">
      <c r="B631" s="67"/>
      <c r="C631" s="63"/>
      <c r="D631" s="64"/>
      <c r="E631" s="65"/>
      <c r="F631" s="66"/>
      <c r="G631" s="62"/>
      <c r="H631" s="64"/>
      <c r="I631" s="62"/>
      <c r="J631" s="64"/>
      <c r="K631" s="93"/>
    </row>
    <row r="632" spans="2:11" s="61" customFormat="1" x14ac:dyDescent="0.3">
      <c r="B632" s="67"/>
      <c r="C632" s="63"/>
      <c r="D632" s="64"/>
      <c r="E632" s="65"/>
      <c r="F632" s="66"/>
      <c r="G632" s="62"/>
      <c r="H632" s="64"/>
      <c r="I632" s="62"/>
      <c r="J632" s="64"/>
      <c r="K632" s="93"/>
    </row>
    <row r="633" spans="2:11" s="61" customFormat="1" x14ac:dyDescent="0.3">
      <c r="B633" s="67"/>
      <c r="C633" s="63"/>
      <c r="D633" s="64"/>
      <c r="E633" s="65"/>
      <c r="F633" s="66"/>
      <c r="G633" s="62"/>
      <c r="H633" s="64"/>
      <c r="I633" s="62"/>
      <c r="J633" s="64"/>
      <c r="K633" s="93"/>
    </row>
    <row r="634" spans="2:11" s="61" customFormat="1" x14ac:dyDescent="0.3">
      <c r="B634" s="67"/>
      <c r="C634" s="63"/>
      <c r="D634" s="64"/>
      <c r="E634" s="65"/>
      <c r="F634" s="66"/>
      <c r="G634" s="62"/>
      <c r="H634" s="64"/>
      <c r="I634" s="62"/>
      <c r="J634" s="64"/>
      <c r="K634" s="93"/>
    </row>
    <row r="635" spans="2:11" s="61" customFormat="1" x14ac:dyDescent="0.3">
      <c r="B635" s="67"/>
      <c r="C635" s="63"/>
      <c r="D635" s="64"/>
      <c r="E635" s="65"/>
      <c r="F635" s="66"/>
      <c r="G635" s="62"/>
      <c r="H635" s="64"/>
      <c r="I635" s="62"/>
      <c r="J635" s="64"/>
      <c r="K635" s="93"/>
    </row>
    <row r="636" spans="2:11" s="61" customFormat="1" x14ac:dyDescent="0.3">
      <c r="B636" s="67"/>
      <c r="C636" s="63"/>
      <c r="D636" s="64"/>
      <c r="E636" s="65"/>
      <c r="F636" s="66"/>
      <c r="G636" s="62"/>
      <c r="H636" s="64"/>
      <c r="I636" s="62"/>
      <c r="J636" s="64"/>
      <c r="K636" s="93"/>
    </row>
    <row r="637" spans="2:11" s="61" customFormat="1" x14ac:dyDescent="0.3">
      <c r="B637" s="67"/>
      <c r="C637" s="63"/>
      <c r="D637" s="64"/>
      <c r="E637" s="65"/>
      <c r="F637" s="66"/>
      <c r="G637" s="62"/>
      <c r="H637" s="64"/>
      <c r="I637" s="62"/>
      <c r="J637" s="64"/>
      <c r="K637" s="93"/>
    </row>
    <row r="638" spans="2:11" s="61" customFormat="1" ht="16.350000000000001" customHeight="1" x14ac:dyDescent="0.3">
      <c r="B638" s="67"/>
      <c r="C638" s="63"/>
      <c r="D638" s="64"/>
      <c r="E638" s="65"/>
      <c r="F638" s="66"/>
      <c r="G638" s="62"/>
      <c r="H638" s="64"/>
      <c r="I638" s="62"/>
      <c r="J638" s="64"/>
      <c r="K638" s="93"/>
    </row>
    <row r="639" spans="2:11" s="61" customFormat="1" x14ac:dyDescent="0.3">
      <c r="B639" s="67"/>
      <c r="C639" s="63"/>
      <c r="D639" s="64"/>
      <c r="E639" s="65"/>
      <c r="F639" s="66"/>
      <c r="G639" s="62"/>
      <c r="H639" s="64"/>
      <c r="I639" s="62"/>
      <c r="J639" s="64"/>
      <c r="K639" s="93"/>
    </row>
    <row r="640" spans="2:11" s="61" customFormat="1" x14ac:dyDescent="0.3">
      <c r="B640" s="67"/>
      <c r="C640" s="63"/>
      <c r="D640" s="64"/>
      <c r="E640" s="65"/>
      <c r="F640" s="66"/>
      <c r="G640" s="62"/>
      <c r="H640" s="64"/>
      <c r="I640" s="62"/>
      <c r="J640" s="64"/>
      <c r="K640" s="93"/>
    </row>
    <row r="641" spans="2:11" s="61" customFormat="1" x14ac:dyDescent="0.3">
      <c r="B641" s="67"/>
      <c r="C641" s="63"/>
      <c r="D641" s="64"/>
      <c r="E641" s="65"/>
      <c r="F641" s="66"/>
      <c r="G641" s="62"/>
      <c r="H641" s="64"/>
      <c r="I641" s="62"/>
      <c r="J641" s="64"/>
      <c r="K641" s="93"/>
    </row>
    <row r="642" spans="2:11" s="61" customFormat="1" x14ac:dyDescent="0.3">
      <c r="B642" s="67"/>
      <c r="C642" s="63"/>
      <c r="D642" s="64"/>
      <c r="E642" s="65"/>
      <c r="F642" s="66"/>
      <c r="G642" s="62"/>
      <c r="H642" s="64"/>
      <c r="I642" s="62"/>
      <c r="J642" s="64"/>
      <c r="K642" s="93"/>
    </row>
    <row r="643" spans="2:11" s="61" customFormat="1" x14ac:dyDescent="0.3">
      <c r="B643" s="67"/>
      <c r="C643" s="63"/>
      <c r="D643" s="64"/>
      <c r="E643" s="65"/>
      <c r="F643" s="66"/>
      <c r="G643" s="62"/>
      <c r="H643" s="64"/>
      <c r="I643" s="62"/>
      <c r="J643" s="64"/>
      <c r="K643" s="93"/>
    </row>
    <row r="644" spans="2:11" s="61" customFormat="1" x14ac:dyDescent="0.3">
      <c r="B644" s="67"/>
      <c r="C644" s="63"/>
      <c r="D644" s="64"/>
      <c r="E644" s="65"/>
      <c r="F644" s="66"/>
      <c r="G644" s="62"/>
      <c r="H644" s="64"/>
      <c r="I644" s="62"/>
      <c r="J644" s="64"/>
      <c r="K644" s="93"/>
    </row>
    <row r="645" spans="2:11" s="61" customFormat="1" x14ac:dyDescent="0.3">
      <c r="B645" s="67"/>
      <c r="C645" s="63"/>
      <c r="D645" s="64"/>
      <c r="E645" s="65"/>
      <c r="F645" s="66"/>
      <c r="G645" s="62"/>
      <c r="H645" s="64"/>
      <c r="I645" s="62"/>
      <c r="J645" s="64"/>
      <c r="K645" s="93"/>
    </row>
    <row r="646" spans="2:11" s="61" customFormat="1" x14ac:dyDescent="0.3">
      <c r="B646" s="67"/>
      <c r="C646" s="63"/>
      <c r="D646" s="64"/>
      <c r="E646" s="65"/>
      <c r="F646" s="66"/>
      <c r="G646" s="62"/>
      <c r="H646" s="64"/>
      <c r="I646" s="62"/>
      <c r="J646" s="64"/>
      <c r="K646" s="93"/>
    </row>
    <row r="647" spans="2:11" s="61" customFormat="1" x14ac:dyDescent="0.3">
      <c r="B647" s="67"/>
      <c r="C647" s="63"/>
      <c r="D647" s="64"/>
      <c r="E647" s="65"/>
      <c r="F647" s="66"/>
      <c r="G647" s="62"/>
      <c r="H647" s="64"/>
      <c r="I647" s="62"/>
      <c r="J647" s="64"/>
      <c r="K647" s="93"/>
    </row>
    <row r="648" spans="2:11" s="61" customFormat="1" ht="16.350000000000001" customHeight="1" x14ac:dyDescent="0.3">
      <c r="B648" s="67"/>
      <c r="C648" s="63"/>
      <c r="D648" s="64"/>
      <c r="E648" s="65"/>
      <c r="F648" s="66"/>
      <c r="G648" s="62"/>
      <c r="H648" s="64"/>
      <c r="I648" s="62"/>
      <c r="J648" s="64"/>
      <c r="K648" s="93"/>
    </row>
    <row r="649" spans="2:11" s="61" customFormat="1" x14ac:dyDescent="0.3">
      <c r="B649" s="67"/>
      <c r="C649" s="63"/>
      <c r="D649" s="64"/>
      <c r="E649" s="65"/>
      <c r="F649" s="66"/>
      <c r="G649" s="62"/>
      <c r="H649" s="64"/>
      <c r="I649" s="62"/>
      <c r="J649" s="64"/>
      <c r="K649" s="93"/>
    </row>
    <row r="650" spans="2:11" s="61" customFormat="1" x14ac:dyDescent="0.3">
      <c r="B650" s="67"/>
      <c r="C650" s="63"/>
      <c r="D650" s="64"/>
      <c r="E650" s="65"/>
      <c r="F650" s="66"/>
      <c r="G650" s="62"/>
      <c r="H650" s="64"/>
      <c r="I650" s="62"/>
      <c r="J650" s="64"/>
      <c r="K650" s="93"/>
    </row>
    <row r="651" spans="2:11" s="61" customFormat="1" x14ac:dyDescent="0.3">
      <c r="B651" s="67"/>
      <c r="C651" s="63"/>
      <c r="D651" s="64"/>
      <c r="E651" s="65"/>
      <c r="F651" s="66"/>
      <c r="G651" s="62"/>
      <c r="H651" s="64"/>
      <c r="I651" s="62"/>
      <c r="J651" s="64"/>
      <c r="K651" s="93"/>
    </row>
    <row r="652" spans="2:11" s="61" customFormat="1" x14ac:dyDescent="0.3">
      <c r="B652" s="67"/>
      <c r="C652" s="63"/>
      <c r="D652" s="64"/>
      <c r="E652" s="65"/>
      <c r="F652" s="66"/>
      <c r="G652" s="62"/>
      <c r="H652" s="64"/>
      <c r="I652" s="62"/>
      <c r="J652" s="64"/>
      <c r="K652" s="93"/>
    </row>
    <row r="653" spans="2:11" s="61" customFormat="1" x14ac:dyDescent="0.3">
      <c r="B653" s="67"/>
      <c r="C653" s="63"/>
      <c r="D653" s="64"/>
      <c r="E653" s="65"/>
      <c r="F653" s="66"/>
      <c r="G653" s="62"/>
      <c r="H653" s="64"/>
      <c r="I653" s="62"/>
      <c r="J653" s="64"/>
      <c r="K653" s="93"/>
    </row>
    <row r="654" spans="2:11" s="61" customFormat="1" x14ac:dyDescent="0.3">
      <c r="B654" s="67"/>
      <c r="C654" s="63"/>
      <c r="D654" s="64"/>
      <c r="E654" s="65"/>
      <c r="F654" s="66"/>
      <c r="G654" s="62"/>
      <c r="H654" s="64"/>
      <c r="I654" s="62"/>
      <c r="J654" s="64"/>
      <c r="K654" s="93"/>
    </row>
    <row r="655" spans="2:11" s="61" customFormat="1" x14ac:dyDescent="0.3">
      <c r="B655" s="67"/>
      <c r="C655" s="63"/>
      <c r="D655" s="64"/>
      <c r="E655" s="65"/>
      <c r="F655" s="66"/>
      <c r="G655" s="62"/>
      <c r="H655" s="64"/>
      <c r="I655" s="62"/>
      <c r="J655" s="64"/>
      <c r="K655" s="93"/>
    </row>
    <row r="656" spans="2:11" s="61" customFormat="1" x14ac:dyDescent="0.3">
      <c r="B656" s="67"/>
      <c r="C656" s="63"/>
      <c r="D656" s="64"/>
      <c r="E656" s="65"/>
      <c r="F656" s="66"/>
      <c r="G656" s="62"/>
      <c r="H656" s="64"/>
      <c r="I656" s="62"/>
      <c r="J656" s="64"/>
      <c r="K656" s="93"/>
    </row>
    <row r="657" spans="2:11" s="61" customFormat="1" x14ac:dyDescent="0.3">
      <c r="B657" s="67"/>
      <c r="C657" s="63"/>
      <c r="D657" s="64"/>
      <c r="E657" s="65"/>
      <c r="F657" s="66"/>
      <c r="G657" s="62"/>
      <c r="H657" s="64"/>
      <c r="I657" s="62"/>
      <c r="J657" s="64"/>
      <c r="K657" s="93"/>
    </row>
    <row r="658" spans="2:11" s="61" customFormat="1" x14ac:dyDescent="0.3">
      <c r="B658" s="67"/>
      <c r="C658" s="63"/>
      <c r="D658" s="64"/>
      <c r="E658" s="65"/>
      <c r="F658" s="66"/>
      <c r="G658" s="62"/>
      <c r="H658" s="64"/>
      <c r="I658" s="62"/>
      <c r="J658" s="64"/>
      <c r="K658" s="93"/>
    </row>
    <row r="659" spans="2:11" s="61" customFormat="1" x14ac:dyDescent="0.3">
      <c r="B659" s="67"/>
      <c r="C659" s="63"/>
      <c r="D659" s="64"/>
      <c r="E659" s="65"/>
      <c r="F659" s="66"/>
      <c r="G659" s="62"/>
      <c r="H659" s="64"/>
      <c r="I659" s="62"/>
      <c r="J659" s="64"/>
      <c r="K659" s="93"/>
    </row>
    <row r="660" spans="2:11" s="61" customFormat="1" x14ac:dyDescent="0.3">
      <c r="B660" s="67"/>
      <c r="C660" s="63"/>
      <c r="D660" s="64"/>
      <c r="E660" s="65"/>
      <c r="F660" s="66"/>
      <c r="G660" s="62"/>
      <c r="H660" s="64"/>
      <c r="I660" s="62"/>
      <c r="J660" s="64"/>
      <c r="K660" s="93"/>
    </row>
    <row r="661" spans="2:11" s="61" customFormat="1" x14ac:dyDescent="0.3">
      <c r="B661" s="67"/>
      <c r="C661" s="63"/>
      <c r="D661" s="64"/>
      <c r="E661" s="65"/>
      <c r="F661" s="66"/>
      <c r="G661" s="62"/>
      <c r="H661" s="64"/>
      <c r="I661" s="62"/>
      <c r="J661" s="64"/>
      <c r="K661" s="93"/>
    </row>
    <row r="662" spans="2:11" s="61" customFormat="1" x14ac:dyDescent="0.3">
      <c r="B662" s="67"/>
      <c r="C662" s="63"/>
      <c r="D662" s="64"/>
      <c r="E662" s="65"/>
      <c r="F662" s="66"/>
      <c r="G662" s="62"/>
      <c r="H662" s="64"/>
      <c r="I662" s="62"/>
      <c r="J662" s="64"/>
      <c r="K662" s="93"/>
    </row>
    <row r="663" spans="2:11" s="61" customFormat="1" x14ac:dyDescent="0.3">
      <c r="B663" s="67"/>
      <c r="C663" s="63"/>
      <c r="D663" s="64"/>
      <c r="E663" s="65"/>
      <c r="F663" s="66"/>
      <c r="G663" s="62"/>
      <c r="H663" s="64"/>
      <c r="I663" s="62"/>
      <c r="J663" s="64"/>
      <c r="K663" s="93"/>
    </row>
    <row r="664" spans="2:11" s="61" customFormat="1" x14ac:dyDescent="0.3">
      <c r="B664" s="67"/>
      <c r="C664" s="63"/>
      <c r="D664" s="64"/>
      <c r="E664" s="65"/>
      <c r="F664" s="66"/>
      <c r="G664" s="62"/>
      <c r="H664" s="64"/>
      <c r="I664" s="62"/>
      <c r="J664" s="64"/>
      <c r="K664" s="93"/>
    </row>
    <row r="665" spans="2:11" s="61" customFormat="1" x14ac:dyDescent="0.3">
      <c r="B665" s="67"/>
      <c r="C665" s="63"/>
      <c r="D665" s="64"/>
      <c r="E665" s="65"/>
      <c r="F665" s="66"/>
      <c r="G665" s="62"/>
      <c r="H665" s="64"/>
      <c r="I665" s="62"/>
      <c r="J665" s="64"/>
      <c r="K665" s="93"/>
    </row>
    <row r="666" spans="2:11" s="61" customFormat="1" x14ac:dyDescent="0.3">
      <c r="B666" s="67"/>
      <c r="C666" s="63"/>
      <c r="D666" s="64"/>
      <c r="E666" s="65"/>
      <c r="F666" s="66"/>
      <c r="G666" s="62"/>
      <c r="H666" s="64"/>
      <c r="I666" s="62"/>
      <c r="J666" s="64"/>
      <c r="K666" s="93"/>
    </row>
    <row r="667" spans="2:11" s="61" customFormat="1" x14ac:dyDescent="0.3">
      <c r="B667" s="67"/>
      <c r="C667" s="63"/>
      <c r="D667" s="64"/>
      <c r="E667" s="65"/>
      <c r="F667" s="66"/>
      <c r="G667" s="62"/>
      <c r="H667" s="64"/>
      <c r="I667" s="62"/>
      <c r="J667" s="64"/>
      <c r="K667" s="93"/>
    </row>
    <row r="668" spans="2:11" s="61" customFormat="1" x14ac:dyDescent="0.3">
      <c r="B668" s="67"/>
      <c r="C668" s="63"/>
      <c r="D668" s="64"/>
      <c r="E668" s="65"/>
      <c r="F668" s="66"/>
      <c r="G668" s="62"/>
      <c r="H668" s="64"/>
      <c r="I668" s="62"/>
      <c r="J668" s="64"/>
      <c r="K668" s="93"/>
    </row>
    <row r="669" spans="2:11" s="61" customFormat="1" x14ac:dyDescent="0.3">
      <c r="B669" s="67"/>
      <c r="C669" s="63"/>
      <c r="D669" s="64"/>
      <c r="E669" s="65"/>
      <c r="F669" s="66"/>
      <c r="G669" s="62"/>
      <c r="H669" s="64"/>
      <c r="I669" s="62"/>
      <c r="J669" s="64"/>
      <c r="K669" s="93"/>
    </row>
    <row r="670" spans="2:11" s="61" customFormat="1" x14ac:dyDescent="0.3">
      <c r="B670" s="67"/>
      <c r="C670" s="63"/>
      <c r="D670" s="64"/>
      <c r="E670" s="65"/>
      <c r="F670" s="66"/>
      <c r="G670" s="62"/>
      <c r="H670" s="64"/>
      <c r="I670" s="62"/>
      <c r="J670" s="64"/>
      <c r="K670" s="93"/>
    </row>
    <row r="671" spans="2:11" s="61" customFormat="1" x14ac:dyDescent="0.3">
      <c r="B671" s="67"/>
      <c r="C671" s="63"/>
      <c r="D671" s="64"/>
      <c r="E671" s="65"/>
      <c r="F671" s="66"/>
      <c r="G671" s="62"/>
      <c r="H671" s="64"/>
      <c r="I671" s="62"/>
      <c r="J671" s="64"/>
      <c r="K671" s="93"/>
    </row>
    <row r="672" spans="2:11" s="61" customFormat="1" x14ac:dyDescent="0.3">
      <c r="B672" s="67"/>
      <c r="C672" s="63"/>
      <c r="D672" s="64"/>
      <c r="E672" s="65"/>
      <c r="F672" s="66"/>
      <c r="G672" s="62"/>
      <c r="H672" s="64"/>
      <c r="I672" s="62"/>
      <c r="J672" s="64"/>
      <c r="K672" s="93"/>
    </row>
    <row r="673" spans="2:11" s="61" customFormat="1" x14ac:dyDescent="0.3">
      <c r="B673" s="67"/>
      <c r="C673" s="63"/>
      <c r="D673" s="64"/>
      <c r="E673" s="65"/>
      <c r="F673" s="66"/>
      <c r="G673" s="62"/>
      <c r="H673" s="64"/>
      <c r="I673" s="62"/>
      <c r="J673" s="64"/>
      <c r="K673" s="93"/>
    </row>
    <row r="674" spans="2:11" s="61" customFormat="1" x14ac:dyDescent="0.3">
      <c r="B674" s="67"/>
      <c r="C674" s="63"/>
      <c r="D674" s="64"/>
      <c r="E674" s="65"/>
      <c r="F674" s="66"/>
      <c r="G674" s="62"/>
      <c r="H674" s="64"/>
      <c r="I674" s="62"/>
      <c r="J674" s="64"/>
      <c r="K674" s="93"/>
    </row>
    <row r="675" spans="2:11" s="61" customFormat="1" x14ac:dyDescent="0.3">
      <c r="B675" s="67"/>
      <c r="C675" s="63"/>
      <c r="D675" s="64"/>
      <c r="E675" s="65"/>
      <c r="F675" s="66"/>
      <c r="G675" s="62"/>
      <c r="H675" s="64"/>
      <c r="I675" s="62"/>
      <c r="J675" s="64"/>
      <c r="K675" s="93"/>
    </row>
    <row r="676" spans="2:11" s="61" customFormat="1" x14ac:dyDescent="0.3">
      <c r="B676" s="67"/>
      <c r="C676" s="63"/>
      <c r="D676" s="64"/>
      <c r="E676" s="65"/>
      <c r="F676" s="66"/>
      <c r="G676" s="62"/>
      <c r="H676" s="64"/>
      <c r="I676" s="62"/>
      <c r="J676" s="64"/>
      <c r="K676" s="93"/>
    </row>
    <row r="677" spans="2:11" s="61" customFormat="1" x14ac:dyDescent="0.3">
      <c r="B677" s="67"/>
      <c r="C677" s="63"/>
      <c r="D677" s="64"/>
      <c r="E677" s="65"/>
      <c r="F677" s="66"/>
      <c r="G677" s="62"/>
      <c r="H677" s="64"/>
      <c r="I677" s="62"/>
      <c r="J677" s="64"/>
      <c r="K677" s="93"/>
    </row>
    <row r="678" spans="2:11" s="61" customFormat="1" x14ac:dyDescent="0.3">
      <c r="B678" s="67"/>
      <c r="C678" s="63"/>
      <c r="D678" s="64"/>
      <c r="E678" s="65"/>
      <c r="F678" s="66"/>
      <c r="G678" s="62"/>
      <c r="H678" s="64"/>
      <c r="I678" s="62"/>
      <c r="J678" s="64"/>
      <c r="K678" s="93"/>
    </row>
    <row r="679" spans="2:11" s="61" customFormat="1" x14ac:dyDescent="0.3">
      <c r="B679" s="67"/>
      <c r="C679" s="63"/>
      <c r="D679" s="64"/>
      <c r="E679" s="65"/>
      <c r="F679" s="66"/>
      <c r="G679" s="62"/>
      <c r="H679" s="64"/>
      <c r="I679" s="62"/>
      <c r="J679" s="64"/>
      <c r="K679" s="93"/>
    </row>
    <row r="680" spans="2:11" s="61" customFormat="1" x14ac:dyDescent="0.3">
      <c r="B680" s="67"/>
      <c r="C680" s="63"/>
      <c r="D680" s="64"/>
      <c r="E680" s="65"/>
      <c r="F680" s="66"/>
      <c r="G680" s="62"/>
      <c r="H680" s="64"/>
      <c r="I680" s="62"/>
      <c r="J680" s="64"/>
      <c r="K680" s="93"/>
    </row>
    <row r="681" spans="2:11" s="61" customFormat="1" x14ac:dyDescent="0.3">
      <c r="B681" s="67"/>
      <c r="C681" s="63"/>
      <c r="D681" s="64"/>
      <c r="E681" s="65"/>
      <c r="F681" s="66"/>
      <c r="G681" s="62"/>
      <c r="H681" s="64"/>
      <c r="I681" s="62"/>
      <c r="J681" s="64"/>
      <c r="K681" s="93"/>
    </row>
    <row r="682" spans="2:11" s="61" customFormat="1" x14ac:dyDescent="0.3">
      <c r="B682" s="67"/>
      <c r="C682" s="63"/>
      <c r="D682" s="64"/>
      <c r="E682" s="65"/>
      <c r="F682" s="66"/>
      <c r="G682" s="62"/>
      <c r="H682" s="64"/>
      <c r="I682" s="62"/>
      <c r="J682" s="64"/>
      <c r="K682" s="93"/>
    </row>
    <row r="683" spans="2:11" s="61" customFormat="1" x14ac:dyDescent="0.3">
      <c r="B683" s="67"/>
      <c r="C683" s="63"/>
      <c r="D683" s="64"/>
      <c r="E683" s="65"/>
      <c r="F683" s="66"/>
      <c r="G683" s="62"/>
      <c r="H683" s="64"/>
      <c r="I683" s="62"/>
      <c r="J683" s="64"/>
      <c r="K683" s="93"/>
    </row>
    <row r="684" spans="2:11" s="61" customFormat="1" x14ac:dyDescent="0.3">
      <c r="B684" s="67"/>
      <c r="C684" s="63"/>
      <c r="D684" s="64"/>
      <c r="E684" s="65"/>
      <c r="F684" s="66"/>
      <c r="G684" s="62"/>
      <c r="H684" s="64"/>
      <c r="I684" s="62"/>
      <c r="J684" s="64"/>
      <c r="K684" s="93"/>
    </row>
    <row r="685" spans="2:11" s="61" customFormat="1" x14ac:dyDescent="0.3">
      <c r="B685" s="67"/>
      <c r="C685" s="63"/>
      <c r="D685" s="64"/>
      <c r="E685" s="65"/>
      <c r="F685" s="66"/>
      <c r="G685" s="62"/>
      <c r="H685" s="64"/>
      <c r="I685" s="62"/>
      <c r="J685" s="64"/>
      <c r="K685" s="93"/>
    </row>
    <row r="686" spans="2:11" s="61" customFormat="1" x14ac:dyDescent="0.3">
      <c r="B686" s="67"/>
      <c r="C686" s="63"/>
      <c r="D686" s="64"/>
      <c r="E686" s="65"/>
      <c r="F686" s="66"/>
      <c r="G686" s="62"/>
      <c r="H686" s="64"/>
      <c r="I686" s="62"/>
      <c r="J686" s="64"/>
      <c r="K686" s="93"/>
    </row>
    <row r="687" spans="2:11" s="61" customFormat="1" x14ac:dyDescent="0.3">
      <c r="B687" s="67"/>
      <c r="C687" s="63"/>
      <c r="D687" s="64"/>
      <c r="E687" s="65"/>
      <c r="F687" s="66"/>
      <c r="G687" s="62"/>
      <c r="H687" s="64"/>
      <c r="I687" s="62"/>
      <c r="J687" s="64"/>
      <c r="K687" s="93"/>
    </row>
    <row r="688" spans="2:11" s="61" customFormat="1" x14ac:dyDescent="0.3">
      <c r="B688" s="67"/>
      <c r="C688" s="63"/>
      <c r="D688" s="64"/>
      <c r="E688" s="65"/>
      <c r="F688" s="66"/>
      <c r="G688" s="62"/>
      <c r="H688" s="64"/>
      <c r="I688" s="62"/>
      <c r="J688" s="64"/>
      <c r="K688" s="93"/>
    </row>
    <row r="689" spans="2:11" s="61" customFormat="1" x14ac:dyDescent="0.3">
      <c r="B689" s="67"/>
      <c r="C689" s="63"/>
      <c r="D689" s="64"/>
      <c r="E689" s="65"/>
      <c r="F689" s="66"/>
      <c r="G689" s="62"/>
      <c r="H689" s="64"/>
      <c r="I689" s="62"/>
      <c r="J689" s="64"/>
      <c r="K689" s="93"/>
    </row>
    <row r="690" spans="2:11" s="61" customFormat="1" x14ac:dyDescent="0.3">
      <c r="B690" s="67"/>
      <c r="C690" s="63"/>
      <c r="D690" s="64"/>
      <c r="E690" s="65"/>
      <c r="F690" s="66"/>
      <c r="G690" s="62"/>
      <c r="H690" s="64"/>
      <c r="I690" s="62"/>
      <c r="J690" s="64"/>
      <c r="K690" s="93"/>
    </row>
    <row r="691" spans="2:11" s="61" customFormat="1" x14ac:dyDescent="0.3">
      <c r="B691" s="67"/>
      <c r="C691" s="63"/>
      <c r="D691" s="64"/>
      <c r="E691" s="65"/>
      <c r="F691" s="66"/>
      <c r="G691" s="62"/>
      <c r="H691" s="64"/>
      <c r="I691" s="62"/>
      <c r="J691" s="64"/>
      <c r="K691" s="93"/>
    </row>
    <row r="692" spans="2:11" s="61" customFormat="1" x14ac:dyDescent="0.3">
      <c r="B692" s="67"/>
      <c r="C692" s="63"/>
      <c r="D692" s="64"/>
      <c r="E692" s="65"/>
      <c r="F692" s="66"/>
      <c r="G692" s="62"/>
      <c r="H692" s="64"/>
      <c r="I692" s="62"/>
      <c r="J692" s="64"/>
      <c r="K692" s="93"/>
    </row>
    <row r="693" spans="2:11" s="61" customFormat="1" x14ac:dyDescent="0.3">
      <c r="B693" s="67"/>
      <c r="C693" s="63"/>
      <c r="D693" s="64"/>
      <c r="E693" s="65"/>
      <c r="F693" s="66"/>
      <c r="G693" s="62"/>
      <c r="H693" s="64"/>
      <c r="I693" s="62"/>
      <c r="J693" s="64"/>
      <c r="K693" s="93"/>
    </row>
    <row r="694" spans="2:11" s="61" customFormat="1" x14ac:dyDescent="0.3">
      <c r="B694" s="67"/>
      <c r="C694" s="63"/>
      <c r="D694" s="64"/>
      <c r="E694" s="65"/>
      <c r="F694" s="66"/>
      <c r="G694" s="62"/>
      <c r="H694" s="64"/>
      <c r="I694" s="62"/>
      <c r="J694" s="64"/>
      <c r="K694" s="93"/>
    </row>
    <row r="695" spans="2:11" s="61" customFormat="1" x14ac:dyDescent="0.3">
      <c r="B695" s="67"/>
      <c r="C695" s="63"/>
      <c r="D695" s="64"/>
      <c r="E695" s="65"/>
      <c r="F695" s="66"/>
      <c r="G695" s="62"/>
      <c r="H695" s="64"/>
      <c r="I695" s="62"/>
      <c r="J695" s="64"/>
      <c r="K695" s="93"/>
    </row>
    <row r="696" spans="2:11" s="61" customFormat="1" x14ac:dyDescent="0.3">
      <c r="B696" s="67"/>
      <c r="C696" s="63"/>
      <c r="D696" s="64"/>
      <c r="E696" s="65"/>
      <c r="F696" s="66"/>
      <c r="G696" s="62"/>
      <c r="H696" s="64"/>
      <c r="I696" s="62"/>
      <c r="J696" s="64"/>
      <c r="K696" s="93"/>
    </row>
    <row r="697" spans="2:11" s="61" customFormat="1" x14ac:dyDescent="0.3">
      <c r="B697" s="67"/>
      <c r="C697" s="63"/>
      <c r="D697" s="64"/>
      <c r="E697" s="65"/>
      <c r="F697" s="66"/>
      <c r="G697" s="62"/>
      <c r="H697" s="64"/>
      <c r="I697" s="62"/>
      <c r="J697" s="64"/>
      <c r="K697" s="93"/>
    </row>
    <row r="698" spans="2:11" s="61" customFormat="1" x14ac:dyDescent="0.3">
      <c r="B698" s="67"/>
      <c r="C698" s="63"/>
      <c r="D698" s="64"/>
      <c r="E698" s="65"/>
      <c r="F698" s="66"/>
      <c r="G698" s="62"/>
      <c r="H698" s="64"/>
      <c r="I698" s="62"/>
      <c r="J698" s="64"/>
      <c r="K698" s="93"/>
    </row>
    <row r="699" spans="2:11" s="61" customFormat="1" x14ac:dyDescent="0.3">
      <c r="B699" s="67"/>
      <c r="C699" s="63"/>
      <c r="D699" s="64"/>
      <c r="E699" s="65"/>
      <c r="F699" s="66"/>
      <c r="G699" s="62"/>
      <c r="H699" s="64"/>
      <c r="I699" s="62"/>
      <c r="J699" s="64"/>
      <c r="K699" s="93"/>
    </row>
    <row r="700" spans="2:11" s="61" customFormat="1" x14ac:dyDescent="0.3">
      <c r="B700" s="67"/>
      <c r="C700" s="63"/>
      <c r="D700" s="64"/>
      <c r="E700" s="65"/>
      <c r="F700" s="66"/>
      <c r="G700" s="62"/>
      <c r="H700" s="64"/>
      <c r="I700" s="62"/>
      <c r="J700" s="64"/>
      <c r="K700" s="93"/>
    </row>
    <row r="701" spans="2:11" s="61" customFormat="1" x14ac:dyDescent="0.3">
      <c r="B701" s="67"/>
      <c r="C701" s="63"/>
      <c r="D701" s="64"/>
      <c r="E701" s="65"/>
      <c r="F701" s="66"/>
      <c r="G701" s="62"/>
      <c r="H701" s="64"/>
      <c r="I701" s="62"/>
      <c r="J701" s="64"/>
      <c r="K701" s="93"/>
    </row>
    <row r="702" spans="2:11" s="61" customFormat="1" x14ac:dyDescent="0.3">
      <c r="B702" s="67"/>
      <c r="C702" s="63"/>
      <c r="D702" s="64"/>
      <c r="E702" s="65"/>
      <c r="F702" s="66"/>
      <c r="G702" s="62"/>
      <c r="H702" s="64"/>
      <c r="I702" s="62"/>
      <c r="J702" s="64"/>
      <c r="K702" s="93"/>
    </row>
    <row r="703" spans="2:11" s="61" customFormat="1" x14ac:dyDescent="0.3">
      <c r="B703" s="67"/>
      <c r="C703" s="63"/>
      <c r="D703" s="64"/>
      <c r="E703" s="65"/>
      <c r="F703" s="66"/>
      <c r="G703" s="62"/>
      <c r="H703" s="64"/>
      <c r="I703" s="62"/>
      <c r="J703" s="64"/>
      <c r="K703" s="93"/>
    </row>
    <row r="704" spans="2:11" s="61" customFormat="1" x14ac:dyDescent="0.3">
      <c r="B704" s="67"/>
      <c r="C704" s="63"/>
      <c r="D704" s="64"/>
      <c r="E704" s="65"/>
      <c r="F704" s="66"/>
      <c r="G704" s="62"/>
      <c r="H704" s="64"/>
      <c r="I704" s="62"/>
      <c r="J704" s="64"/>
      <c r="K704" s="93"/>
    </row>
    <row r="705" spans="2:11" s="61" customFormat="1" x14ac:dyDescent="0.3">
      <c r="B705" s="67"/>
      <c r="C705" s="63"/>
      <c r="D705" s="64"/>
      <c r="E705" s="65"/>
      <c r="F705" s="66"/>
      <c r="G705" s="62"/>
      <c r="H705" s="64"/>
      <c r="I705" s="62"/>
      <c r="J705" s="64"/>
      <c r="K705" s="93"/>
    </row>
    <row r="706" spans="2:11" s="61" customFormat="1" x14ac:dyDescent="0.3">
      <c r="B706" s="67"/>
      <c r="C706" s="63"/>
      <c r="D706" s="64"/>
      <c r="E706" s="65"/>
      <c r="F706" s="66"/>
      <c r="G706" s="62"/>
      <c r="H706" s="64"/>
      <c r="I706" s="62"/>
      <c r="J706" s="64"/>
      <c r="K706" s="93"/>
    </row>
    <row r="707" spans="2:11" s="61" customFormat="1" x14ac:dyDescent="0.3">
      <c r="B707" s="67"/>
      <c r="C707" s="63"/>
      <c r="D707" s="64"/>
      <c r="E707" s="65"/>
      <c r="F707" s="66"/>
      <c r="G707" s="62"/>
      <c r="H707" s="64"/>
      <c r="I707" s="62"/>
      <c r="J707" s="64"/>
      <c r="K707" s="93"/>
    </row>
    <row r="708" spans="2:11" s="61" customFormat="1" x14ac:dyDescent="0.3">
      <c r="B708" s="67"/>
      <c r="C708" s="63"/>
      <c r="D708" s="64"/>
      <c r="E708" s="65"/>
      <c r="F708" s="66"/>
      <c r="G708" s="62"/>
      <c r="H708" s="64"/>
      <c r="I708" s="62"/>
      <c r="J708" s="64"/>
      <c r="K708" s="93"/>
    </row>
    <row r="709" spans="2:11" s="61" customFormat="1" x14ac:dyDescent="0.3">
      <c r="B709" s="67"/>
      <c r="C709" s="63"/>
      <c r="D709" s="64"/>
      <c r="E709" s="65"/>
      <c r="F709" s="66"/>
      <c r="G709" s="62"/>
      <c r="H709" s="64"/>
      <c r="I709" s="62"/>
      <c r="J709" s="64"/>
      <c r="K709" s="93"/>
    </row>
    <row r="710" spans="2:11" s="61" customFormat="1" x14ac:dyDescent="0.3">
      <c r="B710" s="67"/>
      <c r="C710" s="63"/>
      <c r="D710" s="64"/>
      <c r="E710" s="65"/>
      <c r="F710" s="66"/>
      <c r="G710" s="62"/>
      <c r="H710" s="64"/>
      <c r="I710" s="62"/>
      <c r="J710" s="64"/>
      <c r="K710" s="93"/>
    </row>
    <row r="711" spans="2:11" s="61" customFormat="1" x14ac:dyDescent="0.3">
      <c r="B711" s="67"/>
      <c r="C711" s="63"/>
      <c r="D711" s="64"/>
      <c r="E711" s="65"/>
      <c r="F711" s="66"/>
      <c r="G711" s="62"/>
      <c r="H711" s="64"/>
      <c r="I711" s="62"/>
      <c r="J711" s="64"/>
      <c r="K711" s="93"/>
    </row>
    <row r="712" spans="2:11" s="61" customFormat="1" x14ac:dyDescent="0.3">
      <c r="B712" s="67"/>
      <c r="C712" s="63"/>
      <c r="D712" s="64"/>
      <c r="E712" s="65"/>
      <c r="F712" s="66"/>
      <c r="G712" s="62"/>
      <c r="H712" s="64"/>
      <c r="I712" s="62"/>
      <c r="J712" s="64"/>
      <c r="K712" s="93"/>
    </row>
    <row r="713" spans="2:11" s="61" customFormat="1" x14ac:dyDescent="0.3">
      <c r="B713" s="67"/>
      <c r="C713" s="63"/>
      <c r="D713" s="64"/>
      <c r="E713" s="65"/>
      <c r="F713" s="66"/>
      <c r="G713" s="62"/>
      <c r="H713" s="64"/>
      <c r="I713" s="62"/>
      <c r="J713" s="64"/>
      <c r="K713" s="93"/>
    </row>
    <row r="714" spans="2:11" s="61" customFormat="1" x14ac:dyDescent="0.3">
      <c r="B714" s="67"/>
      <c r="C714" s="63"/>
      <c r="D714" s="64"/>
      <c r="E714" s="65"/>
      <c r="F714" s="66"/>
      <c r="G714" s="62"/>
      <c r="H714" s="64"/>
      <c r="I714" s="62"/>
      <c r="J714" s="64"/>
      <c r="K714" s="93"/>
    </row>
    <row r="715" spans="2:11" s="61" customFormat="1" x14ac:dyDescent="0.3">
      <c r="B715" s="67"/>
      <c r="C715" s="63"/>
      <c r="D715" s="64"/>
      <c r="E715" s="65"/>
      <c r="F715" s="66"/>
      <c r="G715" s="62"/>
      <c r="H715" s="64"/>
      <c r="I715" s="62"/>
      <c r="J715" s="64"/>
      <c r="K715" s="93"/>
    </row>
    <row r="716" spans="2:11" s="61" customFormat="1" x14ac:dyDescent="0.3">
      <c r="B716" s="67"/>
      <c r="C716" s="63"/>
      <c r="D716" s="64"/>
      <c r="E716" s="65"/>
      <c r="F716" s="66"/>
      <c r="G716" s="62"/>
      <c r="H716" s="64"/>
      <c r="I716" s="62"/>
      <c r="J716" s="64"/>
      <c r="K716" s="93"/>
    </row>
    <row r="717" spans="2:11" s="61" customFormat="1" x14ac:dyDescent="0.3">
      <c r="B717" s="67"/>
      <c r="C717" s="63"/>
      <c r="D717" s="64"/>
      <c r="E717" s="65"/>
      <c r="F717" s="66"/>
      <c r="G717" s="62"/>
      <c r="H717" s="64"/>
      <c r="I717" s="62"/>
      <c r="J717" s="64"/>
      <c r="K717" s="93"/>
    </row>
    <row r="718" spans="2:11" s="61" customFormat="1" x14ac:dyDescent="0.3">
      <c r="B718" s="67"/>
      <c r="C718" s="63"/>
      <c r="D718" s="64"/>
      <c r="E718" s="65"/>
      <c r="F718" s="66"/>
      <c r="G718" s="62"/>
      <c r="H718" s="64"/>
      <c r="I718" s="62"/>
      <c r="J718" s="64"/>
      <c r="K718" s="93"/>
    </row>
    <row r="719" spans="2:11" s="61" customFormat="1" x14ac:dyDescent="0.3">
      <c r="B719" s="67"/>
      <c r="C719" s="63"/>
      <c r="D719" s="64"/>
      <c r="E719" s="65"/>
      <c r="F719" s="66"/>
      <c r="G719" s="62"/>
      <c r="H719" s="64"/>
      <c r="I719" s="62"/>
      <c r="J719" s="64"/>
      <c r="K719" s="93"/>
    </row>
    <row r="720" spans="2:11" s="61" customFormat="1" x14ac:dyDescent="0.3">
      <c r="B720" s="67"/>
      <c r="C720" s="63"/>
      <c r="D720" s="64"/>
      <c r="E720" s="65"/>
      <c r="F720" s="66"/>
      <c r="G720" s="62"/>
      <c r="H720" s="64"/>
      <c r="I720" s="62"/>
      <c r="J720" s="64"/>
      <c r="K720" s="93"/>
    </row>
    <row r="721" spans="2:11" s="61" customFormat="1" x14ac:dyDescent="0.3">
      <c r="B721" s="67"/>
      <c r="C721" s="63"/>
      <c r="D721" s="64"/>
      <c r="E721" s="65"/>
      <c r="F721" s="66"/>
      <c r="G721" s="62"/>
      <c r="H721" s="64"/>
      <c r="I721" s="62"/>
      <c r="J721" s="64"/>
      <c r="K721" s="93"/>
    </row>
    <row r="722" spans="2:11" s="61" customFormat="1" x14ac:dyDescent="0.3">
      <c r="B722" s="67"/>
      <c r="C722" s="63"/>
      <c r="D722" s="64"/>
      <c r="E722" s="65"/>
      <c r="F722" s="66"/>
      <c r="G722" s="62"/>
      <c r="H722" s="64"/>
      <c r="I722" s="62"/>
      <c r="J722" s="64"/>
      <c r="K722" s="93"/>
    </row>
    <row r="723" spans="2:11" s="61" customFormat="1" x14ac:dyDescent="0.3">
      <c r="B723" s="67"/>
      <c r="C723" s="63"/>
      <c r="D723" s="64"/>
      <c r="E723" s="65"/>
      <c r="F723" s="66"/>
      <c r="G723" s="62"/>
      <c r="H723" s="64"/>
      <c r="I723" s="62"/>
      <c r="J723" s="64"/>
      <c r="K723" s="93"/>
    </row>
    <row r="724" spans="2:11" s="61" customFormat="1" x14ac:dyDescent="0.3">
      <c r="B724" s="67"/>
      <c r="C724" s="63"/>
      <c r="D724" s="64"/>
      <c r="E724" s="65"/>
      <c r="F724" s="66"/>
      <c r="G724" s="62"/>
      <c r="H724" s="64"/>
      <c r="I724" s="62"/>
      <c r="J724" s="64"/>
      <c r="K724" s="93"/>
    </row>
    <row r="725" spans="2:11" s="61" customFormat="1" x14ac:dyDescent="0.3">
      <c r="B725" s="67"/>
      <c r="C725" s="63"/>
      <c r="D725" s="64"/>
      <c r="E725" s="65"/>
      <c r="F725" s="66"/>
      <c r="G725" s="62"/>
      <c r="H725" s="64"/>
      <c r="I725" s="62"/>
      <c r="J725" s="64"/>
      <c r="K725" s="93"/>
    </row>
    <row r="726" spans="2:11" s="61" customFormat="1" x14ac:dyDescent="0.3">
      <c r="B726" s="67"/>
      <c r="C726" s="63"/>
      <c r="D726" s="64"/>
      <c r="E726" s="65"/>
      <c r="F726" s="66"/>
      <c r="G726" s="62"/>
      <c r="H726" s="64"/>
      <c r="I726" s="62"/>
      <c r="J726" s="64"/>
      <c r="K726" s="93"/>
    </row>
    <row r="727" spans="2:11" s="61" customFormat="1" x14ac:dyDescent="0.3">
      <c r="B727" s="67"/>
      <c r="C727" s="63"/>
      <c r="D727" s="64"/>
      <c r="E727" s="65"/>
      <c r="F727" s="66"/>
      <c r="G727" s="62"/>
      <c r="H727" s="64"/>
      <c r="I727" s="62"/>
      <c r="J727" s="64"/>
      <c r="K727" s="93"/>
    </row>
    <row r="728" spans="2:11" s="61" customFormat="1" x14ac:dyDescent="0.3">
      <c r="B728" s="67"/>
      <c r="C728" s="63"/>
      <c r="D728" s="64"/>
      <c r="E728" s="65"/>
      <c r="F728" s="66"/>
      <c r="G728" s="62"/>
      <c r="H728" s="64"/>
      <c r="I728" s="62"/>
      <c r="J728" s="64"/>
      <c r="K728" s="93"/>
    </row>
    <row r="729" spans="2:11" s="61" customFormat="1" x14ac:dyDescent="0.3">
      <c r="B729" s="67"/>
      <c r="C729" s="63"/>
      <c r="D729" s="64"/>
      <c r="E729" s="65"/>
      <c r="F729" s="66"/>
      <c r="G729" s="62"/>
      <c r="H729" s="64"/>
      <c r="I729" s="62"/>
      <c r="J729" s="64"/>
      <c r="K729" s="93"/>
    </row>
    <row r="730" spans="2:11" s="61" customFormat="1" x14ac:dyDescent="0.3">
      <c r="B730" s="67"/>
      <c r="C730" s="63"/>
      <c r="D730" s="64"/>
      <c r="E730" s="65"/>
      <c r="F730" s="66"/>
      <c r="G730" s="62"/>
      <c r="H730" s="64"/>
      <c r="I730" s="62"/>
      <c r="J730" s="64"/>
      <c r="K730" s="93"/>
    </row>
    <row r="731" spans="2:11" s="61" customFormat="1" x14ac:dyDescent="0.3">
      <c r="B731" s="67"/>
      <c r="C731" s="63"/>
      <c r="D731" s="64"/>
      <c r="E731" s="65"/>
      <c r="F731" s="66"/>
      <c r="G731" s="62"/>
      <c r="H731" s="64"/>
      <c r="I731" s="62"/>
      <c r="J731" s="64"/>
      <c r="K731" s="93"/>
    </row>
    <row r="732" spans="2:11" s="61" customFormat="1" x14ac:dyDescent="0.3">
      <c r="B732" s="67"/>
      <c r="C732" s="63"/>
      <c r="D732" s="64"/>
      <c r="E732" s="65"/>
      <c r="F732" s="66"/>
      <c r="G732" s="62"/>
      <c r="H732" s="64"/>
      <c r="I732" s="62"/>
      <c r="J732" s="64"/>
      <c r="K732" s="93"/>
    </row>
    <row r="733" spans="2:11" s="61" customFormat="1" x14ac:dyDescent="0.3">
      <c r="B733" s="67"/>
      <c r="C733" s="63"/>
      <c r="D733" s="64"/>
      <c r="E733" s="65"/>
      <c r="F733" s="66"/>
      <c r="G733" s="62"/>
      <c r="H733" s="64"/>
      <c r="I733" s="62"/>
      <c r="J733" s="64"/>
      <c r="K733" s="93"/>
    </row>
    <row r="734" spans="2:11" s="61" customFormat="1" x14ac:dyDescent="0.3">
      <c r="B734" s="67"/>
      <c r="C734" s="63"/>
      <c r="D734" s="64"/>
      <c r="E734" s="65"/>
      <c r="F734" s="66"/>
      <c r="G734" s="62"/>
      <c r="H734" s="64"/>
      <c r="I734" s="62"/>
      <c r="J734" s="64"/>
      <c r="K734" s="93"/>
    </row>
    <row r="735" spans="2:11" s="61" customFormat="1" x14ac:dyDescent="0.3">
      <c r="B735" s="67"/>
      <c r="C735" s="63"/>
      <c r="D735" s="64"/>
      <c r="E735" s="65"/>
      <c r="F735" s="66"/>
      <c r="G735" s="62"/>
      <c r="H735" s="64"/>
      <c r="I735" s="62"/>
      <c r="J735" s="64"/>
      <c r="K735" s="93"/>
    </row>
    <row r="736" spans="2:11" s="61" customFormat="1" x14ac:dyDescent="0.3">
      <c r="B736" s="67"/>
      <c r="C736" s="63"/>
      <c r="D736" s="64"/>
      <c r="E736" s="65"/>
      <c r="F736" s="66"/>
      <c r="G736" s="62"/>
      <c r="H736" s="64"/>
      <c r="I736" s="62"/>
      <c r="J736" s="64"/>
      <c r="K736" s="93"/>
    </row>
    <row r="737" spans="2:11" s="61" customFormat="1" x14ac:dyDescent="0.3">
      <c r="B737" s="67"/>
      <c r="C737" s="63"/>
      <c r="D737" s="64"/>
      <c r="E737" s="65"/>
      <c r="F737" s="66"/>
      <c r="G737" s="62"/>
      <c r="H737" s="64"/>
      <c r="I737" s="62"/>
      <c r="J737" s="64"/>
      <c r="K737" s="93"/>
    </row>
    <row r="738" spans="2:11" s="61" customFormat="1" x14ac:dyDescent="0.3">
      <c r="B738" s="67"/>
      <c r="C738" s="63"/>
      <c r="D738" s="64"/>
      <c r="E738" s="65"/>
      <c r="F738" s="66"/>
      <c r="G738" s="62"/>
      <c r="H738" s="64"/>
      <c r="I738" s="62"/>
      <c r="J738" s="64"/>
      <c r="K738" s="93"/>
    </row>
    <row r="739" spans="2:11" s="61" customFormat="1" x14ac:dyDescent="0.3">
      <c r="B739" s="67"/>
      <c r="C739" s="63"/>
      <c r="D739" s="64"/>
      <c r="E739" s="65"/>
      <c r="F739" s="66"/>
      <c r="G739" s="62"/>
      <c r="H739" s="64"/>
      <c r="I739" s="62"/>
      <c r="J739" s="64"/>
      <c r="K739" s="93"/>
    </row>
    <row r="740" spans="2:11" s="61" customFormat="1" x14ac:dyDescent="0.3">
      <c r="B740" s="67"/>
      <c r="C740" s="63"/>
      <c r="D740" s="64"/>
      <c r="E740" s="65"/>
      <c r="F740" s="66"/>
      <c r="G740" s="62"/>
      <c r="H740" s="64"/>
      <c r="I740" s="62"/>
      <c r="J740" s="64"/>
      <c r="K740" s="93"/>
    </row>
    <row r="741" spans="2:11" s="61" customFormat="1" x14ac:dyDescent="0.3">
      <c r="B741" s="67"/>
      <c r="C741" s="63"/>
      <c r="D741" s="64"/>
      <c r="E741" s="65"/>
      <c r="F741" s="66"/>
      <c r="G741" s="62"/>
      <c r="H741" s="64"/>
      <c r="I741" s="62"/>
      <c r="J741" s="64"/>
      <c r="K741" s="93"/>
    </row>
    <row r="742" spans="2:11" s="61" customFormat="1" x14ac:dyDescent="0.3">
      <c r="B742" s="67"/>
      <c r="C742" s="63"/>
      <c r="D742" s="64"/>
      <c r="E742" s="65"/>
      <c r="F742" s="66"/>
      <c r="G742" s="62"/>
      <c r="H742" s="64"/>
      <c r="I742" s="62"/>
      <c r="J742" s="64"/>
      <c r="K742" s="93"/>
    </row>
    <row r="743" spans="2:11" s="61" customFormat="1" x14ac:dyDescent="0.3">
      <c r="B743" s="67"/>
      <c r="C743" s="63"/>
      <c r="D743" s="64"/>
      <c r="E743" s="65"/>
      <c r="F743" s="66"/>
      <c r="G743" s="62"/>
      <c r="H743" s="64"/>
      <c r="I743" s="62"/>
      <c r="J743" s="64"/>
      <c r="K743" s="93"/>
    </row>
    <row r="744" spans="2:11" s="61" customFormat="1" x14ac:dyDescent="0.3">
      <c r="B744" s="67"/>
      <c r="C744" s="63"/>
      <c r="D744" s="64"/>
      <c r="E744" s="65"/>
      <c r="F744" s="66"/>
      <c r="G744" s="62"/>
      <c r="H744" s="64"/>
      <c r="I744" s="62"/>
      <c r="J744" s="64"/>
      <c r="K744" s="93"/>
    </row>
    <row r="745" spans="2:11" s="61" customFormat="1" x14ac:dyDescent="0.3">
      <c r="B745" s="67"/>
      <c r="C745" s="63"/>
      <c r="D745" s="64"/>
      <c r="E745" s="65"/>
      <c r="F745" s="66"/>
      <c r="G745" s="62"/>
      <c r="H745" s="64"/>
      <c r="I745" s="62"/>
      <c r="J745" s="64"/>
      <c r="K745" s="93"/>
    </row>
    <row r="746" spans="2:11" s="61" customFormat="1" x14ac:dyDescent="0.3">
      <c r="B746" s="67"/>
      <c r="C746" s="63"/>
      <c r="D746" s="64"/>
      <c r="E746" s="65"/>
      <c r="F746" s="66"/>
      <c r="G746" s="62"/>
      <c r="H746" s="64"/>
      <c r="I746" s="62"/>
      <c r="J746" s="64"/>
      <c r="K746" s="93"/>
    </row>
    <row r="747" spans="2:11" s="61" customFormat="1" x14ac:dyDescent="0.3">
      <c r="B747" s="67"/>
      <c r="C747" s="63"/>
      <c r="D747" s="64"/>
      <c r="E747" s="65"/>
      <c r="F747" s="66"/>
      <c r="G747" s="62"/>
      <c r="H747" s="64"/>
      <c r="I747" s="62"/>
      <c r="J747" s="64"/>
      <c r="K747" s="93"/>
    </row>
    <row r="748" spans="2:11" s="61" customFormat="1" x14ac:dyDescent="0.3">
      <c r="B748" s="67"/>
      <c r="C748" s="63"/>
      <c r="D748" s="64"/>
      <c r="E748" s="65"/>
      <c r="F748" s="66"/>
      <c r="G748" s="62"/>
      <c r="H748" s="64"/>
      <c r="I748" s="62"/>
      <c r="J748" s="64"/>
      <c r="K748" s="93"/>
    </row>
    <row r="749" spans="2:11" s="61" customFormat="1" x14ac:dyDescent="0.3">
      <c r="B749" s="67"/>
      <c r="C749" s="63"/>
      <c r="D749" s="64"/>
      <c r="E749" s="65"/>
      <c r="F749" s="66"/>
      <c r="G749" s="62"/>
      <c r="H749" s="64"/>
      <c r="I749" s="62"/>
      <c r="J749" s="64"/>
      <c r="K749" s="93"/>
    </row>
    <row r="750" spans="2:11" s="61" customFormat="1" x14ac:dyDescent="0.3">
      <c r="B750" s="67"/>
      <c r="C750" s="63"/>
      <c r="D750" s="64"/>
      <c r="E750" s="65"/>
      <c r="F750" s="66"/>
      <c r="G750" s="62"/>
      <c r="H750" s="64"/>
      <c r="I750" s="62"/>
      <c r="J750" s="64"/>
      <c r="K750" s="93"/>
    </row>
    <row r="751" spans="2:11" s="61" customFormat="1" x14ac:dyDescent="0.3">
      <c r="B751" s="67"/>
      <c r="C751" s="63"/>
      <c r="D751" s="64"/>
      <c r="E751" s="65"/>
      <c r="F751" s="66"/>
      <c r="G751" s="62"/>
      <c r="H751" s="64"/>
      <c r="I751" s="62"/>
      <c r="J751" s="64"/>
      <c r="K751" s="93"/>
    </row>
    <row r="752" spans="2:11" s="61" customFormat="1" x14ac:dyDescent="0.3">
      <c r="B752" s="67"/>
      <c r="C752" s="63"/>
      <c r="D752" s="64"/>
      <c r="E752" s="65"/>
      <c r="F752" s="66"/>
      <c r="G752" s="62"/>
      <c r="H752" s="64"/>
      <c r="I752" s="62"/>
      <c r="J752" s="64"/>
      <c r="K752" s="93"/>
    </row>
    <row r="753" spans="2:11" s="61" customFormat="1" x14ac:dyDescent="0.3">
      <c r="B753" s="67"/>
      <c r="C753" s="63"/>
      <c r="D753" s="64"/>
      <c r="E753" s="65"/>
      <c r="F753" s="66"/>
      <c r="G753" s="62"/>
      <c r="H753" s="64"/>
      <c r="I753" s="62"/>
      <c r="J753" s="64"/>
      <c r="K753" s="93"/>
    </row>
    <row r="754" spans="2:11" s="61" customFormat="1" x14ac:dyDescent="0.3">
      <c r="B754" s="67"/>
      <c r="C754" s="63"/>
      <c r="D754" s="64"/>
      <c r="E754" s="65"/>
      <c r="F754" s="66"/>
      <c r="G754" s="62"/>
      <c r="H754" s="64"/>
      <c r="I754" s="62"/>
      <c r="J754" s="64"/>
      <c r="K754" s="93"/>
    </row>
    <row r="755" spans="2:11" s="61" customFormat="1" x14ac:dyDescent="0.3">
      <c r="B755" s="67"/>
      <c r="C755" s="63"/>
      <c r="D755" s="64"/>
      <c r="E755" s="65"/>
      <c r="F755" s="66"/>
      <c r="G755" s="62"/>
      <c r="H755" s="64"/>
      <c r="I755" s="62"/>
      <c r="J755" s="64"/>
      <c r="K755" s="93"/>
    </row>
    <row r="756" spans="2:11" s="61" customFormat="1" x14ac:dyDescent="0.3">
      <c r="B756" s="67"/>
      <c r="C756" s="63"/>
      <c r="D756" s="64"/>
      <c r="E756" s="65"/>
      <c r="F756" s="66"/>
      <c r="G756" s="62"/>
      <c r="H756" s="64"/>
      <c r="I756" s="62"/>
      <c r="J756" s="64"/>
      <c r="K756" s="93"/>
    </row>
    <row r="757" spans="2:11" s="61" customFormat="1" x14ac:dyDescent="0.3">
      <c r="B757" s="67"/>
      <c r="C757" s="63"/>
      <c r="D757" s="64"/>
      <c r="E757" s="65"/>
      <c r="F757" s="66"/>
      <c r="G757" s="62"/>
      <c r="H757" s="64"/>
      <c r="I757" s="62"/>
      <c r="J757" s="64"/>
      <c r="K757" s="93"/>
    </row>
    <row r="758" spans="2:11" s="61" customFormat="1" x14ac:dyDescent="0.3">
      <c r="B758" s="67"/>
      <c r="C758" s="63"/>
      <c r="D758" s="64"/>
      <c r="E758" s="65"/>
      <c r="F758" s="66"/>
      <c r="G758" s="62"/>
      <c r="H758" s="64"/>
      <c r="I758" s="62"/>
      <c r="J758" s="64"/>
      <c r="K758" s="93"/>
    </row>
    <row r="759" spans="2:11" s="68" customFormat="1" x14ac:dyDescent="0.3">
      <c r="B759" s="67"/>
      <c r="C759" s="63"/>
      <c r="D759" s="64"/>
      <c r="E759" s="65"/>
      <c r="F759" s="66"/>
      <c r="G759" s="62"/>
      <c r="H759" s="64"/>
      <c r="I759" s="62"/>
      <c r="J759" s="64"/>
      <c r="K759" s="94"/>
    </row>
    <row r="760" spans="2:11" s="69" customFormat="1" ht="15" customHeight="1" x14ac:dyDescent="0.3">
      <c r="B760" s="67"/>
      <c r="C760" s="63"/>
      <c r="D760" s="64"/>
      <c r="E760" s="65"/>
      <c r="F760" s="66"/>
      <c r="G760" s="62"/>
      <c r="H760" s="64"/>
      <c r="I760" s="62"/>
      <c r="J760" s="64"/>
      <c r="K760" s="95"/>
    </row>
    <row r="761" spans="2:11" s="69" customFormat="1" ht="15" customHeight="1" x14ac:dyDescent="0.3">
      <c r="B761" s="67"/>
      <c r="C761" s="63"/>
      <c r="D761" s="64"/>
      <c r="E761" s="65"/>
      <c r="F761" s="66"/>
      <c r="G761" s="62"/>
      <c r="H761" s="64"/>
      <c r="I761" s="62"/>
      <c r="J761" s="64"/>
      <c r="K761" s="95"/>
    </row>
    <row r="762" spans="2:11" s="69" customFormat="1" ht="15" customHeight="1" x14ac:dyDescent="0.3">
      <c r="B762" s="67"/>
      <c r="C762" s="63"/>
      <c r="D762" s="64"/>
      <c r="E762" s="65"/>
      <c r="F762" s="66"/>
      <c r="G762" s="62"/>
      <c r="H762" s="64"/>
      <c r="I762" s="62"/>
      <c r="J762" s="64"/>
      <c r="K762" s="95"/>
    </row>
    <row r="763" spans="2:11" s="69" customFormat="1" ht="15" customHeight="1" x14ac:dyDescent="0.3">
      <c r="B763" s="67"/>
      <c r="C763" s="63"/>
      <c r="D763" s="64"/>
      <c r="E763" s="65"/>
      <c r="F763" s="66"/>
      <c r="G763" s="62"/>
      <c r="H763" s="64"/>
      <c r="I763" s="62"/>
      <c r="J763" s="64"/>
      <c r="K763" s="95"/>
    </row>
    <row r="764" spans="2:11" s="69" customFormat="1" ht="15" customHeight="1" x14ac:dyDescent="0.3">
      <c r="B764" s="67"/>
      <c r="C764" s="63"/>
      <c r="D764" s="64"/>
      <c r="E764" s="65"/>
      <c r="F764" s="66"/>
      <c r="G764" s="62"/>
      <c r="H764" s="64"/>
      <c r="I764" s="62"/>
      <c r="J764" s="64"/>
      <c r="K764" s="95"/>
    </row>
    <row r="765" spans="2:11" s="69" customFormat="1" ht="15" customHeight="1" x14ac:dyDescent="0.3">
      <c r="B765" s="67"/>
      <c r="C765" s="63"/>
      <c r="D765" s="64"/>
      <c r="E765" s="65"/>
      <c r="F765" s="66"/>
      <c r="G765" s="62"/>
      <c r="H765" s="64"/>
      <c r="I765" s="62"/>
      <c r="J765" s="64"/>
      <c r="K765" s="95"/>
    </row>
    <row r="766" spans="2:11" s="70" customFormat="1" x14ac:dyDescent="0.3">
      <c r="B766" s="67"/>
      <c r="C766" s="63"/>
      <c r="D766" s="64"/>
      <c r="E766" s="65"/>
      <c r="F766" s="66"/>
      <c r="G766" s="62"/>
      <c r="H766" s="64"/>
      <c r="I766" s="62"/>
      <c r="J766" s="64"/>
      <c r="K766" s="96"/>
    </row>
    <row r="767" spans="2:11" s="70" customFormat="1" x14ac:dyDescent="0.3">
      <c r="B767" s="67"/>
      <c r="C767" s="63"/>
      <c r="D767" s="64"/>
      <c r="E767" s="65"/>
      <c r="F767" s="66"/>
      <c r="G767" s="62"/>
      <c r="H767" s="64"/>
      <c r="I767" s="62"/>
      <c r="J767" s="64"/>
      <c r="K767" s="96"/>
    </row>
    <row r="768" spans="2:11" s="61" customFormat="1" x14ac:dyDescent="0.3">
      <c r="B768" s="67"/>
      <c r="C768" s="63"/>
      <c r="D768" s="64"/>
      <c r="E768" s="65"/>
      <c r="F768" s="66"/>
      <c r="G768" s="62"/>
      <c r="H768" s="64"/>
      <c r="I768" s="62"/>
      <c r="J768" s="64"/>
      <c r="K768" s="93"/>
    </row>
    <row r="769" spans="2:11" s="61" customFormat="1" x14ac:dyDescent="0.3">
      <c r="B769" s="67"/>
      <c r="C769" s="63"/>
      <c r="D769" s="64"/>
      <c r="E769" s="65"/>
      <c r="F769" s="66"/>
      <c r="G769" s="62"/>
      <c r="H769" s="64"/>
      <c r="I769" s="62"/>
      <c r="J769" s="64"/>
      <c r="K769" s="93"/>
    </row>
    <row r="770" spans="2:11" s="61" customFormat="1" x14ac:dyDescent="0.3">
      <c r="B770" s="67"/>
      <c r="C770" s="63"/>
      <c r="D770" s="64"/>
      <c r="E770" s="65"/>
      <c r="F770" s="66"/>
      <c r="G770" s="62"/>
      <c r="H770" s="64"/>
      <c r="I770" s="62"/>
      <c r="J770" s="64"/>
      <c r="K770" s="93"/>
    </row>
    <row r="771" spans="2:11" s="61" customFormat="1" x14ac:dyDescent="0.3">
      <c r="B771" s="67"/>
      <c r="C771" s="63"/>
      <c r="D771" s="64"/>
      <c r="E771" s="65"/>
      <c r="F771" s="66"/>
      <c r="G771" s="62"/>
      <c r="H771" s="64"/>
      <c r="I771" s="62"/>
      <c r="J771" s="64"/>
      <c r="K771" s="93"/>
    </row>
    <row r="772" spans="2:11" s="61" customFormat="1" x14ac:dyDescent="0.3">
      <c r="B772" s="67"/>
      <c r="C772" s="63"/>
      <c r="D772" s="64"/>
      <c r="E772" s="65"/>
      <c r="F772" s="66"/>
      <c r="G772" s="62"/>
      <c r="H772" s="64"/>
      <c r="I772" s="62"/>
      <c r="J772" s="64"/>
      <c r="K772" s="93"/>
    </row>
    <row r="773" spans="2:11" s="61" customFormat="1" x14ac:dyDescent="0.3">
      <c r="B773" s="67"/>
      <c r="C773" s="63"/>
      <c r="D773" s="64"/>
      <c r="E773" s="65"/>
      <c r="F773" s="66"/>
      <c r="G773" s="62"/>
      <c r="H773" s="64"/>
      <c r="I773" s="62"/>
      <c r="J773" s="64"/>
      <c r="K773" s="93"/>
    </row>
    <row r="774" spans="2:11" s="61" customFormat="1" x14ac:dyDescent="0.3">
      <c r="B774" s="67"/>
      <c r="C774" s="63"/>
      <c r="D774" s="64"/>
      <c r="E774" s="65"/>
      <c r="F774" s="66"/>
      <c r="G774" s="62"/>
      <c r="H774" s="64"/>
      <c r="I774" s="62"/>
      <c r="J774" s="64"/>
      <c r="K774" s="93"/>
    </row>
    <row r="775" spans="2:11" s="61" customFormat="1" x14ac:dyDescent="0.3">
      <c r="B775" s="67"/>
      <c r="C775" s="63"/>
      <c r="D775" s="64"/>
      <c r="E775" s="65"/>
      <c r="F775" s="66"/>
      <c r="G775" s="62"/>
      <c r="H775" s="64"/>
      <c r="I775" s="62"/>
      <c r="J775" s="64"/>
      <c r="K775" s="93"/>
    </row>
    <row r="776" spans="2:11" s="61" customFormat="1" x14ac:dyDescent="0.3">
      <c r="B776" s="67"/>
      <c r="C776" s="63"/>
      <c r="D776" s="64"/>
      <c r="E776" s="65"/>
      <c r="F776" s="66"/>
      <c r="G776" s="62"/>
      <c r="H776" s="64"/>
      <c r="I776" s="62"/>
      <c r="J776" s="64"/>
      <c r="K776" s="93"/>
    </row>
    <row r="777" spans="2:11" s="61" customFormat="1" x14ac:dyDescent="0.3">
      <c r="B777" s="67"/>
      <c r="C777" s="63"/>
      <c r="D777" s="64"/>
      <c r="E777" s="65"/>
      <c r="F777" s="66"/>
      <c r="G777" s="62"/>
      <c r="H777" s="64"/>
      <c r="I777" s="62"/>
      <c r="J777" s="64"/>
      <c r="K777" s="93"/>
    </row>
    <row r="778" spans="2:11" s="61" customFormat="1" x14ac:dyDescent="0.3">
      <c r="B778" s="67"/>
      <c r="C778" s="63"/>
      <c r="D778" s="64"/>
      <c r="E778" s="65"/>
      <c r="F778" s="66"/>
      <c r="G778" s="62"/>
      <c r="H778" s="64"/>
      <c r="I778" s="62"/>
      <c r="J778" s="64"/>
      <c r="K778" s="93"/>
    </row>
    <row r="779" spans="2:11" s="61" customFormat="1" x14ac:dyDescent="0.3">
      <c r="B779" s="67"/>
      <c r="C779" s="63"/>
      <c r="D779" s="64"/>
      <c r="E779" s="65"/>
      <c r="F779" s="66"/>
      <c r="G779" s="62"/>
      <c r="H779" s="64"/>
      <c r="I779" s="62"/>
      <c r="J779" s="64"/>
      <c r="K779" s="93"/>
    </row>
    <row r="780" spans="2:11" s="61" customFormat="1" x14ac:dyDescent="0.3">
      <c r="B780" s="67"/>
      <c r="C780" s="63"/>
      <c r="D780" s="64"/>
      <c r="E780" s="65"/>
      <c r="F780" s="66"/>
      <c r="G780" s="62"/>
      <c r="H780" s="64"/>
      <c r="I780" s="62"/>
      <c r="J780" s="64"/>
      <c r="K780" s="93"/>
    </row>
    <row r="781" spans="2:11" s="61" customFormat="1" x14ac:dyDescent="0.3">
      <c r="B781" s="67"/>
      <c r="C781" s="63"/>
      <c r="D781" s="64"/>
      <c r="E781" s="65"/>
      <c r="F781" s="66"/>
      <c r="G781" s="62"/>
      <c r="H781" s="64"/>
      <c r="I781" s="62"/>
      <c r="J781" s="64"/>
      <c r="K781" s="93"/>
    </row>
    <row r="782" spans="2:11" s="61" customFormat="1" x14ac:dyDescent="0.3">
      <c r="B782" s="67"/>
      <c r="C782" s="63"/>
      <c r="D782" s="64"/>
      <c r="E782" s="65"/>
      <c r="F782" s="66"/>
      <c r="G782" s="62"/>
      <c r="H782" s="64"/>
      <c r="I782" s="62"/>
      <c r="J782" s="64"/>
      <c r="K782" s="93"/>
    </row>
    <row r="783" spans="2:11" s="61" customFormat="1" x14ac:dyDescent="0.3">
      <c r="B783" s="67"/>
      <c r="C783" s="63"/>
      <c r="D783" s="64"/>
      <c r="E783" s="65"/>
      <c r="F783" s="66"/>
      <c r="G783" s="62"/>
      <c r="H783" s="64"/>
      <c r="I783" s="62"/>
      <c r="J783" s="64"/>
      <c r="K783" s="93"/>
    </row>
    <row r="784" spans="2:11" s="61" customFormat="1" x14ac:dyDescent="0.3">
      <c r="B784" s="67"/>
      <c r="C784" s="63"/>
      <c r="D784" s="64"/>
      <c r="E784" s="65"/>
      <c r="F784" s="66"/>
      <c r="G784" s="62"/>
      <c r="H784" s="64"/>
      <c r="I784" s="62"/>
      <c r="J784" s="64"/>
      <c r="K784" s="93"/>
    </row>
    <row r="785" spans="2:11" s="61" customFormat="1" x14ac:dyDescent="0.3">
      <c r="B785" s="67"/>
      <c r="C785" s="63"/>
      <c r="D785" s="64"/>
      <c r="E785" s="65"/>
      <c r="F785" s="66"/>
      <c r="G785" s="62"/>
      <c r="H785" s="64"/>
      <c r="I785" s="62"/>
      <c r="J785" s="64"/>
      <c r="K785" s="93"/>
    </row>
    <row r="786" spans="2:11" s="61" customFormat="1" x14ac:dyDescent="0.3">
      <c r="B786" s="67"/>
      <c r="C786" s="63"/>
      <c r="D786" s="64"/>
      <c r="E786" s="65"/>
      <c r="F786" s="66"/>
      <c r="G786" s="62"/>
      <c r="H786" s="64"/>
      <c r="I786" s="62"/>
      <c r="J786" s="64"/>
      <c r="K786" s="93"/>
    </row>
    <row r="787" spans="2:11" s="61" customFormat="1" x14ac:dyDescent="0.3">
      <c r="B787" s="67"/>
      <c r="C787" s="63"/>
      <c r="D787" s="64"/>
      <c r="E787" s="65"/>
      <c r="F787" s="66"/>
      <c r="G787" s="62"/>
      <c r="H787" s="64"/>
      <c r="I787" s="62"/>
      <c r="J787" s="64"/>
      <c r="K787" s="93"/>
    </row>
    <row r="788" spans="2:11" s="61" customFormat="1" x14ac:dyDescent="0.3">
      <c r="B788" s="67"/>
      <c r="C788" s="63"/>
      <c r="D788" s="64"/>
      <c r="E788" s="65"/>
      <c r="F788" s="66"/>
      <c r="G788" s="62"/>
      <c r="H788" s="64"/>
      <c r="I788" s="62"/>
      <c r="J788" s="64"/>
      <c r="K788" s="93"/>
    </row>
    <row r="789" spans="2:11" s="61" customFormat="1" x14ac:dyDescent="0.3">
      <c r="B789" s="67"/>
      <c r="C789" s="63"/>
      <c r="D789" s="64"/>
      <c r="E789" s="65"/>
      <c r="F789" s="66"/>
      <c r="G789" s="62"/>
      <c r="H789" s="64"/>
      <c r="I789" s="62"/>
      <c r="J789" s="64"/>
      <c r="K789" s="93"/>
    </row>
    <row r="790" spans="2:11" s="61" customFormat="1" x14ac:dyDescent="0.3">
      <c r="B790" s="67"/>
      <c r="C790" s="63"/>
      <c r="D790" s="64"/>
      <c r="E790" s="65"/>
      <c r="F790" s="66"/>
      <c r="G790" s="62"/>
      <c r="H790" s="64"/>
      <c r="I790" s="62"/>
      <c r="J790" s="64"/>
      <c r="K790" s="93"/>
    </row>
    <row r="791" spans="2:11" s="61" customFormat="1" x14ac:dyDescent="0.3">
      <c r="B791" s="67"/>
      <c r="C791" s="63"/>
      <c r="D791" s="64"/>
      <c r="E791" s="65"/>
      <c r="F791" s="66"/>
      <c r="G791" s="62"/>
      <c r="H791" s="64"/>
      <c r="I791" s="62"/>
      <c r="J791" s="64"/>
      <c r="K791" s="93"/>
    </row>
    <row r="792" spans="2:11" s="61" customFormat="1" x14ac:dyDescent="0.3">
      <c r="B792" s="67"/>
      <c r="C792" s="63"/>
      <c r="D792" s="64"/>
      <c r="E792" s="65"/>
      <c r="F792" s="66"/>
      <c r="G792" s="62"/>
      <c r="H792" s="64"/>
      <c r="I792" s="62"/>
      <c r="J792" s="64"/>
      <c r="K792" s="93"/>
    </row>
    <row r="793" spans="2:11" s="61" customFormat="1" x14ac:dyDescent="0.3">
      <c r="B793" s="67"/>
      <c r="C793" s="63"/>
      <c r="D793" s="64"/>
      <c r="E793" s="65"/>
      <c r="F793" s="66"/>
      <c r="G793" s="62"/>
      <c r="H793" s="64"/>
      <c r="I793" s="62"/>
      <c r="J793" s="64"/>
      <c r="K793" s="93"/>
    </row>
    <row r="794" spans="2:11" s="61" customFormat="1" x14ac:dyDescent="0.3">
      <c r="B794" s="67"/>
      <c r="C794" s="63"/>
      <c r="D794" s="64"/>
      <c r="E794" s="65"/>
      <c r="F794" s="66"/>
      <c r="G794" s="62"/>
      <c r="H794" s="64"/>
      <c r="I794" s="62"/>
      <c r="J794" s="64"/>
      <c r="K794" s="93"/>
    </row>
    <row r="795" spans="2:11" s="61" customFormat="1" x14ac:dyDescent="0.3">
      <c r="B795" s="67"/>
      <c r="C795" s="63"/>
      <c r="D795" s="64"/>
      <c r="E795" s="65"/>
      <c r="F795" s="66"/>
      <c r="G795" s="62"/>
      <c r="H795" s="64"/>
      <c r="I795" s="62"/>
      <c r="J795" s="64"/>
      <c r="K795" s="93"/>
    </row>
    <row r="796" spans="2:11" s="61" customFormat="1" x14ac:dyDescent="0.3">
      <c r="B796" s="67"/>
      <c r="C796" s="63"/>
      <c r="D796" s="64"/>
      <c r="E796" s="65"/>
      <c r="F796" s="66"/>
      <c r="G796" s="62"/>
      <c r="H796" s="64"/>
      <c r="I796" s="62"/>
      <c r="J796" s="64"/>
      <c r="K796" s="93"/>
    </row>
    <row r="797" spans="2:11" s="61" customFormat="1" x14ac:dyDescent="0.3">
      <c r="B797" s="67"/>
      <c r="C797" s="63"/>
      <c r="D797" s="64"/>
      <c r="E797" s="65"/>
      <c r="F797" s="66"/>
      <c r="G797" s="62"/>
      <c r="H797" s="64"/>
      <c r="I797" s="62"/>
      <c r="J797" s="64"/>
      <c r="K797" s="93"/>
    </row>
    <row r="798" spans="2:11" s="61" customFormat="1" x14ac:dyDescent="0.3">
      <c r="B798" s="67"/>
      <c r="C798" s="63"/>
      <c r="D798" s="64"/>
      <c r="E798" s="65"/>
      <c r="F798" s="66"/>
      <c r="G798" s="62"/>
      <c r="H798" s="64"/>
      <c r="I798" s="62"/>
      <c r="J798" s="64"/>
      <c r="K798" s="93"/>
    </row>
    <row r="799" spans="2:11" s="61" customFormat="1" x14ac:dyDescent="0.3">
      <c r="B799" s="67"/>
      <c r="C799" s="63"/>
      <c r="D799" s="64"/>
      <c r="E799" s="65"/>
      <c r="F799" s="66"/>
      <c r="G799" s="62"/>
      <c r="H799" s="64"/>
      <c r="I799" s="62"/>
      <c r="J799" s="64"/>
      <c r="K799" s="93"/>
    </row>
    <row r="800" spans="2:11" s="61" customFormat="1" x14ac:dyDescent="0.3">
      <c r="B800" s="67"/>
      <c r="C800" s="63"/>
      <c r="D800" s="64"/>
      <c r="E800" s="65"/>
      <c r="F800" s="66"/>
      <c r="G800" s="62"/>
      <c r="H800" s="64"/>
      <c r="I800" s="62"/>
      <c r="J800" s="64"/>
      <c r="K800" s="93"/>
    </row>
    <row r="801" spans="2:11" s="61" customFormat="1" x14ac:dyDescent="0.3">
      <c r="B801" s="67"/>
      <c r="C801" s="63"/>
      <c r="D801" s="64"/>
      <c r="E801" s="65"/>
      <c r="F801" s="66"/>
      <c r="G801" s="62"/>
      <c r="H801" s="64"/>
      <c r="I801" s="62"/>
      <c r="J801" s="64"/>
      <c r="K801" s="93"/>
    </row>
    <row r="802" spans="2:11" s="61" customFormat="1" x14ac:dyDescent="0.3">
      <c r="B802" s="67"/>
      <c r="C802" s="63"/>
      <c r="D802" s="64"/>
      <c r="E802" s="65"/>
      <c r="F802" s="66"/>
      <c r="G802" s="62"/>
      <c r="H802" s="64"/>
      <c r="I802" s="62"/>
      <c r="J802" s="64"/>
      <c r="K802" s="93"/>
    </row>
    <row r="803" spans="2:11" s="61" customFormat="1" x14ac:dyDescent="0.3">
      <c r="B803" s="67"/>
      <c r="C803" s="63"/>
      <c r="D803" s="64"/>
      <c r="E803" s="65"/>
      <c r="F803" s="66"/>
      <c r="G803" s="62"/>
      <c r="H803" s="64"/>
      <c r="I803" s="62"/>
      <c r="J803" s="64"/>
      <c r="K803" s="93"/>
    </row>
    <row r="804" spans="2:11" s="61" customFormat="1" x14ac:dyDescent="0.3">
      <c r="B804" s="67"/>
      <c r="C804" s="63"/>
      <c r="D804" s="64"/>
      <c r="E804" s="65"/>
      <c r="F804" s="66"/>
      <c r="G804" s="62"/>
      <c r="H804" s="64"/>
      <c r="I804" s="62"/>
      <c r="J804" s="64"/>
      <c r="K804" s="93"/>
    </row>
    <row r="805" spans="2:11" s="61" customFormat="1" x14ac:dyDescent="0.3">
      <c r="B805" s="67"/>
      <c r="C805" s="63"/>
      <c r="D805" s="64"/>
      <c r="E805" s="65"/>
      <c r="F805" s="66"/>
      <c r="G805" s="62"/>
      <c r="H805" s="64"/>
      <c r="I805" s="62"/>
      <c r="J805" s="64"/>
      <c r="K805" s="93"/>
    </row>
    <row r="806" spans="2:11" s="61" customFormat="1" x14ac:dyDescent="0.3">
      <c r="B806" s="67"/>
      <c r="C806" s="63"/>
      <c r="D806" s="64"/>
      <c r="E806" s="65"/>
      <c r="F806" s="66"/>
      <c r="G806" s="62"/>
      <c r="H806" s="64"/>
      <c r="I806" s="62"/>
      <c r="J806" s="64"/>
      <c r="K806" s="93"/>
    </row>
    <row r="807" spans="2:11" s="61" customFormat="1" x14ac:dyDescent="0.3">
      <c r="B807" s="67"/>
      <c r="C807" s="63"/>
      <c r="D807" s="64"/>
      <c r="E807" s="65"/>
      <c r="F807" s="66"/>
      <c r="G807" s="62"/>
      <c r="H807" s="64"/>
      <c r="I807" s="62"/>
      <c r="J807" s="64"/>
      <c r="K807" s="93"/>
    </row>
    <row r="808" spans="2:11" s="61" customFormat="1" x14ac:dyDescent="0.3">
      <c r="B808" s="67"/>
      <c r="C808" s="63"/>
      <c r="D808" s="64"/>
      <c r="E808" s="65"/>
      <c r="F808" s="66"/>
      <c r="G808" s="62"/>
      <c r="H808" s="64"/>
      <c r="I808" s="62"/>
      <c r="J808" s="64"/>
      <c r="K808" s="93"/>
    </row>
    <row r="809" spans="2:11" s="61" customFormat="1" x14ac:dyDescent="0.3">
      <c r="B809" s="67"/>
      <c r="C809" s="63"/>
      <c r="D809" s="64"/>
      <c r="E809" s="65"/>
      <c r="F809" s="66"/>
      <c r="G809" s="62"/>
      <c r="H809" s="64"/>
      <c r="I809" s="62"/>
      <c r="J809" s="64"/>
      <c r="K809" s="93"/>
    </row>
    <row r="810" spans="2:11" s="61" customFormat="1" x14ac:dyDescent="0.3">
      <c r="B810" s="67"/>
      <c r="C810" s="63"/>
      <c r="D810" s="64"/>
      <c r="E810" s="65"/>
      <c r="F810" s="66"/>
      <c r="G810" s="62"/>
      <c r="H810" s="64"/>
      <c r="I810" s="62"/>
      <c r="J810" s="64"/>
      <c r="K810" s="93"/>
    </row>
    <row r="811" spans="2:11" s="61" customFormat="1" x14ac:dyDescent="0.3">
      <c r="B811" s="67"/>
      <c r="C811" s="63"/>
      <c r="D811" s="64"/>
      <c r="E811" s="65"/>
      <c r="F811" s="66"/>
      <c r="G811" s="62"/>
      <c r="H811" s="64"/>
      <c r="I811" s="62"/>
      <c r="J811" s="64"/>
      <c r="K811" s="93"/>
    </row>
    <row r="812" spans="2:11" s="61" customFormat="1" x14ac:dyDescent="0.3">
      <c r="B812" s="67"/>
      <c r="C812" s="63"/>
      <c r="D812" s="64"/>
      <c r="E812" s="65"/>
      <c r="F812" s="66"/>
      <c r="G812" s="62"/>
      <c r="H812" s="64"/>
      <c r="I812" s="62"/>
      <c r="J812" s="64"/>
      <c r="K812" s="93"/>
    </row>
    <row r="813" spans="2:11" s="61" customFormat="1" x14ac:dyDescent="0.3">
      <c r="B813" s="67"/>
      <c r="C813" s="63"/>
      <c r="D813" s="64"/>
      <c r="E813" s="65"/>
      <c r="F813" s="66"/>
      <c r="G813" s="62"/>
      <c r="H813" s="64"/>
      <c r="I813" s="62"/>
      <c r="J813" s="64"/>
      <c r="K813" s="93"/>
    </row>
    <row r="814" spans="2:11" s="61" customFormat="1" x14ac:dyDescent="0.3">
      <c r="B814" s="67"/>
      <c r="C814" s="63"/>
      <c r="D814" s="64"/>
      <c r="E814" s="65"/>
      <c r="F814" s="66"/>
      <c r="G814" s="62"/>
      <c r="H814" s="64"/>
      <c r="I814" s="62"/>
      <c r="J814" s="64"/>
      <c r="K814" s="93"/>
    </row>
    <row r="815" spans="2:11" s="61" customFormat="1" x14ac:dyDescent="0.3">
      <c r="B815" s="67"/>
      <c r="C815" s="63"/>
      <c r="D815" s="64"/>
      <c r="E815" s="65"/>
      <c r="F815" s="66"/>
      <c r="G815" s="62"/>
      <c r="H815" s="64"/>
      <c r="I815" s="62"/>
      <c r="J815" s="64"/>
      <c r="K815" s="93"/>
    </row>
    <row r="816" spans="2:11" s="61" customFormat="1" x14ac:dyDescent="0.3">
      <c r="B816" s="67"/>
      <c r="C816" s="63"/>
      <c r="D816" s="64"/>
      <c r="E816" s="65"/>
      <c r="F816" s="66"/>
      <c r="G816" s="62"/>
      <c r="H816" s="64"/>
      <c r="I816" s="62"/>
      <c r="J816" s="64"/>
      <c r="K816" s="93"/>
    </row>
    <row r="817" spans="2:11" s="61" customFormat="1" x14ac:dyDescent="0.3">
      <c r="B817" s="67"/>
      <c r="C817" s="63"/>
      <c r="D817" s="64"/>
      <c r="E817" s="65"/>
      <c r="F817" s="66"/>
      <c r="G817" s="62"/>
      <c r="H817" s="64"/>
      <c r="I817" s="62"/>
      <c r="J817" s="64"/>
      <c r="K817" s="93"/>
    </row>
    <row r="818" spans="2:11" s="61" customFormat="1" x14ac:dyDescent="0.3">
      <c r="B818" s="67"/>
      <c r="C818" s="63"/>
      <c r="D818" s="64"/>
      <c r="E818" s="65"/>
      <c r="F818" s="66"/>
      <c r="G818" s="62"/>
      <c r="H818" s="64"/>
      <c r="I818" s="62"/>
      <c r="J818" s="64"/>
      <c r="K818" s="93"/>
    </row>
    <row r="819" spans="2:11" s="61" customFormat="1" x14ac:dyDescent="0.3">
      <c r="B819" s="67"/>
      <c r="C819" s="63"/>
      <c r="D819" s="64"/>
      <c r="E819" s="65"/>
      <c r="F819" s="66"/>
      <c r="G819" s="62"/>
      <c r="H819" s="64"/>
      <c r="I819" s="62"/>
      <c r="J819" s="64"/>
      <c r="K819" s="93"/>
    </row>
    <row r="820" spans="2:11" s="61" customFormat="1" x14ac:dyDescent="0.3">
      <c r="B820" s="67"/>
      <c r="C820" s="63"/>
      <c r="D820" s="64"/>
      <c r="E820" s="65"/>
      <c r="F820" s="66"/>
      <c r="G820" s="62"/>
      <c r="H820" s="64"/>
      <c r="I820" s="62"/>
      <c r="J820" s="64"/>
      <c r="K820" s="93"/>
    </row>
    <row r="821" spans="2:11" s="61" customFormat="1" ht="36" customHeight="1" x14ac:dyDescent="0.3">
      <c r="B821" s="67"/>
      <c r="C821" s="63"/>
      <c r="D821" s="64"/>
      <c r="E821" s="65"/>
      <c r="F821" s="66"/>
      <c r="G821" s="62"/>
      <c r="H821" s="64"/>
      <c r="I821" s="62"/>
      <c r="J821" s="64"/>
      <c r="K821" s="93"/>
    </row>
    <row r="822" spans="2:11" s="61" customFormat="1" x14ac:dyDescent="0.3">
      <c r="B822" s="67"/>
      <c r="C822" s="63"/>
      <c r="D822" s="64"/>
      <c r="E822" s="65"/>
      <c r="F822" s="66"/>
      <c r="G822" s="62"/>
      <c r="H822" s="64"/>
      <c r="I822" s="62"/>
      <c r="J822" s="64"/>
      <c r="K822" s="93"/>
    </row>
    <row r="823" spans="2:11" s="61" customFormat="1" x14ac:dyDescent="0.3">
      <c r="B823" s="67"/>
      <c r="C823" s="63"/>
      <c r="D823" s="64"/>
      <c r="E823" s="65"/>
      <c r="F823" s="66"/>
      <c r="G823" s="62"/>
      <c r="H823" s="64"/>
      <c r="I823" s="62"/>
      <c r="J823" s="64"/>
      <c r="K823" s="93"/>
    </row>
    <row r="824" spans="2:11" s="61" customFormat="1" x14ac:dyDescent="0.3">
      <c r="B824" s="67"/>
      <c r="C824" s="63"/>
      <c r="D824" s="64"/>
      <c r="E824" s="65"/>
      <c r="F824" s="66"/>
      <c r="G824" s="62"/>
      <c r="H824" s="64"/>
      <c r="I824" s="62"/>
      <c r="J824" s="64"/>
      <c r="K824" s="93"/>
    </row>
    <row r="825" spans="2:11" s="61" customFormat="1" x14ac:dyDescent="0.3">
      <c r="B825" s="67"/>
      <c r="C825" s="63"/>
      <c r="D825" s="64"/>
      <c r="E825" s="65"/>
      <c r="F825" s="66"/>
      <c r="G825" s="62"/>
      <c r="H825" s="64"/>
      <c r="I825" s="62"/>
      <c r="J825" s="64"/>
      <c r="K825" s="93"/>
    </row>
    <row r="826" spans="2:11" s="61" customFormat="1" x14ac:dyDescent="0.3">
      <c r="B826" s="67"/>
      <c r="C826" s="63"/>
      <c r="D826" s="64"/>
      <c r="E826" s="65"/>
      <c r="F826" s="66"/>
      <c r="G826" s="62"/>
      <c r="H826" s="64"/>
      <c r="I826" s="62"/>
      <c r="J826" s="64"/>
      <c r="K826" s="93"/>
    </row>
    <row r="827" spans="2:11" s="61" customFormat="1" x14ac:dyDescent="0.3">
      <c r="B827" s="67"/>
      <c r="C827" s="63"/>
      <c r="D827" s="64"/>
      <c r="E827" s="65"/>
      <c r="F827" s="66"/>
      <c r="G827" s="62"/>
      <c r="H827" s="64"/>
      <c r="I827" s="62"/>
      <c r="J827" s="64"/>
      <c r="K827" s="93"/>
    </row>
    <row r="828" spans="2:11" s="61" customFormat="1" x14ac:dyDescent="0.3">
      <c r="B828" s="67"/>
      <c r="C828" s="63"/>
      <c r="D828" s="64"/>
      <c r="E828" s="65"/>
      <c r="F828" s="66"/>
      <c r="G828" s="62"/>
      <c r="H828" s="64"/>
      <c r="I828" s="62"/>
      <c r="J828" s="64"/>
      <c r="K828" s="93"/>
    </row>
    <row r="829" spans="2:11" s="61" customFormat="1" x14ac:dyDescent="0.3">
      <c r="B829" s="67"/>
      <c r="C829" s="63"/>
      <c r="D829" s="64"/>
      <c r="E829" s="65"/>
      <c r="F829" s="66"/>
      <c r="G829" s="62"/>
      <c r="H829" s="64"/>
      <c r="I829" s="62"/>
      <c r="J829" s="64"/>
      <c r="K829" s="93"/>
    </row>
    <row r="830" spans="2:11" s="61" customFormat="1" x14ac:dyDescent="0.3">
      <c r="B830" s="67"/>
      <c r="C830" s="63"/>
      <c r="D830" s="64"/>
      <c r="E830" s="65"/>
      <c r="F830" s="66"/>
      <c r="G830" s="62"/>
      <c r="H830" s="64"/>
      <c r="I830" s="62"/>
      <c r="J830" s="64"/>
      <c r="K830" s="93"/>
    </row>
    <row r="831" spans="2:11" s="61" customFormat="1" x14ac:dyDescent="0.3">
      <c r="B831" s="67"/>
      <c r="C831" s="63"/>
      <c r="D831" s="64"/>
      <c r="E831" s="65"/>
      <c r="F831" s="66"/>
      <c r="G831" s="62"/>
      <c r="H831" s="64"/>
      <c r="I831" s="62"/>
      <c r="J831" s="64"/>
      <c r="K831" s="93"/>
    </row>
    <row r="832" spans="2:11" s="61" customFormat="1" x14ac:dyDescent="0.3">
      <c r="B832" s="67"/>
      <c r="C832" s="63"/>
      <c r="D832" s="64"/>
      <c r="E832" s="65"/>
      <c r="F832" s="66"/>
      <c r="G832" s="62"/>
      <c r="H832" s="64"/>
      <c r="I832" s="62"/>
      <c r="J832" s="64"/>
      <c r="K832" s="93"/>
    </row>
    <row r="833" spans="2:11" s="61" customFormat="1" x14ac:dyDescent="0.3">
      <c r="B833" s="67"/>
      <c r="C833" s="63"/>
      <c r="D833" s="64"/>
      <c r="E833" s="65"/>
      <c r="F833" s="66"/>
      <c r="G833" s="62"/>
      <c r="H833" s="64"/>
      <c r="I833" s="62"/>
      <c r="J833" s="64"/>
      <c r="K833" s="93"/>
    </row>
    <row r="834" spans="2:11" s="61" customFormat="1" x14ac:dyDescent="0.3">
      <c r="B834" s="67"/>
      <c r="C834" s="63"/>
      <c r="D834" s="64"/>
      <c r="E834" s="65"/>
      <c r="F834" s="66"/>
      <c r="G834" s="62"/>
      <c r="H834" s="64"/>
      <c r="I834" s="62"/>
      <c r="J834" s="64"/>
      <c r="K834" s="93"/>
    </row>
    <row r="835" spans="2:11" s="61" customFormat="1" x14ac:dyDescent="0.3">
      <c r="B835" s="67"/>
      <c r="C835" s="63"/>
      <c r="D835" s="64"/>
      <c r="E835" s="65"/>
      <c r="F835" s="66"/>
      <c r="G835" s="62"/>
      <c r="H835" s="64"/>
      <c r="I835" s="62"/>
      <c r="J835" s="64"/>
      <c r="K835" s="93"/>
    </row>
    <row r="836" spans="2:11" s="61" customFormat="1" x14ac:dyDescent="0.3">
      <c r="B836" s="67"/>
      <c r="C836" s="63"/>
      <c r="D836" s="64"/>
      <c r="E836" s="65"/>
      <c r="F836" s="66"/>
      <c r="G836" s="62"/>
      <c r="H836" s="64"/>
      <c r="I836" s="62"/>
      <c r="J836" s="64"/>
      <c r="K836" s="93"/>
    </row>
    <row r="837" spans="2:11" s="61" customFormat="1" x14ac:dyDescent="0.3">
      <c r="B837" s="67"/>
      <c r="C837" s="63"/>
      <c r="D837" s="64"/>
      <c r="E837" s="65"/>
      <c r="F837" s="66"/>
      <c r="G837" s="62"/>
      <c r="H837" s="64"/>
      <c r="I837" s="62"/>
      <c r="J837" s="64"/>
      <c r="K837" s="93"/>
    </row>
    <row r="838" spans="2:11" s="61" customFormat="1" x14ac:dyDescent="0.3">
      <c r="B838" s="67"/>
      <c r="C838" s="63"/>
      <c r="D838" s="64"/>
      <c r="E838" s="65"/>
      <c r="F838" s="66"/>
      <c r="G838" s="62"/>
      <c r="H838" s="64"/>
      <c r="I838" s="62"/>
      <c r="J838" s="64"/>
      <c r="K838" s="93"/>
    </row>
    <row r="839" spans="2:11" s="61" customFormat="1" x14ac:dyDescent="0.3">
      <c r="B839" s="67"/>
      <c r="C839" s="63"/>
      <c r="D839" s="64"/>
      <c r="E839" s="65"/>
      <c r="F839" s="66"/>
      <c r="G839" s="62"/>
      <c r="H839" s="64"/>
      <c r="I839" s="62"/>
      <c r="J839" s="64"/>
      <c r="K839" s="93"/>
    </row>
    <row r="840" spans="2:11" s="61" customFormat="1" x14ac:dyDescent="0.3">
      <c r="B840" s="67"/>
      <c r="C840" s="63"/>
      <c r="D840" s="64"/>
      <c r="E840" s="65"/>
      <c r="F840" s="66"/>
      <c r="G840" s="62"/>
      <c r="H840" s="64"/>
      <c r="I840" s="62"/>
      <c r="J840" s="64"/>
      <c r="K840" s="93"/>
    </row>
    <row r="841" spans="2:11" s="61" customFormat="1" x14ac:dyDescent="0.3">
      <c r="B841" s="67"/>
      <c r="C841" s="63"/>
      <c r="D841" s="64"/>
      <c r="E841" s="65"/>
      <c r="F841" s="66"/>
      <c r="G841" s="62"/>
      <c r="H841" s="64"/>
      <c r="I841" s="62"/>
      <c r="J841" s="64"/>
      <c r="K841" s="93"/>
    </row>
    <row r="842" spans="2:11" s="61" customFormat="1" x14ac:dyDescent="0.3">
      <c r="B842" s="67"/>
      <c r="C842" s="63"/>
      <c r="D842" s="64"/>
      <c r="E842" s="65"/>
      <c r="F842" s="66"/>
      <c r="G842" s="62"/>
      <c r="H842" s="64"/>
      <c r="I842" s="62"/>
      <c r="J842" s="64"/>
      <c r="K842" s="93"/>
    </row>
    <row r="843" spans="2:11" s="61" customFormat="1" x14ac:dyDescent="0.3">
      <c r="B843" s="67"/>
      <c r="C843" s="63"/>
      <c r="D843" s="64"/>
      <c r="E843" s="65"/>
      <c r="F843" s="66"/>
      <c r="G843" s="62"/>
      <c r="H843" s="64"/>
      <c r="I843" s="62"/>
      <c r="J843" s="64"/>
      <c r="K843" s="93"/>
    </row>
    <row r="844" spans="2:11" s="61" customFormat="1" x14ac:dyDescent="0.3">
      <c r="B844" s="67"/>
      <c r="C844" s="63"/>
      <c r="D844" s="64"/>
      <c r="E844" s="65"/>
      <c r="F844" s="66"/>
      <c r="G844" s="62"/>
      <c r="H844" s="64"/>
      <c r="I844" s="62"/>
      <c r="J844" s="64"/>
      <c r="K844" s="93"/>
    </row>
    <row r="845" spans="2:11" s="61" customFormat="1" x14ac:dyDescent="0.3">
      <c r="B845" s="67"/>
      <c r="C845" s="63"/>
      <c r="D845" s="64"/>
      <c r="E845" s="65"/>
      <c r="F845" s="66"/>
      <c r="G845" s="62"/>
      <c r="H845" s="64"/>
      <c r="I845" s="62"/>
      <c r="J845" s="64"/>
      <c r="K845" s="93"/>
    </row>
    <row r="846" spans="2:11" s="61" customFormat="1" x14ac:dyDescent="0.3">
      <c r="B846" s="67"/>
      <c r="C846" s="63"/>
      <c r="D846" s="64"/>
      <c r="E846" s="65"/>
      <c r="F846" s="66"/>
      <c r="G846" s="62"/>
      <c r="H846" s="64"/>
      <c r="I846" s="62"/>
      <c r="J846" s="64"/>
      <c r="K846" s="93"/>
    </row>
    <row r="847" spans="2:11" s="61" customFormat="1" x14ac:dyDescent="0.3">
      <c r="B847" s="67"/>
      <c r="C847" s="63"/>
      <c r="D847" s="64"/>
      <c r="E847" s="65"/>
      <c r="F847" s="66"/>
      <c r="G847" s="62"/>
      <c r="H847" s="64"/>
      <c r="I847" s="62"/>
      <c r="J847" s="64"/>
      <c r="K847" s="93"/>
    </row>
    <row r="848" spans="2:11" s="61" customFormat="1" x14ac:dyDescent="0.3">
      <c r="B848" s="67"/>
      <c r="C848" s="63"/>
      <c r="D848" s="64"/>
      <c r="E848" s="65"/>
      <c r="F848" s="66"/>
      <c r="G848" s="62"/>
      <c r="H848" s="64"/>
      <c r="I848" s="62"/>
      <c r="J848" s="64"/>
      <c r="K848" s="93"/>
    </row>
    <row r="849" spans="2:11" s="61" customFormat="1" x14ac:dyDescent="0.3">
      <c r="B849" s="67"/>
      <c r="C849" s="63"/>
      <c r="D849" s="64"/>
      <c r="E849" s="65"/>
      <c r="F849" s="66"/>
      <c r="G849" s="62"/>
      <c r="H849" s="64"/>
      <c r="I849" s="62"/>
      <c r="J849" s="64"/>
      <c r="K849" s="93"/>
    </row>
    <row r="850" spans="2:11" s="61" customFormat="1" x14ac:dyDescent="0.3">
      <c r="B850" s="67"/>
      <c r="C850" s="63"/>
      <c r="D850" s="64"/>
      <c r="E850" s="65"/>
      <c r="F850" s="66"/>
      <c r="G850" s="62"/>
      <c r="H850" s="64"/>
      <c r="I850" s="62"/>
      <c r="J850" s="64"/>
      <c r="K850" s="93"/>
    </row>
    <row r="851" spans="2:11" s="61" customFormat="1" x14ac:dyDescent="0.3">
      <c r="B851" s="67"/>
      <c r="C851" s="63"/>
      <c r="D851" s="64"/>
      <c r="E851" s="65"/>
      <c r="F851" s="66"/>
      <c r="G851" s="62"/>
      <c r="H851" s="64"/>
      <c r="I851" s="62"/>
      <c r="J851" s="64"/>
      <c r="K851" s="93"/>
    </row>
    <row r="852" spans="2:11" s="61" customFormat="1" x14ac:dyDescent="0.3">
      <c r="B852" s="67"/>
      <c r="C852" s="63"/>
      <c r="D852" s="64"/>
      <c r="E852" s="65"/>
      <c r="F852" s="66"/>
      <c r="G852" s="62"/>
      <c r="H852" s="64"/>
      <c r="I852" s="62"/>
      <c r="J852" s="64"/>
      <c r="K852" s="93"/>
    </row>
    <row r="853" spans="2:11" s="61" customFormat="1" x14ac:dyDescent="0.3">
      <c r="B853" s="67"/>
      <c r="C853" s="63"/>
      <c r="D853" s="64"/>
      <c r="E853" s="65"/>
      <c r="F853" s="66"/>
      <c r="G853" s="62"/>
      <c r="H853" s="64"/>
      <c r="I853" s="62"/>
      <c r="J853" s="64"/>
      <c r="K853" s="93"/>
    </row>
    <row r="854" spans="2:11" s="61" customFormat="1" x14ac:dyDescent="0.3">
      <c r="B854" s="67"/>
      <c r="C854" s="63"/>
      <c r="D854" s="64"/>
      <c r="E854" s="65"/>
      <c r="F854" s="66"/>
      <c r="G854" s="62"/>
      <c r="H854" s="64"/>
      <c r="I854" s="62"/>
      <c r="J854" s="64"/>
      <c r="K854" s="93"/>
    </row>
    <row r="855" spans="2:11" s="61" customFormat="1" x14ac:dyDescent="0.3">
      <c r="B855" s="67"/>
      <c r="C855" s="63"/>
      <c r="D855" s="64"/>
      <c r="E855" s="65"/>
      <c r="F855" s="66"/>
      <c r="G855" s="62"/>
      <c r="H855" s="64"/>
      <c r="I855" s="62"/>
      <c r="J855" s="64"/>
      <c r="K855" s="93"/>
    </row>
    <row r="856" spans="2:11" s="61" customFormat="1" x14ac:dyDescent="0.3">
      <c r="B856" s="67"/>
      <c r="C856" s="63"/>
      <c r="D856" s="64"/>
      <c r="E856" s="65"/>
      <c r="F856" s="66"/>
      <c r="G856" s="62"/>
      <c r="H856" s="64"/>
      <c r="I856" s="62"/>
      <c r="J856" s="64"/>
      <c r="K856" s="93"/>
    </row>
    <row r="857" spans="2:11" s="61" customFormat="1" x14ac:dyDescent="0.3">
      <c r="B857" s="67"/>
      <c r="C857" s="63"/>
      <c r="D857" s="64"/>
      <c r="E857" s="65"/>
      <c r="F857" s="66"/>
      <c r="G857" s="62"/>
      <c r="H857" s="64"/>
      <c r="I857" s="62"/>
      <c r="J857" s="64"/>
      <c r="K857" s="93"/>
    </row>
    <row r="858" spans="2:11" s="61" customFormat="1" x14ac:dyDescent="0.3">
      <c r="B858" s="67"/>
      <c r="C858" s="63"/>
      <c r="D858" s="64"/>
      <c r="E858" s="65"/>
      <c r="F858" s="66"/>
      <c r="G858" s="62"/>
      <c r="H858" s="64"/>
      <c r="I858" s="62"/>
      <c r="J858" s="64"/>
      <c r="K858" s="93"/>
    </row>
    <row r="859" spans="2:11" s="61" customFormat="1" x14ac:dyDescent="0.3">
      <c r="B859" s="67"/>
      <c r="C859" s="63"/>
      <c r="D859" s="64"/>
      <c r="E859" s="65"/>
      <c r="F859" s="66"/>
      <c r="G859" s="62"/>
      <c r="H859" s="64"/>
      <c r="I859" s="62"/>
      <c r="J859" s="64"/>
      <c r="K859" s="93"/>
    </row>
    <row r="860" spans="2:11" s="68" customFormat="1" x14ac:dyDescent="0.3">
      <c r="B860" s="67"/>
      <c r="C860" s="63"/>
      <c r="D860" s="64"/>
      <c r="E860" s="65"/>
      <c r="F860" s="66"/>
      <c r="G860" s="62"/>
      <c r="H860" s="64"/>
      <c r="I860" s="62"/>
      <c r="J860" s="64"/>
      <c r="K860" s="94"/>
    </row>
    <row r="861" spans="2:11" s="69" customFormat="1" ht="15" customHeight="1" x14ac:dyDescent="0.3">
      <c r="B861" s="67"/>
      <c r="C861" s="63"/>
      <c r="D861" s="64"/>
      <c r="E861" s="65"/>
      <c r="F861" s="66"/>
      <c r="G861" s="62"/>
      <c r="H861" s="64"/>
      <c r="I861" s="62"/>
      <c r="J861" s="64"/>
      <c r="K861" s="95"/>
    </row>
    <row r="862" spans="2:11" s="69" customFormat="1" ht="15" customHeight="1" x14ac:dyDescent="0.3">
      <c r="B862" s="67"/>
      <c r="C862" s="63"/>
      <c r="D862" s="64"/>
      <c r="E862" s="65"/>
      <c r="F862" s="66"/>
      <c r="G862" s="62"/>
      <c r="H862" s="64"/>
      <c r="I862" s="62"/>
      <c r="J862" s="64"/>
      <c r="K862" s="95"/>
    </row>
    <row r="863" spans="2:11" s="69" customFormat="1" ht="15" customHeight="1" x14ac:dyDescent="0.3">
      <c r="B863" s="67"/>
      <c r="C863" s="63"/>
      <c r="D863" s="64"/>
      <c r="E863" s="65"/>
      <c r="F863" s="66"/>
      <c r="G863" s="62"/>
      <c r="H863" s="64"/>
      <c r="I863" s="62"/>
      <c r="J863" s="64"/>
      <c r="K863" s="95"/>
    </row>
    <row r="864" spans="2:11" s="69" customFormat="1" ht="15" customHeight="1" x14ac:dyDescent="0.3">
      <c r="B864" s="67"/>
      <c r="C864" s="63"/>
      <c r="D864" s="64"/>
      <c r="E864" s="65"/>
      <c r="F864" s="66"/>
      <c r="G864" s="62"/>
      <c r="H864" s="64"/>
      <c r="I864" s="62"/>
      <c r="J864" s="64"/>
      <c r="K864" s="95"/>
    </row>
    <row r="865" spans="2:11" s="69" customFormat="1" ht="15" customHeight="1" x14ac:dyDescent="0.3">
      <c r="B865" s="67"/>
      <c r="C865" s="63"/>
      <c r="D865" s="64"/>
      <c r="E865" s="65"/>
      <c r="F865" s="66"/>
      <c r="G865" s="62"/>
      <c r="H865" s="64"/>
      <c r="I865" s="62"/>
      <c r="J865" s="64"/>
      <c r="K865" s="95"/>
    </row>
    <row r="866" spans="2:11" s="69" customFormat="1" ht="15" customHeight="1" x14ac:dyDescent="0.3">
      <c r="B866" s="67"/>
      <c r="C866" s="63"/>
      <c r="D866" s="64"/>
      <c r="E866" s="65"/>
      <c r="F866" s="66"/>
      <c r="G866" s="62"/>
      <c r="H866" s="64"/>
      <c r="I866" s="62"/>
      <c r="J866" s="64"/>
      <c r="K866" s="95"/>
    </row>
    <row r="867" spans="2:11" s="70" customFormat="1" x14ac:dyDescent="0.3">
      <c r="B867" s="67"/>
      <c r="C867" s="63"/>
      <c r="D867" s="64"/>
      <c r="E867" s="65"/>
      <c r="F867" s="66"/>
      <c r="G867" s="62"/>
      <c r="H867" s="64"/>
      <c r="I867" s="62"/>
      <c r="J867" s="64"/>
      <c r="K867" s="96"/>
    </row>
    <row r="868" spans="2:11" s="70" customFormat="1" x14ac:dyDescent="0.3">
      <c r="B868" s="67"/>
      <c r="C868" s="63"/>
      <c r="D868" s="64"/>
      <c r="E868" s="65"/>
      <c r="F868" s="66"/>
      <c r="G868" s="62"/>
      <c r="H868" s="64"/>
      <c r="I868" s="62"/>
      <c r="J868" s="64"/>
      <c r="K868" s="96"/>
    </row>
    <row r="869" spans="2:11" s="70" customFormat="1" x14ac:dyDescent="0.3">
      <c r="B869" s="67"/>
      <c r="C869" s="63"/>
      <c r="D869" s="64"/>
      <c r="E869" s="65"/>
      <c r="F869" s="66"/>
      <c r="G869" s="62"/>
      <c r="H869" s="64"/>
      <c r="I869" s="62"/>
      <c r="J869" s="64"/>
      <c r="K869" s="96"/>
    </row>
    <row r="870" spans="2:11" s="70" customFormat="1" x14ac:dyDescent="0.3">
      <c r="B870" s="67"/>
      <c r="C870" s="63"/>
      <c r="D870" s="64"/>
      <c r="E870" s="65"/>
      <c r="F870" s="66"/>
      <c r="G870" s="62"/>
      <c r="H870" s="64"/>
      <c r="I870" s="62"/>
      <c r="J870" s="64"/>
      <c r="K870" s="96"/>
    </row>
    <row r="871" spans="2:11" s="70" customFormat="1" x14ac:dyDescent="0.3">
      <c r="B871" s="67"/>
      <c r="C871" s="63"/>
      <c r="D871" s="64"/>
      <c r="E871" s="65"/>
      <c r="F871" s="66"/>
      <c r="G871" s="62"/>
      <c r="H871" s="64"/>
      <c r="I871" s="62"/>
      <c r="J871" s="64"/>
      <c r="K871" s="96"/>
    </row>
    <row r="872" spans="2:11" s="70" customFormat="1" x14ac:dyDescent="0.3">
      <c r="B872" s="67"/>
      <c r="C872" s="63"/>
      <c r="D872" s="64"/>
      <c r="E872" s="65"/>
      <c r="F872" s="66"/>
      <c r="G872" s="62"/>
      <c r="H872" s="64"/>
      <c r="I872" s="62"/>
      <c r="J872" s="64"/>
      <c r="K872" s="96"/>
    </row>
    <row r="873" spans="2:11" s="70" customFormat="1" x14ac:dyDescent="0.3">
      <c r="B873" s="67"/>
      <c r="C873" s="63"/>
      <c r="D873" s="64"/>
      <c r="E873" s="65"/>
      <c r="F873" s="66"/>
      <c r="G873" s="62"/>
      <c r="H873" s="64"/>
      <c r="I873" s="62"/>
      <c r="J873" s="64"/>
      <c r="K873" s="96"/>
    </row>
    <row r="874" spans="2:11" s="70" customFormat="1" x14ac:dyDescent="0.3">
      <c r="B874" s="67"/>
      <c r="C874" s="63"/>
      <c r="D874" s="64"/>
      <c r="E874" s="65"/>
      <c r="F874" s="66"/>
      <c r="G874" s="62"/>
      <c r="H874" s="64"/>
      <c r="I874" s="62"/>
      <c r="J874" s="64"/>
      <c r="K874" s="96"/>
    </row>
    <row r="875" spans="2:11" s="70" customFormat="1" x14ac:dyDescent="0.3">
      <c r="B875" s="67"/>
      <c r="C875" s="63"/>
      <c r="D875" s="64"/>
      <c r="E875" s="65"/>
      <c r="F875" s="66"/>
      <c r="G875" s="62"/>
      <c r="H875" s="64"/>
      <c r="I875" s="62"/>
      <c r="J875" s="64"/>
      <c r="K875" s="96"/>
    </row>
    <row r="876" spans="2:11" s="70" customFormat="1" x14ac:dyDescent="0.3">
      <c r="B876" s="67"/>
      <c r="C876" s="63"/>
      <c r="D876" s="64"/>
      <c r="E876" s="65"/>
      <c r="F876" s="66"/>
      <c r="G876" s="62"/>
      <c r="H876" s="64"/>
      <c r="I876" s="62"/>
      <c r="J876" s="64"/>
      <c r="K876" s="96"/>
    </row>
    <row r="877" spans="2:11" s="70" customFormat="1" x14ac:dyDescent="0.3">
      <c r="B877" s="67"/>
      <c r="C877" s="63"/>
      <c r="D877" s="64"/>
      <c r="E877" s="65"/>
      <c r="F877" s="66"/>
      <c r="G877" s="62"/>
      <c r="H877" s="64"/>
      <c r="I877" s="62"/>
      <c r="J877" s="64"/>
      <c r="K877" s="96"/>
    </row>
    <row r="878" spans="2:11" s="70" customFormat="1" x14ac:dyDescent="0.3">
      <c r="B878" s="67"/>
      <c r="C878" s="63"/>
      <c r="D878" s="64"/>
      <c r="E878" s="65"/>
      <c r="F878" s="66"/>
      <c r="G878" s="62"/>
      <c r="H878" s="64"/>
      <c r="I878" s="62"/>
      <c r="J878" s="64"/>
      <c r="K878" s="96"/>
    </row>
    <row r="879" spans="2:11" s="70" customFormat="1" x14ac:dyDescent="0.3">
      <c r="B879" s="67"/>
      <c r="C879" s="63"/>
      <c r="D879" s="64"/>
      <c r="E879" s="65"/>
      <c r="F879" s="66"/>
      <c r="G879" s="62"/>
      <c r="H879" s="64"/>
      <c r="I879" s="62"/>
      <c r="J879" s="64"/>
      <c r="K879" s="96"/>
    </row>
    <row r="880" spans="2:11" s="70" customFormat="1" x14ac:dyDescent="0.3">
      <c r="B880" s="67"/>
      <c r="C880" s="63"/>
      <c r="D880" s="64"/>
      <c r="E880" s="65"/>
      <c r="F880" s="66"/>
      <c r="G880" s="62"/>
      <c r="H880" s="64"/>
      <c r="I880" s="62"/>
      <c r="J880" s="64"/>
      <c r="K880" s="96"/>
    </row>
    <row r="881" spans="2:11" s="70" customFormat="1" x14ac:dyDescent="0.3">
      <c r="B881" s="67"/>
      <c r="C881" s="63"/>
      <c r="D881" s="64"/>
      <c r="E881" s="65"/>
      <c r="F881" s="66"/>
      <c r="G881" s="62"/>
      <c r="H881" s="64"/>
      <c r="I881" s="62"/>
      <c r="J881" s="64"/>
      <c r="K881" s="96"/>
    </row>
    <row r="882" spans="2:11" s="70" customFormat="1" x14ac:dyDescent="0.3">
      <c r="B882" s="67"/>
      <c r="C882" s="63"/>
      <c r="D882" s="64"/>
      <c r="E882" s="65"/>
      <c r="F882" s="66"/>
      <c r="G882" s="62"/>
      <c r="H882" s="64"/>
      <c r="I882" s="62"/>
      <c r="J882" s="64"/>
      <c r="K882" s="96"/>
    </row>
    <row r="883" spans="2:11" s="70" customFormat="1" x14ac:dyDescent="0.3">
      <c r="B883" s="67"/>
      <c r="C883" s="63"/>
      <c r="D883" s="64"/>
      <c r="E883" s="65"/>
      <c r="F883" s="66"/>
      <c r="G883" s="62"/>
      <c r="H883" s="64"/>
      <c r="I883" s="62"/>
      <c r="J883" s="64"/>
      <c r="K883" s="96"/>
    </row>
    <row r="884" spans="2:11" s="70" customFormat="1" x14ac:dyDescent="0.3">
      <c r="B884" s="67"/>
      <c r="C884" s="63"/>
      <c r="D884" s="64"/>
      <c r="E884" s="65"/>
      <c r="F884" s="66"/>
      <c r="G884" s="62"/>
      <c r="H884" s="64"/>
      <c r="I884" s="62"/>
      <c r="J884" s="64"/>
      <c r="K884" s="96"/>
    </row>
    <row r="885" spans="2:11" s="70" customFormat="1" x14ac:dyDescent="0.3">
      <c r="B885" s="67"/>
      <c r="C885" s="63"/>
      <c r="D885" s="64"/>
      <c r="E885" s="65"/>
      <c r="F885" s="66"/>
      <c r="G885" s="62"/>
      <c r="H885" s="64"/>
      <c r="I885" s="62"/>
      <c r="J885" s="64"/>
      <c r="K885" s="96"/>
    </row>
    <row r="886" spans="2:11" s="70" customFormat="1" x14ac:dyDescent="0.3">
      <c r="B886" s="67"/>
      <c r="C886" s="63"/>
      <c r="D886" s="64"/>
      <c r="E886" s="65"/>
      <c r="F886" s="66"/>
      <c r="G886" s="62"/>
      <c r="H886" s="64"/>
      <c r="I886" s="62"/>
      <c r="J886" s="64"/>
      <c r="K886" s="96"/>
    </row>
    <row r="887" spans="2:11" s="70" customFormat="1" x14ac:dyDescent="0.3">
      <c r="B887" s="67"/>
      <c r="C887" s="63"/>
      <c r="D887" s="64"/>
      <c r="E887" s="65"/>
      <c r="F887" s="66"/>
      <c r="G887" s="62"/>
      <c r="H887" s="64"/>
      <c r="I887" s="62"/>
      <c r="J887" s="64"/>
      <c r="K887" s="96"/>
    </row>
    <row r="888" spans="2:11" s="70" customFormat="1" x14ac:dyDescent="0.3">
      <c r="B888" s="67"/>
      <c r="C888" s="63"/>
      <c r="D888" s="64"/>
      <c r="E888" s="65"/>
      <c r="F888" s="66"/>
      <c r="G888" s="62"/>
      <c r="H888" s="64"/>
      <c r="I888" s="62"/>
      <c r="J888" s="64"/>
      <c r="K888" s="96"/>
    </row>
    <row r="889" spans="2:11" s="70" customFormat="1" x14ac:dyDescent="0.3">
      <c r="B889" s="67"/>
      <c r="C889" s="63"/>
      <c r="D889" s="64"/>
      <c r="E889" s="65"/>
      <c r="F889" s="66"/>
      <c r="G889" s="62"/>
      <c r="H889" s="64"/>
      <c r="I889" s="62"/>
      <c r="J889" s="64"/>
      <c r="K889" s="96"/>
    </row>
    <row r="890" spans="2:11" s="70" customFormat="1" x14ac:dyDescent="0.3">
      <c r="B890" s="67"/>
      <c r="C890" s="63"/>
      <c r="D890" s="64"/>
      <c r="E890" s="65"/>
      <c r="F890" s="66"/>
      <c r="G890" s="62"/>
      <c r="H890" s="64"/>
      <c r="I890" s="62"/>
      <c r="J890" s="64"/>
      <c r="K890" s="96"/>
    </row>
  </sheetData>
  <mergeCells count="7">
    <mergeCell ref="J2:J3"/>
    <mergeCell ref="B2:B3"/>
    <mergeCell ref="C2:C3"/>
    <mergeCell ref="D2:D3"/>
    <mergeCell ref="E2:E3"/>
    <mergeCell ref="F2:G2"/>
    <mergeCell ref="H2: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კრებსითი</vt:lpstr>
      <vt:lpstr>ვერტიკალური გეგმარება</vt:lpstr>
      <vt:lpstr>დენდროლოგია</vt:lpstr>
      <vt:lpstr>ტერიტორიის საყრდენი კედლები</vt:lpstr>
      <vt:lpstr>გარე განათება</vt:lpstr>
      <vt:lpstr>გარე კომუნიკაცია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Tazo Bakuradze</dc:creator>
  <cp:lastModifiedBy>Salome Qoqiashvili</cp:lastModifiedBy>
  <dcterms:created xsi:type="dcterms:W3CDTF">2026-01-08T13:19:29Z</dcterms:created>
  <dcterms:modified xsi:type="dcterms:W3CDTF">2026-02-10T09:35:15Z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0734c74-3ec3-4e8f-91d9-a915579f742b_Enabled">
    <vt:lpwstr>true</vt:lpwstr>
  </property>
  <property fmtid="{D5CDD505-2E9C-101B-9397-08002B2CF9AE}" pid="3" name="MSIP_Label_80734c74-3ec3-4e8f-91d9-a915579f742b_SetDate">
    <vt:lpwstr>2026-02-10T09:17:48Z</vt:lpwstr>
  </property>
  <property fmtid="{D5CDD505-2E9C-101B-9397-08002B2CF9AE}" pid="4" name="MSIP_Label_80734c74-3ec3-4e8f-91d9-a915579f742b_Method">
    <vt:lpwstr>Privileged</vt:lpwstr>
  </property>
  <property fmtid="{D5CDD505-2E9C-101B-9397-08002B2CF9AE}" pid="5" name="MSIP_Label_80734c74-3ec3-4e8f-91d9-a915579f742b_Name">
    <vt:lpwstr>PROC OTHER</vt:lpwstr>
  </property>
  <property fmtid="{D5CDD505-2E9C-101B-9397-08002B2CF9AE}" pid="6" name="MSIP_Label_80734c74-3ec3-4e8f-91d9-a915579f742b_SiteId">
    <vt:lpwstr>e2029e44-8d8d-4545-b8ad-ca25d5446356</vt:lpwstr>
  </property>
  <property fmtid="{D5CDD505-2E9C-101B-9397-08002B2CF9AE}" pid="7" name="MSIP_Label_80734c74-3ec3-4e8f-91d9-a915579f742b_ActionId">
    <vt:lpwstr>dc59180f-980f-4da1-952b-9f2745593b71</vt:lpwstr>
  </property>
  <property fmtid="{D5CDD505-2E9C-101B-9397-08002B2CF9AE}" pid="8" name="MSIP_Label_80734c74-3ec3-4e8f-91d9-a915579f742b_ContentBits">
    <vt:lpwstr>0</vt:lpwstr>
  </property>
  <property fmtid="{D5CDD505-2E9C-101B-9397-08002B2CF9AE}" pid="9" name="MSIP_Label_80734c74-3ec3-4e8f-91d9-a915579f742b_Tag">
    <vt:lpwstr>10, 0, 1, 1</vt:lpwstr>
  </property>
</Properties>
</file>