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nika chikobava\Downloads\"/>
    </mc:Choice>
  </mc:AlternateContent>
  <xr:revisionPtr revIDLastSave="0" documentId="8_{2414EE08-8487-4A76-8BA7-3E613828B628}" xr6:coauthVersionLast="37" xr6:coauthVersionMax="37" xr10:uidLastSave="{00000000-0000-0000-0000-000000000000}"/>
  <bookViews>
    <workbookView xWindow="0" yWindow="0" windowWidth="23040" windowHeight="9684" tabRatio="898" xr2:uid="{00000000-000D-0000-FFFF-FFFF00000000}"/>
  </bookViews>
  <sheets>
    <sheet name="Summary" sheetId="56" r:id="rId1"/>
    <sheet name="Earthworks" sheetId="69" r:id="rId2"/>
    <sheet name="Structure" sheetId="72" r:id="rId3"/>
    <sheet name="Roof" sheetId="88" r:id="rId4"/>
    <sheet name="Shell &amp; Core" sheetId="87" r:id="rId5"/>
    <sheet name="MEP" sheetId="73" r:id="rId6"/>
  </sheets>
  <definedNames>
    <definedName name="_xlnm._FilterDatabase" localSheetId="1" hidden="1">Earthworks!$B$8:$O$44</definedName>
    <definedName name="_xlnm._FilterDatabase" localSheetId="5" hidden="1">MEP!$B$8:$O$220</definedName>
    <definedName name="_xlnm._FilterDatabase" localSheetId="3" hidden="1">Roof!$B$8:$O$42</definedName>
    <definedName name="_xlnm._FilterDatabase" localSheetId="4" hidden="1">'Shell &amp; Core'!$B$8:$O$597</definedName>
    <definedName name="_xlnm._FilterDatabase" localSheetId="2" hidden="1">Structure!$B$8:$P$218</definedName>
    <definedName name="_xlnm.Print_Area" localSheetId="0">Summary!$A$1:$S$19</definedName>
    <definedName name="UNIT_PRICES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0" i="73" l="1"/>
  <c r="O34" i="69"/>
  <c r="J31" i="88"/>
  <c r="G27" i="56" l="1"/>
  <c r="H27" i="56"/>
  <c r="H559" i="87"/>
  <c r="H555" i="87"/>
  <c r="H554" i="87"/>
  <c r="H553" i="87"/>
  <c r="H558" i="87" s="1"/>
  <c r="H583" i="87"/>
  <c r="H585" i="87" s="1"/>
  <c r="H581" i="87"/>
  <c r="H580" i="87"/>
  <c r="H579" i="87"/>
  <c r="H577" i="87"/>
  <c r="H578" i="87" s="1"/>
  <c r="G571" i="87"/>
  <c r="H570" i="87"/>
  <c r="H574" i="87" s="1"/>
  <c r="H568" i="87"/>
  <c r="H567" i="87"/>
  <c r="H566" i="87"/>
  <c r="H565" i="87"/>
  <c r="H564" i="87"/>
  <c r="H563" i="87"/>
  <c r="H562" i="87"/>
  <c r="H549" i="87"/>
  <c r="H548" i="87"/>
  <c r="H547" i="87"/>
  <c r="H546" i="87"/>
  <c r="H545" i="87"/>
  <c r="H542" i="87"/>
  <c r="H541" i="87"/>
  <c r="H540" i="87"/>
  <c r="H539" i="87"/>
  <c r="H538" i="87"/>
  <c r="H535" i="87"/>
  <c r="H534" i="87"/>
  <c r="H533" i="87"/>
  <c r="H532" i="87"/>
  <c r="H531" i="87"/>
  <c r="H528" i="87"/>
  <c r="H527" i="87"/>
  <c r="H526" i="87"/>
  <c r="H525" i="87"/>
  <c r="H524" i="87"/>
  <c r="H521" i="87"/>
  <c r="H520" i="87"/>
  <c r="H519" i="87"/>
  <c r="H518" i="87"/>
  <c r="H517" i="87"/>
  <c r="H514" i="87"/>
  <c r="H513" i="87"/>
  <c r="H512" i="87"/>
  <c r="H511" i="87"/>
  <c r="H510" i="87"/>
  <c r="H507" i="87"/>
  <c r="H506" i="87"/>
  <c r="H505" i="87"/>
  <c r="H504" i="87"/>
  <c r="H503" i="87"/>
  <c r="G494" i="87"/>
  <c r="H493" i="87"/>
  <c r="G485" i="87"/>
  <c r="H484" i="87"/>
  <c r="H482" i="87"/>
  <c r="H481" i="87"/>
  <c r="H480" i="87"/>
  <c r="H479" i="87"/>
  <c r="H478" i="87"/>
  <c r="H477" i="87"/>
  <c r="H476" i="87"/>
  <c r="H475" i="87"/>
  <c r="H474" i="87"/>
  <c r="G465" i="87"/>
  <c r="H464" i="87"/>
  <c r="H470" i="87" s="1"/>
  <c r="H462" i="87"/>
  <c r="H461" i="87"/>
  <c r="H460" i="87"/>
  <c r="H459" i="87"/>
  <c r="H458" i="87"/>
  <c r="H457" i="87"/>
  <c r="H456" i="87"/>
  <c r="H455" i="87"/>
  <c r="H454" i="87"/>
  <c r="H451" i="87"/>
  <c r="G450" i="87"/>
  <c r="H450" i="87" s="1"/>
  <c r="G449" i="87"/>
  <c r="H449" i="87" s="1"/>
  <c r="G448" i="87"/>
  <c r="H448" i="87" s="1"/>
  <c r="H447" i="87"/>
  <c r="H446" i="87"/>
  <c r="H445" i="87"/>
  <c r="H441" i="87"/>
  <c r="G440" i="87"/>
  <c r="G439" i="87"/>
  <c r="G437" i="87"/>
  <c r="H437" i="87" s="1"/>
  <c r="H438" i="87" s="1"/>
  <c r="G436" i="87"/>
  <c r="H436" i="87" s="1"/>
  <c r="G435" i="87"/>
  <c r="H435" i="87" s="1"/>
  <c r="H431" i="87"/>
  <c r="G430" i="87"/>
  <c r="G429" i="87"/>
  <c r="G427" i="87"/>
  <c r="H427" i="87" s="1"/>
  <c r="G426" i="87"/>
  <c r="H426" i="87" s="1"/>
  <c r="G425" i="87"/>
  <c r="H425" i="87" s="1"/>
  <c r="H422" i="87"/>
  <c r="H421" i="87"/>
  <c r="G421" i="87"/>
  <c r="G420" i="87"/>
  <c r="H420" i="87" s="1"/>
  <c r="G419" i="87"/>
  <c r="H419" i="87" s="1"/>
  <c r="H418" i="87"/>
  <c r="H417" i="87"/>
  <c r="H416" i="87"/>
  <c r="G412" i="87"/>
  <c r="G406" i="87"/>
  <c r="G405" i="87"/>
  <c r="G404" i="87"/>
  <c r="H400" i="87"/>
  <c r="H403" i="87" s="1"/>
  <c r="H397" i="87"/>
  <c r="G396" i="87"/>
  <c r="G395" i="87"/>
  <c r="G393" i="87"/>
  <c r="H393" i="87" s="1"/>
  <c r="G392" i="87"/>
  <c r="H392" i="87" s="1"/>
  <c r="G391" i="87"/>
  <c r="H391" i="87" s="1"/>
  <c r="H387" i="87"/>
  <c r="G386" i="87"/>
  <c r="G385" i="87"/>
  <c r="G383" i="87"/>
  <c r="H383" i="87" s="1"/>
  <c r="G382" i="87"/>
  <c r="H382" i="87" s="1"/>
  <c r="G381" i="87"/>
  <c r="H381" i="87" s="1"/>
  <c r="H388" i="87" s="1"/>
  <c r="H377" i="87"/>
  <c r="G376" i="87"/>
  <c r="G375" i="87"/>
  <c r="G373" i="87"/>
  <c r="H373" i="87" s="1"/>
  <c r="H374" i="87" s="1"/>
  <c r="G372" i="87"/>
  <c r="H372" i="87" s="1"/>
  <c r="H371" i="87"/>
  <c r="H378" i="87" s="1"/>
  <c r="G371" i="87"/>
  <c r="H368" i="87"/>
  <c r="G367" i="87"/>
  <c r="H367" i="87" s="1"/>
  <c r="G366" i="87"/>
  <c r="H366" i="87" s="1"/>
  <c r="G365" i="87"/>
  <c r="H365" i="87" s="1"/>
  <c r="H364" i="87"/>
  <c r="H363" i="87"/>
  <c r="H362" i="87"/>
  <c r="G358" i="87"/>
  <c r="G352" i="87"/>
  <c r="G351" i="87"/>
  <c r="G350" i="87"/>
  <c r="H346" i="87"/>
  <c r="H343" i="87"/>
  <c r="G342" i="87"/>
  <c r="G341" i="87"/>
  <c r="G339" i="87"/>
  <c r="H339" i="87" s="1"/>
  <c r="G338" i="87"/>
  <c r="H338" i="87" s="1"/>
  <c r="G337" i="87"/>
  <c r="H337" i="87" s="1"/>
  <c r="H344" i="87" s="1"/>
  <c r="H333" i="87"/>
  <c r="G332" i="87"/>
  <c r="G331" i="87"/>
  <c r="H329" i="87"/>
  <c r="H330" i="87" s="1"/>
  <c r="G329" i="87"/>
  <c r="G328" i="87"/>
  <c r="H328" i="87" s="1"/>
  <c r="G327" i="87"/>
  <c r="H327" i="87" s="1"/>
  <c r="H334" i="87" s="1"/>
  <c r="H323" i="87"/>
  <c r="G322" i="87"/>
  <c r="G321" i="87"/>
  <c r="G319" i="87"/>
  <c r="H319" i="87" s="1"/>
  <c r="H320" i="87" s="1"/>
  <c r="G318" i="87"/>
  <c r="H318" i="87" s="1"/>
  <c r="G317" i="87"/>
  <c r="H317" i="87" s="1"/>
  <c r="G313" i="87"/>
  <c r="G312" i="87"/>
  <c r="G311" i="87"/>
  <c r="H307" i="87"/>
  <c r="G304" i="87"/>
  <c r="H301" i="87"/>
  <c r="H299" i="87"/>
  <c r="G298" i="87"/>
  <c r="H298" i="87" s="1"/>
  <c r="G297" i="87"/>
  <c r="H297" i="87" s="1"/>
  <c r="G296" i="87"/>
  <c r="H296" i="87" s="1"/>
  <c r="H295" i="87"/>
  <c r="H294" i="87"/>
  <c r="H293" i="87"/>
  <c r="H289" i="87"/>
  <c r="G288" i="87"/>
  <c r="G287" i="87"/>
  <c r="G285" i="87"/>
  <c r="H285" i="87" s="1"/>
  <c r="H288" i="87" s="1"/>
  <c r="G284" i="87"/>
  <c r="H284" i="87" s="1"/>
  <c r="G283" i="87"/>
  <c r="H283" i="87" s="1"/>
  <c r="H279" i="87"/>
  <c r="G278" i="87"/>
  <c r="G277" i="87"/>
  <c r="G275" i="87"/>
  <c r="H275" i="87" s="1"/>
  <c r="G274" i="87"/>
  <c r="H274" i="87" s="1"/>
  <c r="G273" i="87"/>
  <c r="H273" i="87" s="1"/>
  <c r="H280" i="87" s="1"/>
  <c r="H269" i="87"/>
  <c r="G268" i="87"/>
  <c r="G267" i="87"/>
  <c r="G265" i="87"/>
  <c r="H265" i="87" s="1"/>
  <c r="H266" i="87" s="1"/>
  <c r="G264" i="87"/>
  <c r="H264" i="87" s="1"/>
  <c r="G263" i="87"/>
  <c r="H263" i="87" s="1"/>
  <c r="H270" i="87" s="1"/>
  <c r="H259" i="87"/>
  <c r="H258" i="87"/>
  <c r="H257" i="87"/>
  <c r="H256" i="87"/>
  <c r="H253" i="87"/>
  <c r="H252" i="87"/>
  <c r="H251" i="87"/>
  <c r="H250" i="87"/>
  <c r="H243" i="87"/>
  <c r="H244" i="87" s="1"/>
  <c r="G238" i="87"/>
  <c r="H237" i="87"/>
  <c r="H241" i="87" s="1"/>
  <c r="H227" i="87"/>
  <c r="H226" i="87"/>
  <c r="H225" i="87"/>
  <c r="H224" i="87"/>
  <c r="H223" i="87"/>
  <c r="H222" i="87"/>
  <c r="H213" i="87"/>
  <c r="H217" i="87" s="1"/>
  <c r="H206" i="87"/>
  <c r="G204" i="87"/>
  <c r="H204" i="87" s="1"/>
  <c r="H201" i="87"/>
  <c r="G199" i="87"/>
  <c r="H199" i="87" s="1"/>
  <c r="H200" i="87" s="1"/>
  <c r="G194" i="87"/>
  <c r="H193" i="87"/>
  <c r="H208" i="87" s="1"/>
  <c r="H210" i="87" s="1"/>
  <c r="G189" i="87"/>
  <c r="H188" i="87"/>
  <c r="G184" i="87"/>
  <c r="H183" i="87"/>
  <c r="G178" i="87"/>
  <c r="H177" i="87"/>
  <c r="H167" i="87"/>
  <c r="H166" i="87"/>
  <c r="H165" i="87"/>
  <c r="H164" i="87"/>
  <c r="H163" i="87"/>
  <c r="H162" i="87"/>
  <c r="H153" i="87"/>
  <c r="H146" i="87"/>
  <c r="G144" i="87"/>
  <c r="H144" i="87" s="1"/>
  <c r="H145" i="87" s="1"/>
  <c r="H141" i="87"/>
  <c r="G139" i="87"/>
  <c r="H139" i="87" s="1"/>
  <c r="H140" i="87" s="1"/>
  <c r="G134" i="87"/>
  <c r="H133" i="87"/>
  <c r="H148" i="87" s="1"/>
  <c r="G129" i="87"/>
  <c r="H128" i="87"/>
  <c r="H131" i="87" s="1"/>
  <c r="G124" i="87"/>
  <c r="H123" i="87"/>
  <c r="H126" i="87" s="1"/>
  <c r="G118" i="87"/>
  <c r="H117" i="87"/>
  <c r="H121" i="87" s="1"/>
  <c r="H107" i="87"/>
  <c r="H106" i="87"/>
  <c r="H105" i="87"/>
  <c r="H104" i="87"/>
  <c r="H103" i="87"/>
  <c r="H102" i="87"/>
  <c r="H93" i="87"/>
  <c r="H97" i="87" s="1"/>
  <c r="H91" i="87"/>
  <c r="H90" i="87"/>
  <c r="H89" i="87"/>
  <c r="H88" i="87"/>
  <c r="H87" i="87"/>
  <c r="H86" i="87"/>
  <c r="H78" i="87"/>
  <c r="G76" i="87"/>
  <c r="H76" i="87" s="1"/>
  <c r="H73" i="87"/>
  <c r="G71" i="87"/>
  <c r="H71" i="87" s="1"/>
  <c r="G66" i="87"/>
  <c r="H65" i="87"/>
  <c r="H68" i="87" s="1"/>
  <c r="H63" i="87"/>
  <c r="G61" i="87"/>
  <c r="H60" i="87"/>
  <c r="G56" i="87"/>
  <c r="H55" i="87"/>
  <c r="H58" i="87" s="1"/>
  <c r="H52" i="87"/>
  <c r="H51" i="87"/>
  <c r="H50" i="87"/>
  <c r="H49" i="87"/>
  <c r="H48" i="87"/>
  <c r="H47" i="87"/>
  <c r="H38" i="87"/>
  <c r="H44" i="87" s="1"/>
  <c r="H36" i="87"/>
  <c r="H35" i="87"/>
  <c r="H34" i="87"/>
  <c r="H33" i="87"/>
  <c r="H32" i="87"/>
  <c r="H31" i="87"/>
  <c r="H28" i="87"/>
  <c r="G26" i="87"/>
  <c r="H26" i="87" s="1"/>
  <c r="H23" i="87"/>
  <c r="G21" i="87"/>
  <c r="H21" i="87" s="1"/>
  <c r="H22" i="87" s="1"/>
  <c r="G16" i="87"/>
  <c r="H15" i="87"/>
  <c r="H18" i="87" s="1"/>
  <c r="G11" i="87"/>
  <c r="H10" i="87"/>
  <c r="H13" i="87" s="1"/>
  <c r="H16" i="87" l="1"/>
  <c r="H17" i="87" s="1"/>
  <c r="H189" i="87"/>
  <c r="H190" i="87" s="1"/>
  <c r="H485" i="87"/>
  <c r="H471" i="87"/>
  <c r="H196" i="87"/>
  <c r="H134" i="87"/>
  <c r="H194" i="87"/>
  <c r="H195" i="87" s="1"/>
  <c r="H56" i="87"/>
  <c r="H57" i="87" s="1"/>
  <c r="H406" i="87"/>
  <c r="H352" i="87"/>
  <c r="H347" i="87"/>
  <c r="H353" i="87"/>
  <c r="H278" i="87"/>
  <c r="H556" i="87"/>
  <c r="H557" i="87"/>
  <c r="H440" i="87"/>
  <c r="H409" i="87"/>
  <c r="H402" i="87"/>
  <c r="H351" i="87"/>
  <c r="H355" i="87"/>
  <c r="H357" i="87" s="1"/>
  <c r="H267" i="87"/>
  <c r="H216" i="87"/>
  <c r="H40" i="87"/>
  <c r="H375" i="87"/>
  <c r="H324" i="87"/>
  <c r="H41" i="87"/>
  <c r="H439" i="87"/>
  <c r="H205" i="87"/>
  <c r="H240" i="87"/>
  <c r="H349" i="87"/>
  <c r="H348" i="87"/>
  <c r="H129" i="87"/>
  <c r="H467" i="87"/>
  <c r="H394" i="87"/>
  <c r="H287" i="87"/>
  <c r="H11" i="87"/>
  <c r="H12" i="87" s="1"/>
  <c r="H61" i="87"/>
  <c r="H124" i="87"/>
  <c r="H169" i="87"/>
  <c r="H136" i="87"/>
  <c r="H404" i="87"/>
  <c r="H321" i="87"/>
  <c r="H149" i="87"/>
  <c r="H150" i="87"/>
  <c r="H401" i="87"/>
  <c r="H407" i="87"/>
  <c r="H245" i="87"/>
  <c r="H238" i="87"/>
  <c r="H43" i="87"/>
  <c r="H42" i="87"/>
  <c r="H39" i="87"/>
  <c r="H209" i="87"/>
  <c r="H211" i="87"/>
  <c r="H395" i="87"/>
  <c r="H151" i="87"/>
  <c r="H184" i="87"/>
  <c r="H488" i="87"/>
  <c r="H491" i="87"/>
  <c r="H396" i="87"/>
  <c r="H350" i="87"/>
  <c r="H584" i="87"/>
  <c r="H331" i="87"/>
  <c r="H405" i="87"/>
  <c r="H66" i="87"/>
  <c r="H118" i="87"/>
  <c r="H332" i="87"/>
  <c r="H322" i="87"/>
  <c r="H341" i="87"/>
  <c r="H27" i="87"/>
  <c r="H290" i="87"/>
  <c r="H156" i="87"/>
  <c r="H159" i="87"/>
  <c r="H158" i="87"/>
  <c r="H155" i="87"/>
  <c r="H154" i="87"/>
  <c r="H96" i="87"/>
  <c r="H191" i="87"/>
  <c r="H72" i="87"/>
  <c r="H180" i="87"/>
  <c r="H181" i="87"/>
  <c r="H178" i="87"/>
  <c r="H384" i="87"/>
  <c r="H386" i="87"/>
  <c r="H305" i="87"/>
  <c r="H302" i="87"/>
  <c r="H303" i="87"/>
  <c r="H186" i="87"/>
  <c r="H77" i="87"/>
  <c r="H135" i="87"/>
  <c r="H398" i="87"/>
  <c r="H99" i="87"/>
  <c r="H95" i="87"/>
  <c r="H98" i="87"/>
  <c r="H94" i="87"/>
  <c r="H157" i="87"/>
  <c r="H313" i="87"/>
  <c r="H428" i="87"/>
  <c r="H291" i="87"/>
  <c r="H443" i="87"/>
  <c r="H345" i="87"/>
  <c r="H412" i="87"/>
  <c r="H411" i="87"/>
  <c r="H215" i="87"/>
  <c r="H214" i="87"/>
  <c r="H219" i="87"/>
  <c r="H276" i="87"/>
  <c r="H314" i="87"/>
  <c r="H308" i="87"/>
  <c r="H311" i="87"/>
  <c r="H310" i="87"/>
  <c r="H309" i="87"/>
  <c r="H312" i="87"/>
  <c r="H218" i="87"/>
  <c r="H247" i="87"/>
  <c r="H246" i="87"/>
  <c r="H340" i="87"/>
  <c r="H109" i="87"/>
  <c r="H80" i="87"/>
  <c r="H429" i="87"/>
  <c r="H120" i="87"/>
  <c r="H229" i="87"/>
  <c r="H268" i="87"/>
  <c r="H430" i="87"/>
  <c r="H304" i="87"/>
  <c r="H286" i="87"/>
  <c r="H342" i="87"/>
  <c r="H376" i="87"/>
  <c r="H432" i="87"/>
  <c r="H487" i="87"/>
  <c r="H500" i="87"/>
  <c r="H497" i="87"/>
  <c r="H498" i="87"/>
  <c r="H496" i="87"/>
  <c r="H399" i="87"/>
  <c r="H499" i="87"/>
  <c r="H466" i="87"/>
  <c r="H469" i="87"/>
  <c r="H465" i="87"/>
  <c r="H468" i="87"/>
  <c r="H385" i="87"/>
  <c r="H495" i="87"/>
  <c r="H442" i="87"/>
  <c r="H490" i="87"/>
  <c r="H486" i="87"/>
  <c r="H489" i="87"/>
  <c r="H573" i="87"/>
  <c r="H494" i="87"/>
  <c r="H277" i="87"/>
  <c r="H571" i="87"/>
  <c r="H125" i="87" l="1"/>
  <c r="H413" i="87"/>
  <c r="H410" i="87"/>
  <c r="H62" i="87"/>
  <c r="H356" i="87"/>
  <c r="H358" i="87"/>
  <c r="H359" i="87"/>
  <c r="H130" i="87"/>
  <c r="H172" i="87"/>
  <c r="H175" i="87"/>
  <c r="H171" i="87"/>
  <c r="H119" i="87"/>
  <c r="H185" i="87"/>
  <c r="H67" i="87"/>
  <c r="H174" i="87"/>
  <c r="H239" i="87"/>
  <c r="H173" i="87"/>
  <c r="H170" i="87"/>
  <c r="H572" i="87"/>
  <c r="H233" i="87"/>
  <c r="H230" i="87"/>
  <c r="H231" i="87"/>
  <c r="H234" i="87"/>
  <c r="H232" i="87"/>
  <c r="H235" i="87"/>
  <c r="H179" i="87"/>
  <c r="H81" i="87"/>
  <c r="H83" i="87"/>
  <c r="H82" i="87"/>
  <c r="H115" i="87"/>
  <c r="H112" i="87"/>
  <c r="H111" i="87"/>
  <c r="H113" i="87"/>
  <c r="H114" i="87"/>
  <c r="H110" i="87"/>
  <c r="N587" i="87" l="1"/>
  <c r="O9" i="87"/>
  <c r="H87" i="73" l="1"/>
  <c r="H88" i="73"/>
  <c r="H208" i="73"/>
  <c r="H207" i="73"/>
  <c r="H206" i="73"/>
  <c r="H205" i="73"/>
  <c r="H202" i="73" l="1"/>
  <c r="H201" i="73"/>
  <c r="H200" i="73"/>
  <c r="H199" i="73"/>
  <c r="H198" i="73"/>
  <c r="H197" i="73"/>
  <c r="H196" i="73"/>
  <c r="H195" i="73"/>
  <c r="H194" i="73"/>
  <c r="H193" i="73"/>
  <c r="H178" i="73"/>
  <c r="H177" i="73"/>
  <c r="H174" i="73"/>
  <c r="H173" i="73"/>
  <c r="H170" i="73"/>
  <c r="H169" i="73"/>
  <c r="H166" i="73"/>
  <c r="H165" i="73"/>
  <c r="G164" i="73"/>
  <c r="H164" i="73" s="1"/>
  <c r="H161" i="73"/>
  <c r="H160" i="73"/>
  <c r="H159" i="73"/>
  <c r="H158" i="73"/>
  <c r="H155" i="73"/>
  <c r="H154" i="73"/>
  <c r="H153" i="73"/>
  <c r="H152" i="73"/>
  <c r="H26" i="88" l="1"/>
  <c r="J20" i="88"/>
  <c r="J19" i="88"/>
  <c r="J18" i="88"/>
  <c r="J17" i="88"/>
  <c r="H16" i="88"/>
  <c r="J15" i="88"/>
  <c r="J14" i="88"/>
  <c r="J13" i="88"/>
  <c r="J12" i="88"/>
  <c r="J11" i="88"/>
  <c r="G26" i="56"/>
  <c r="H196" i="72"/>
  <c r="H197" i="72"/>
  <c r="H198" i="72"/>
  <c r="H199" i="72"/>
  <c r="H203" i="72"/>
  <c r="H204" i="72"/>
  <c r="H195" i="72"/>
  <c r="J205" i="72"/>
  <c r="O205" i="72" s="1"/>
  <c r="J204" i="72"/>
  <c r="O204" i="72" s="1"/>
  <c r="J203" i="72"/>
  <c r="O203" i="72" s="1"/>
  <c r="J202" i="72"/>
  <c r="O202" i="72" s="1"/>
  <c r="J201" i="72"/>
  <c r="O201" i="72" s="1"/>
  <c r="J200" i="72"/>
  <c r="O200" i="72" s="1"/>
  <c r="J196" i="72"/>
  <c r="O196" i="72" s="1"/>
  <c r="J194" i="72"/>
  <c r="O194" i="72" s="1"/>
  <c r="J193" i="72"/>
  <c r="O193" i="72" s="1"/>
  <c r="J192" i="72"/>
  <c r="O192" i="72" s="1"/>
  <c r="J191" i="72"/>
  <c r="O191" i="72" s="1"/>
  <c r="H183" i="72"/>
  <c r="H177" i="72"/>
  <c r="N167" i="72"/>
  <c r="L167" i="72"/>
  <c r="J167" i="72"/>
  <c r="H166" i="72"/>
  <c r="N165" i="72"/>
  <c r="L165" i="72"/>
  <c r="J165" i="72"/>
  <c r="N164" i="72"/>
  <c r="L164" i="72"/>
  <c r="J164" i="72"/>
  <c r="N163" i="72"/>
  <c r="L163" i="72"/>
  <c r="J163" i="72"/>
  <c r="H162" i="72"/>
  <c r="N160" i="72"/>
  <c r="L160" i="72"/>
  <c r="J160" i="72"/>
  <c r="H159" i="72"/>
  <c r="N158" i="72"/>
  <c r="L158" i="72"/>
  <c r="J158" i="72"/>
  <c r="N157" i="72"/>
  <c r="L157" i="72"/>
  <c r="J157" i="72"/>
  <c r="N156" i="72"/>
  <c r="L156" i="72"/>
  <c r="J156" i="72"/>
  <c r="H155" i="72"/>
  <c r="N153" i="72"/>
  <c r="L153" i="72"/>
  <c r="J153" i="72"/>
  <c r="H152" i="72"/>
  <c r="N151" i="72"/>
  <c r="L151" i="72"/>
  <c r="J151" i="72"/>
  <c r="N150" i="72"/>
  <c r="L150" i="72"/>
  <c r="J150" i="72"/>
  <c r="N149" i="72"/>
  <c r="L149" i="72"/>
  <c r="J149" i="72"/>
  <c r="H148" i="72"/>
  <c r="N126" i="72"/>
  <c r="L126" i="72"/>
  <c r="J126" i="72"/>
  <c r="H125" i="72"/>
  <c r="N124" i="72"/>
  <c r="L124" i="72"/>
  <c r="J124" i="72"/>
  <c r="N123" i="72"/>
  <c r="L123" i="72"/>
  <c r="J123" i="72"/>
  <c r="H122" i="72"/>
  <c r="H121" i="72"/>
  <c r="N119" i="72"/>
  <c r="L119" i="72"/>
  <c r="J119" i="72"/>
  <c r="H118" i="72"/>
  <c r="N117" i="72"/>
  <c r="L117" i="72"/>
  <c r="J117" i="72"/>
  <c r="N116" i="72"/>
  <c r="L116" i="72"/>
  <c r="J116" i="72"/>
  <c r="N115" i="72"/>
  <c r="L115" i="72"/>
  <c r="J115" i="72"/>
  <c r="H114" i="72"/>
  <c r="N106" i="72"/>
  <c r="L106" i="72"/>
  <c r="J106" i="72"/>
  <c r="N105" i="72"/>
  <c r="L105" i="72"/>
  <c r="J105" i="72"/>
  <c r="H104" i="72"/>
  <c r="N103" i="72"/>
  <c r="L103" i="72"/>
  <c r="J103" i="72"/>
  <c r="N102" i="72"/>
  <c r="L102" i="72"/>
  <c r="J102" i="72"/>
  <c r="N101" i="72"/>
  <c r="L101" i="72"/>
  <c r="J101" i="72"/>
  <c r="H100" i="72"/>
  <c r="N90" i="72"/>
  <c r="L90" i="72"/>
  <c r="J90" i="72"/>
  <c r="H89" i="72"/>
  <c r="N88" i="72"/>
  <c r="L88" i="72"/>
  <c r="J88" i="72"/>
  <c r="N87" i="72"/>
  <c r="L87" i="72"/>
  <c r="J87" i="72"/>
  <c r="H86" i="72"/>
  <c r="H85" i="72"/>
  <c r="J16" i="88" l="1"/>
  <c r="J10" i="88" s="1"/>
  <c r="J199" i="72"/>
  <c r="O199" i="72" s="1"/>
  <c r="J197" i="72"/>
  <c r="O197" i="72" s="1"/>
  <c r="J198" i="72"/>
  <c r="O198" i="72" s="1"/>
  <c r="J195" i="72"/>
  <c r="O195" i="72" s="1"/>
  <c r="N159" i="72"/>
  <c r="J187" i="72"/>
  <c r="L187" i="72"/>
  <c r="N187" i="72"/>
  <c r="O187" i="72" s="1"/>
  <c r="L162" i="72"/>
  <c r="N162" i="72"/>
  <c r="J155" i="72"/>
  <c r="L155" i="72"/>
  <c r="N155" i="72"/>
  <c r="J162" i="72"/>
  <c r="O163" i="72"/>
  <c r="N166" i="72"/>
  <c r="J166" i="72"/>
  <c r="L166" i="72"/>
  <c r="O167" i="72"/>
  <c r="O165" i="72"/>
  <c r="O164" i="72"/>
  <c r="O156" i="72"/>
  <c r="J159" i="72"/>
  <c r="N148" i="72"/>
  <c r="L159" i="72"/>
  <c r="O157" i="72"/>
  <c r="O160" i="72"/>
  <c r="O158" i="72"/>
  <c r="J148" i="72"/>
  <c r="O153" i="72"/>
  <c r="L152" i="72"/>
  <c r="N152" i="72"/>
  <c r="J152" i="72"/>
  <c r="L148" i="72"/>
  <c r="O150" i="72"/>
  <c r="O151" i="72"/>
  <c r="O149" i="72"/>
  <c r="L114" i="72"/>
  <c r="N114" i="72"/>
  <c r="J114" i="72"/>
  <c r="J121" i="72"/>
  <c r="L121" i="72"/>
  <c r="N121" i="72"/>
  <c r="J122" i="72"/>
  <c r="L122" i="72"/>
  <c r="J125" i="72"/>
  <c r="L125" i="72"/>
  <c r="N125" i="72"/>
  <c r="N122" i="72"/>
  <c r="O123" i="72"/>
  <c r="O124" i="72"/>
  <c r="O126" i="72"/>
  <c r="O117" i="72"/>
  <c r="J118" i="72"/>
  <c r="L118" i="72"/>
  <c r="N118" i="72"/>
  <c r="O115" i="72"/>
  <c r="O116" i="72"/>
  <c r="O119" i="72"/>
  <c r="J89" i="72"/>
  <c r="J85" i="72"/>
  <c r="J100" i="72"/>
  <c r="L100" i="72"/>
  <c r="N100" i="72"/>
  <c r="J104" i="72"/>
  <c r="L104" i="72"/>
  <c r="N104" i="72"/>
  <c r="O106" i="72"/>
  <c r="O101" i="72"/>
  <c r="O102" i="72"/>
  <c r="O103" i="72"/>
  <c r="O105" i="72"/>
  <c r="N85" i="72"/>
  <c r="N89" i="72"/>
  <c r="L85" i="72"/>
  <c r="J86" i="72"/>
  <c r="L86" i="72"/>
  <c r="N86" i="72"/>
  <c r="L89" i="72"/>
  <c r="O90" i="72"/>
  <c r="O88" i="72"/>
  <c r="O87" i="72"/>
  <c r="O155" i="72" l="1"/>
  <c r="O121" i="72"/>
  <c r="O114" i="72"/>
  <c r="O166" i="72"/>
  <c r="O104" i="72"/>
  <c r="O162" i="72"/>
  <c r="O159" i="72"/>
  <c r="L161" i="72"/>
  <c r="N161" i="72"/>
  <c r="J161" i="72"/>
  <c r="N154" i="72"/>
  <c r="J154" i="72"/>
  <c r="L154" i="72"/>
  <c r="O152" i="72"/>
  <c r="J147" i="72"/>
  <c r="L147" i="72"/>
  <c r="O148" i="72"/>
  <c r="N147" i="72"/>
  <c r="O118" i="72"/>
  <c r="O86" i="72"/>
  <c r="N120" i="72"/>
  <c r="L120" i="72"/>
  <c r="J120" i="72"/>
  <c r="O125" i="72"/>
  <c r="J99" i="72"/>
  <c r="O122" i="72"/>
  <c r="L99" i="72"/>
  <c r="N113" i="72"/>
  <c r="J113" i="72"/>
  <c r="L113" i="72"/>
  <c r="O100" i="72"/>
  <c r="N99" i="72"/>
  <c r="O89" i="72"/>
  <c r="J84" i="72"/>
  <c r="L84" i="72"/>
  <c r="N84" i="72"/>
  <c r="O85" i="72"/>
  <c r="O154" i="72" l="1"/>
  <c r="P154" i="72" s="1"/>
  <c r="O161" i="72"/>
  <c r="P161" i="72" s="1"/>
  <c r="O147" i="72"/>
  <c r="P147" i="72" s="1"/>
  <c r="O120" i="72"/>
  <c r="P120" i="72" s="1"/>
  <c r="O113" i="72"/>
  <c r="P113" i="72" s="1"/>
  <c r="O84" i="72"/>
  <c r="P84" i="72" s="1"/>
  <c r="O99" i="72"/>
  <c r="P99" i="72" s="1"/>
  <c r="H58" i="72" l="1"/>
  <c r="N55" i="72"/>
  <c r="L55" i="72"/>
  <c r="J55" i="72"/>
  <c r="H54" i="72"/>
  <c r="H53" i="72"/>
  <c r="H52" i="72"/>
  <c r="H51" i="72"/>
  <c r="H16" i="72"/>
  <c r="H23" i="72" s="1"/>
  <c r="H47" i="72"/>
  <c r="H43" i="72"/>
  <c r="N49" i="72"/>
  <c r="L49" i="72"/>
  <c r="J49" i="72"/>
  <c r="N48" i="72"/>
  <c r="L48" i="72"/>
  <c r="J48" i="72"/>
  <c r="N46" i="72"/>
  <c r="L46" i="72"/>
  <c r="J46" i="72"/>
  <c r="N45" i="72"/>
  <c r="L45" i="72"/>
  <c r="J45" i="72"/>
  <c r="N44" i="72"/>
  <c r="L44" i="72"/>
  <c r="J44" i="72"/>
  <c r="J51" i="72" l="1"/>
  <c r="J47" i="72"/>
  <c r="N51" i="72"/>
  <c r="L51" i="72"/>
  <c r="N43" i="72"/>
  <c r="J54" i="72"/>
  <c r="L52" i="72"/>
  <c r="J52" i="72"/>
  <c r="L54" i="72"/>
  <c r="N52" i="72"/>
  <c r="N54" i="72"/>
  <c r="N53" i="72"/>
  <c r="J53" i="72"/>
  <c r="L53" i="72"/>
  <c r="O55" i="72"/>
  <c r="L43" i="72"/>
  <c r="L47" i="72"/>
  <c r="N47" i="72"/>
  <c r="O45" i="72"/>
  <c r="O46" i="72"/>
  <c r="O48" i="72"/>
  <c r="O49" i="72"/>
  <c r="O44" i="72"/>
  <c r="O52" i="72" l="1"/>
  <c r="O47" i="72"/>
  <c r="J50" i="72"/>
  <c r="O53" i="72"/>
  <c r="O54" i="72"/>
  <c r="L50" i="72"/>
  <c r="O51" i="72"/>
  <c r="N50" i="72"/>
  <c r="L42" i="72"/>
  <c r="N42" i="72"/>
  <c r="O50" i="72" l="1"/>
  <c r="P50" i="72" s="1"/>
  <c r="H39" i="72"/>
  <c r="H35" i="72"/>
  <c r="J62" i="72"/>
  <c r="L62" i="72"/>
  <c r="N62" i="72"/>
  <c r="H11" i="72"/>
  <c r="H10" i="72"/>
  <c r="H13" i="72" s="1"/>
  <c r="N33" i="72"/>
  <c r="L33" i="72"/>
  <c r="J33" i="72"/>
  <c r="H32" i="72"/>
  <c r="H31" i="72"/>
  <c r="H30" i="72"/>
  <c r="H29" i="72"/>
  <c r="H28" i="72"/>
  <c r="H27" i="72"/>
  <c r="H26" i="72"/>
  <c r="H25" i="72"/>
  <c r="H24" i="72"/>
  <c r="N22" i="72"/>
  <c r="L22" i="72"/>
  <c r="J22" i="72"/>
  <c r="G20" i="72"/>
  <c r="J14" i="72"/>
  <c r="L14" i="72"/>
  <c r="N14" i="72"/>
  <c r="J15" i="72"/>
  <c r="L15" i="72"/>
  <c r="N15" i="72"/>
  <c r="H19" i="69"/>
  <c r="H15" i="69"/>
  <c r="H10" i="69"/>
  <c r="H175" i="72"/>
  <c r="H171" i="72"/>
  <c r="H170" i="72"/>
  <c r="H61" i="72"/>
  <c r="H57" i="72"/>
  <c r="H144" i="72"/>
  <c r="H143" i="72"/>
  <c r="H145" i="72"/>
  <c r="H142" i="72"/>
  <c r="H138" i="72"/>
  <c r="H137" i="72"/>
  <c r="H139" i="72"/>
  <c r="J137" i="72"/>
  <c r="H136" i="72"/>
  <c r="H110" i="72"/>
  <c r="H109" i="72"/>
  <c r="H130" i="72"/>
  <c r="H95" i="72"/>
  <c r="H94" i="72"/>
  <c r="H67" i="72"/>
  <c r="H66" i="72"/>
  <c r="N11" i="72" l="1"/>
  <c r="L11" i="72"/>
  <c r="J60" i="72"/>
  <c r="O14" i="72"/>
  <c r="H21" i="72"/>
  <c r="L21" i="72" s="1"/>
  <c r="J11" i="72"/>
  <c r="H12" i="72"/>
  <c r="N12" i="72" s="1"/>
  <c r="H20" i="72"/>
  <c r="N20" i="72" s="1"/>
  <c r="N27" i="72"/>
  <c r="J30" i="72"/>
  <c r="J27" i="72"/>
  <c r="L27" i="72"/>
  <c r="H18" i="72"/>
  <c r="N18" i="72" s="1"/>
  <c r="N13" i="72"/>
  <c r="J59" i="72"/>
  <c r="L25" i="72"/>
  <c r="L31" i="72"/>
  <c r="J28" i="72"/>
  <c r="L18" i="72"/>
  <c r="J29" i="72"/>
  <c r="L29" i="72"/>
  <c r="N29" i="72"/>
  <c r="L24" i="72"/>
  <c r="N30" i="72"/>
  <c r="J25" i="72"/>
  <c r="J31" i="72"/>
  <c r="N25" i="72"/>
  <c r="N31" i="72"/>
  <c r="L28" i="72"/>
  <c r="N28" i="72"/>
  <c r="L30" i="72"/>
  <c r="J32" i="72"/>
  <c r="J24" i="72"/>
  <c r="N24" i="72"/>
  <c r="J26" i="72"/>
  <c r="L26" i="72"/>
  <c r="L32" i="72"/>
  <c r="N26" i="72"/>
  <c r="N32" i="72"/>
  <c r="O22" i="72"/>
  <c r="J13" i="72"/>
  <c r="L13" i="72"/>
  <c r="O33" i="72"/>
  <c r="O15" i="72"/>
  <c r="H19" i="72"/>
  <c r="J19" i="72" s="1"/>
  <c r="H17" i="72"/>
  <c r="L17" i="72" s="1"/>
  <c r="L136" i="72"/>
  <c r="J138" i="72"/>
  <c r="L145" i="72"/>
  <c r="L144" i="72"/>
  <c r="L138" i="72"/>
  <c r="N58" i="72"/>
  <c r="N60" i="72"/>
  <c r="L142" i="72"/>
  <c r="J61" i="72"/>
  <c r="N57" i="72"/>
  <c r="L59" i="72"/>
  <c r="L60" i="72"/>
  <c r="N59" i="72"/>
  <c r="J58" i="72"/>
  <c r="L58" i="72"/>
  <c r="J57" i="72"/>
  <c r="L61" i="72"/>
  <c r="L57" i="72"/>
  <c r="O62" i="72"/>
  <c r="N61" i="72"/>
  <c r="J145" i="72"/>
  <c r="N145" i="72"/>
  <c r="J139" i="72"/>
  <c r="N138" i="72"/>
  <c r="J142" i="72"/>
  <c r="N144" i="72"/>
  <c r="J144" i="72"/>
  <c r="J143" i="72"/>
  <c r="L143" i="72"/>
  <c r="N143" i="72"/>
  <c r="L137" i="72"/>
  <c r="N137" i="72"/>
  <c r="J136" i="72"/>
  <c r="L139" i="72"/>
  <c r="N139" i="72"/>
  <c r="O11" i="72" l="1"/>
  <c r="O137" i="72"/>
  <c r="O32" i="72"/>
  <c r="O26" i="72"/>
  <c r="J20" i="72"/>
  <c r="J12" i="72"/>
  <c r="J10" i="72" s="1"/>
  <c r="L12" i="72"/>
  <c r="N10" i="72"/>
  <c r="J18" i="72"/>
  <c r="O18" i="72" s="1"/>
  <c r="J21" i="72"/>
  <c r="N21" i="72"/>
  <c r="O29" i="72"/>
  <c r="L20" i="72"/>
  <c r="O25" i="72"/>
  <c r="O13" i="72"/>
  <c r="O31" i="72"/>
  <c r="O27" i="72"/>
  <c r="J23" i="72"/>
  <c r="O30" i="72"/>
  <c r="O28" i="72"/>
  <c r="O60" i="72"/>
  <c r="L23" i="72"/>
  <c r="N23" i="72"/>
  <c r="O24" i="72"/>
  <c r="N19" i="72"/>
  <c r="L19" i="72"/>
  <c r="J17" i="72"/>
  <c r="O138" i="72"/>
  <c r="N17" i="72"/>
  <c r="O57" i="72"/>
  <c r="O145" i="72"/>
  <c r="O59" i="72"/>
  <c r="N56" i="72"/>
  <c r="L56" i="72"/>
  <c r="L141" i="72"/>
  <c r="O58" i="72"/>
  <c r="J56" i="72"/>
  <c r="O61" i="72"/>
  <c r="L135" i="72"/>
  <c r="O144" i="72"/>
  <c r="O139" i="72"/>
  <c r="O143" i="72"/>
  <c r="O12" i="72" l="1"/>
  <c r="O10" i="72" s="1"/>
  <c r="O56" i="72"/>
  <c r="P56" i="72" s="1"/>
  <c r="L10" i="72"/>
  <c r="O20" i="72"/>
  <c r="O21" i="72"/>
  <c r="L16" i="72"/>
  <c r="J16" i="72"/>
  <c r="O23" i="72"/>
  <c r="P23" i="72" s="1"/>
  <c r="N16" i="72"/>
  <c r="O17" i="72"/>
  <c r="O19" i="72"/>
  <c r="P10" i="72" l="1"/>
  <c r="O16" i="72"/>
  <c r="P16" i="72" s="1"/>
  <c r="N16" i="56" l="1"/>
  <c r="O16" i="56" l="1"/>
  <c r="H48" i="73"/>
  <c r="H47" i="73"/>
  <c r="H46" i="73"/>
  <c r="H66" i="73"/>
  <c r="H65" i="73"/>
  <c r="P16" i="56" l="1"/>
  <c r="G29" i="88" l="1"/>
  <c r="J25" i="88"/>
  <c r="H24" i="88"/>
  <c r="H23" i="88"/>
  <c r="H27" i="88" l="1"/>
  <c r="H30" i="88"/>
  <c r="J30" i="88" s="1"/>
  <c r="H28" i="88"/>
  <c r="H29" i="88"/>
  <c r="J29" i="88" s="1"/>
  <c r="J24" i="88"/>
  <c r="J28" i="88" l="1"/>
  <c r="L32" i="88" l="1"/>
  <c r="L34" i="88" s="1"/>
  <c r="L35" i="88" s="1"/>
  <c r="L36" i="88" s="1"/>
  <c r="N32" i="88" l="1"/>
  <c r="N34" i="88" s="1"/>
  <c r="L37" i="88"/>
  <c r="L38" i="88" s="1"/>
  <c r="N35" i="88" l="1"/>
  <c r="N36" i="88" s="1"/>
  <c r="L39" i="88"/>
  <c r="L40" i="88" s="1"/>
  <c r="L41" i="88" l="1"/>
  <c r="L42" i="88" s="1"/>
  <c r="N37" i="88"/>
  <c r="N38" i="88" s="1"/>
  <c r="N39" i="88" l="1"/>
  <c r="N40" i="88" s="1"/>
  <c r="N41" i="88" l="1"/>
  <c r="N42" i="88" s="1"/>
  <c r="H149" i="73" l="1"/>
  <c r="H148" i="73"/>
  <c r="H147" i="73"/>
  <c r="H146" i="73"/>
  <c r="H145" i="73"/>
  <c r="H140" i="73"/>
  <c r="H139" i="73"/>
  <c r="H136" i="73"/>
  <c r="H135" i="73"/>
  <c r="H132" i="73"/>
  <c r="H131" i="73"/>
  <c r="H128" i="73"/>
  <c r="H127" i="73"/>
  <c r="H124" i="73"/>
  <c r="H123" i="73"/>
  <c r="H120" i="73"/>
  <c r="H119" i="73"/>
  <c r="H116" i="73"/>
  <c r="H115" i="73"/>
  <c r="H114" i="73"/>
  <c r="H110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84" i="73"/>
  <c r="H83" i="73"/>
  <c r="H78" i="73"/>
  <c r="H77" i="73"/>
  <c r="H76" i="73"/>
  <c r="H75" i="73"/>
  <c r="H74" i="73"/>
  <c r="H73" i="73"/>
  <c r="H72" i="73"/>
  <c r="H71" i="73"/>
  <c r="H70" i="73"/>
  <c r="H69" i="73"/>
  <c r="H62" i="73"/>
  <c r="H61" i="73"/>
  <c r="H58" i="73"/>
  <c r="H57" i="73"/>
  <c r="H54" i="73"/>
  <c r="H5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3" i="73"/>
  <c r="H22" i="73"/>
  <c r="H21" i="73"/>
  <c r="H20" i="73"/>
  <c r="H19" i="73"/>
  <c r="H13" i="73"/>
  <c r="H12" i="73"/>
  <c r="N184" i="72"/>
  <c r="L184" i="72"/>
  <c r="H180" i="72"/>
  <c r="J176" i="72"/>
  <c r="N189" i="72"/>
  <c r="L189" i="72"/>
  <c r="J189" i="72"/>
  <c r="N181" i="72"/>
  <c r="L181" i="72"/>
  <c r="J181" i="72"/>
  <c r="N179" i="72"/>
  <c r="L179" i="72"/>
  <c r="N178" i="72"/>
  <c r="L178" i="72"/>
  <c r="N177" i="72"/>
  <c r="L177" i="72"/>
  <c r="J177" i="72"/>
  <c r="N176" i="72"/>
  <c r="L176" i="72"/>
  <c r="H186" i="72"/>
  <c r="N207" i="72"/>
  <c r="L207" i="72"/>
  <c r="J207" i="72"/>
  <c r="N174" i="72"/>
  <c r="L174" i="72"/>
  <c r="J174" i="72"/>
  <c r="H172" i="72"/>
  <c r="N171" i="72"/>
  <c r="L171" i="72"/>
  <c r="J171" i="72"/>
  <c r="N170" i="72"/>
  <c r="L170" i="72"/>
  <c r="J170" i="72"/>
  <c r="H169" i="72"/>
  <c r="N134" i="72"/>
  <c r="L134" i="72"/>
  <c r="J134" i="72"/>
  <c r="N133" i="72"/>
  <c r="L133" i="72"/>
  <c r="J133" i="72"/>
  <c r="H132" i="72"/>
  <c r="N131" i="72"/>
  <c r="L131" i="72"/>
  <c r="J131" i="72"/>
  <c r="N130" i="72"/>
  <c r="L130" i="72"/>
  <c r="J130" i="72"/>
  <c r="H129" i="72"/>
  <c r="N112" i="72"/>
  <c r="L112" i="72"/>
  <c r="J112" i="72"/>
  <c r="H111" i="72"/>
  <c r="N110" i="72"/>
  <c r="L110" i="72"/>
  <c r="J110" i="72"/>
  <c r="N109" i="72"/>
  <c r="L109" i="72"/>
  <c r="J109" i="72"/>
  <c r="H108" i="72"/>
  <c r="N98" i="72"/>
  <c r="L98" i="72"/>
  <c r="J98" i="72"/>
  <c r="N97" i="72"/>
  <c r="L97" i="72"/>
  <c r="J97" i="72"/>
  <c r="H96" i="72"/>
  <c r="N95" i="72"/>
  <c r="L95" i="72"/>
  <c r="J95" i="72"/>
  <c r="N94" i="72"/>
  <c r="L94" i="72"/>
  <c r="J94" i="72"/>
  <c r="H93" i="72"/>
  <c r="N76" i="72"/>
  <c r="L76" i="72"/>
  <c r="J76" i="72"/>
  <c r="H75" i="72"/>
  <c r="N74" i="72"/>
  <c r="L74" i="72"/>
  <c r="J74" i="72"/>
  <c r="N73" i="72"/>
  <c r="L73" i="72"/>
  <c r="J73" i="72"/>
  <c r="H72" i="72"/>
  <c r="N69" i="72"/>
  <c r="L69" i="72"/>
  <c r="J69" i="72"/>
  <c r="H68" i="72"/>
  <c r="N67" i="72"/>
  <c r="L67" i="72"/>
  <c r="J67" i="72"/>
  <c r="N66" i="72"/>
  <c r="L66" i="72"/>
  <c r="J66" i="72"/>
  <c r="H65" i="72"/>
  <c r="N83" i="72"/>
  <c r="L83" i="72"/>
  <c r="J83" i="72"/>
  <c r="H82" i="72"/>
  <c r="N81" i="72"/>
  <c r="L81" i="72"/>
  <c r="J81" i="72"/>
  <c r="N80" i="72"/>
  <c r="L80" i="72"/>
  <c r="J80" i="72"/>
  <c r="N79" i="72"/>
  <c r="L79" i="72"/>
  <c r="J79" i="72"/>
  <c r="H78" i="72"/>
  <c r="N41" i="72"/>
  <c r="L41" i="72"/>
  <c r="J41" i="72"/>
  <c r="N40" i="72"/>
  <c r="L40" i="72"/>
  <c r="J40" i="72"/>
  <c r="N38" i="72"/>
  <c r="L38" i="72"/>
  <c r="J38" i="72"/>
  <c r="N37" i="72"/>
  <c r="L37" i="72"/>
  <c r="J37" i="72"/>
  <c r="N36" i="72"/>
  <c r="L36" i="72"/>
  <c r="J36" i="72"/>
  <c r="H29" i="69"/>
  <c r="H23" i="69"/>
  <c r="H21" i="69"/>
  <c r="H13" i="69"/>
  <c r="G32" i="69"/>
  <c r="H32" i="69" s="1"/>
  <c r="G31" i="69"/>
  <c r="G30" i="69"/>
  <c r="G26" i="69"/>
  <c r="G25" i="69"/>
  <c r="G24" i="69"/>
  <c r="H30" i="69" l="1"/>
  <c r="H31" i="69"/>
  <c r="H20" i="69"/>
  <c r="N39" i="72"/>
  <c r="J82" i="72"/>
  <c r="L68" i="72"/>
  <c r="L78" i="72"/>
  <c r="N132" i="72"/>
  <c r="J206" i="72"/>
  <c r="J183" i="72"/>
  <c r="J172" i="72"/>
  <c r="L93" i="72"/>
  <c r="N96" i="72"/>
  <c r="L82" i="72"/>
  <c r="N82" i="72"/>
  <c r="N183" i="72"/>
  <c r="O37" i="72"/>
  <c r="J169" i="72"/>
  <c r="J132" i="72"/>
  <c r="O74" i="72"/>
  <c r="O76" i="72"/>
  <c r="L132" i="72"/>
  <c r="O207" i="72"/>
  <c r="O94" i="72"/>
  <c r="L35" i="72"/>
  <c r="O67" i="72"/>
  <c r="O189" i="72"/>
  <c r="O41" i="72"/>
  <c r="O98" i="72"/>
  <c r="N173" i="72"/>
  <c r="O109" i="72"/>
  <c r="L183" i="72"/>
  <c r="J93" i="72"/>
  <c r="H188" i="72"/>
  <c r="O174" i="72"/>
  <c r="L111" i="72"/>
  <c r="H185" i="72"/>
  <c r="J78" i="72"/>
  <c r="O133" i="72"/>
  <c r="J65" i="72"/>
  <c r="L96" i="72"/>
  <c r="J108" i="72"/>
  <c r="L172" i="72"/>
  <c r="J180" i="72"/>
  <c r="L108" i="72"/>
  <c r="N172" i="72"/>
  <c r="O171" i="72"/>
  <c r="J96" i="72"/>
  <c r="L65" i="72"/>
  <c r="L169" i="72"/>
  <c r="L186" i="72"/>
  <c r="O181" i="72"/>
  <c r="O81" i="72"/>
  <c r="J72" i="72"/>
  <c r="O80" i="72"/>
  <c r="O79" i="72"/>
  <c r="O131" i="72"/>
  <c r="O95" i="72"/>
  <c r="O73" i="72"/>
  <c r="O130" i="72"/>
  <c r="J68" i="72"/>
  <c r="O112" i="72"/>
  <c r="N68" i="72"/>
  <c r="O40" i="72"/>
  <c r="O36" i="72"/>
  <c r="L206" i="72"/>
  <c r="L190" i="72" s="1"/>
  <c r="J129" i="72"/>
  <c r="O83" i="72"/>
  <c r="O177" i="72"/>
  <c r="N206" i="72"/>
  <c r="O38" i="72"/>
  <c r="O66" i="72"/>
  <c r="L75" i="72"/>
  <c r="J173" i="72"/>
  <c r="L173" i="72"/>
  <c r="O97" i="72"/>
  <c r="O110" i="72"/>
  <c r="O134" i="72"/>
  <c r="J39" i="72"/>
  <c r="O176" i="72"/>
  <c r="N186" i="72"/>
  <c r="L72" i="72"/>
  <c r="O170" i="72"/>
  <c r="J75" i="72"/>
  <c r="L129" i="72"/>
  <c r="N75" i="72"/>
  <c r="N180" i="72"/>
  <c r="N175" i="72" s="1"/>
  <c r="J111" i="72"/>
  <c r="O69" i="72"/>
  <c r="N111" i="72"/>
  <c r="L39" i="72"/>
  <c r="H24" i="69"/>
  <c r="H26" i="69"/>
  <c r="H25" i="69"/>
  <c r="H11" i="69"/>
  <c r="H12" i="69"/>
  <c r="O206" i="72" l="1"/>
  <c r="O190" i="72" s="1"/>
  <c r="O82" i="72"/>
  <c r="O132" i="72"/>
  <c r="O183" i="72"/>
  <c r="O39" i="72"/>
  <c r="L77" i="72"/>
  <c r="J188" i="72"/>
  <c r="L92" i="72"/>
  <c r="O96" i="72"/>
  <c r="O172" i="72"/>
  <c r="N188" i="72"/>
  <c r="L34" i="72"/>
  <c r="L168" i="72"/>
  <c r="L64" i="72"/>
  <c r="N185" i="72"/>
  <c r="J190" i="72"/>
  <c r="L185" i="72"/>
  <c r="O173" i="72"/>
  <c r="L107" i="72"/>
  <c r="L128" i="72"/>
  <c r="N190" i="72"/>
  <c r="O75" i="72"/>
  <c r="L71" i="72"/>
  <c r="O111" i="72"/>
  <c r="O68" i="72"/>
  <c r="H17" i="69"/>
  <c r="H16" i="69"/>
  <c r="N182" i="72" l="1"/>
  <c r="P190" i="72"/>
  <c r="O9" i="73" l="1"/>
  <c r="J34" i="69"/>
  <c r="I9" i="69" l="1"/>
  <c r="O35" i="69" l="1"/>
  <c r="H10" i="56" s="1"/>
  <c r="L34" i="69"/>
  <c r="L36" i="69" s="1"/>
  <c r="L37" i="69" s="1"/>
  <c r="L38" i="69" s="1"/>
  <c r="J35" i="69" l="1"/>
  <c r="L39" i="69"/>
  <c r="L40" i="69" s="1"/>
  <c r="J36" i="69" l="1"/>
  <c r="J37" i="69" s="1"/>
  <c r="J38" i="69" s="1"/>
  <c r="J39" i="69" s="1"/>
  <c r="J40" i="69" s="1"/>
  <c r="L41" i="69"/>
  <c r="L42" i="69" s="1"/>
  <c r="J41" i="69" l="1"/>
  <c r="J42" i="69" s="1"/>
  <c r="L43" i="69"/>
  <c r="L44" i="69" s="1"/>
  <c r="J43" i="69" l="1"/>
  <c r="J44" i="69" s="1"/>
  <c r="J43" i="72" l="1"/>
  <c r="J35" i="72"/>
  <c r="J42" i="72" l="1"/>
  <c r="O43" i="72"/>
  <c r="O42" i="72" s="1"/>
  <c r="P42" i="72" s="1"/>
  <c r="N210" i="73" l="1"/>
  <c r="N212" i="73" s="1"/>
  <c r="N213" i="73" s="1"/>
  <c r="N214" i="73" s="1"/>
  <c r="N215" i="73" s="1"/>
  <c r="N216" i="73" s="1"/>
  <c r="N217" i="73" s="1"/>
  <c r="N218" i="73" s="1"/>
  <c r="N219" i="73" s="1"/>
  <c r="N220" i="73" s="1"/>
  <c r="L180" i="72" l="1"/>
  <c r="L188" i="72"/>
  <c r="L182" i="72" s="1"/>
  <c r="O188" i="72" l="1"/>
  <c r="L175" i="72"/>
  <c r="O180" i="72"/>
  <c r="L210" i="73" l="1"/>
  <c r="L212" i="73" l="1"/>
  <c r="L213" i="73" s="1"/>
  <c r="L214" i="73" s="1"/>
  <c r="L215" i="73" s="1"/>
  <c r="L216" i="73" s="1"/>
  <c r="L217" i="73" s="1"/>
  <c r="L218" i="73" s="1"/>
  <c r="L219" i="73" s="1"/>
  <c r="L220" i="73" s="1"/>
  <c r="L587" i="87" l="1"/>
  <c r="J587" i="87" l="1"/>
  <c r="O587" i="87"/>
  <c r="G13" i="56" s="1"/>
  <c r="J186" i="72" l="1"/>
  <c r="O186" i="72" s="1"/>
  <c r="J27" i="88" l="1"/>
  <c r="J26" i="88" l="1"/>
  <c r="N136" i="72" l="1"/>
  <c r="N142" i="72"/>
  <c r="N129" i="72"/>
  <c r="N35" i="72"/>
  <c r="N65" i="72"/>
  <c r="N93" i="72"/>
  <c r="N78" i="72"/>
  <c r="N169" i="72"/>
  <c r="N72" i="72"/>
  <c r="N108" i="72"/>
  <c r="J210" i="73"/>
  <c r="N77" i="72" l="1"/>
  <c r="O78" i="72"/>
  <c r="O93" i="72"/>
  <c r="N92" i="72"/>
  <c r="O65" i="72"/>
  <c r="N64" i="72"/>
  <c r="N71" i="72"/>
  <c r="O72" i="72"/>
  <c r="O35" i="72"/>
  <c r="N34" i="72"/>
  <c r="N107" i="72"/>
  <c r="O108" i="72"/>
  <c r="O129" i="72"/>
  <c r="N128" i="72"/>
  <c r="N141" i="72"/>
  <c r="O142" i="72"/>
  <c r="N168" i="72"/>
  <c r="O169" i="72"/>
  <c r="N135" i="72"/>
  <c r="O136" i="72"/>
  <c r="J179" i="72" l="1"/>
  <c r="O179" i="72" s="1"/>
  <c r="J185" i="72"/>
  <c r="O185" i="72" s="1"/>
  <c r="J178" i="72"/>
  <c r="J184" i="72"/>
  <c r="J182" i="72" l="1"/>
  <c r="O184" i="72"/>
  <c r="O182" i="72" s="1"/>
  <c r="P182" i="72" s="1"/>
  <c r="O178" i="72"/>
  <c r="O175" i="72" s="1"/>
  <c r="J175" i="72"/>
  <c r="P175" i="72" l="1"/>
  <c r="J211" i="73" l="1"/>
  <c r="J212" i="73" s="1"/>
  <c r="J213" i="73" s="1"/>
  <c r="J214" i="73" s="1"/>
  <c r="J215" i="73" s="1"/>
  <c r="J216" i="73" s="1"/>
  <c r="J217" i="73" s="1"/>
  <c r="J218" i="73" s="1"/>
  <c r="J219" i="73" s="1"/>
  <c r="J220" i="73" s="1"/>
  <c r="O211" i="73"/>
  <c r="H14" i="56" s="1"/>
  <c r="G14" i="56"/>
  <c r="O212" i="73" l="1"/>
  <c r="O213" i="73" s="1"/>
  <c r="I14" i="56" s="1"/>
  <c r="O214" i="73" l="1"/>
  <c r="O215" i="73" l="1"/>
  <c r="J14" i="56" s="1"/>
  <c r="G10" i="56"/>
  <c r="O36" i="69"/>
  <c r="N34" i="69"/>
  <c r="N36" i="69" s="1"/>
  <c r="N37" i="69" s="1"/>
  <c r="N38" i="69" s="1"/>
  <c r="N39" i="69" s="1"/>
  <c r="N40" i="69" s="1"/>
  <c r="N41" i="69" s="1"/>
  <c r="N42" i="69" s="1"/>
  <c r="N43" i="69" s="1"/>
  <c r="N44" i="69" s="1"/>
  <c r="J23" i="88"/>
  <c r="O216" i="73" l="1"/>
  <c r="O217" i="73" s="1"/>
  <c r="K14" i="56" s="1"/>
  <c r="J22" i="88"/>
  <c r="O37" i="69"/>
  <c r="I10" i="56" s="1"/>
  <c r="O218" i="73" l="1"/>
  <c r="O219" i="73" s="1"/>
  <c r="L14" i="56" s="1"/>
  <c r="M14" i="56" s="1"/>
  <c r="O14" i="56" s="1"/>
  <c r="P14" i="56" s="1"/>
  <c r="O38" i="69"/>
  <c r="O39" i="69" s="1"/>
  <c r="O220" i="73" l="1"/>
  <c r="P220" i="73" s="1"/>
  <c r="J10" i="56"/>
  <c r="O40" i="69"/>
  <c r="O41" i="69" s="1"/>
  <c r="K10" i="56" s="1"/>
  <c r="N14" i="56"/>
  <c r="M5" i="73" l="1"/>
  <c r="O42" i="69"/>
  <c r="O43" i="69" s="1"/>
  <c r="L10" i="56" s="1"/>
  <c r="M10" i="56" s="1"/>
  <c r="O10" i="56" s="1"/>
  <c r="O44" i="69" l="1"/>
  <c r="M5" i="69"/>
  <c r="P44" i="69"/>
  <c r="O32" i="88" l="1"/>
  <c r="G12" i="56" l="1"/>
  <c r="J32" i="88"/>
  <c r="O33" i="88" l="1"/>
  <c r="J33" i="88"/>
  <c r="J34" i="88" s="1"/>
  <c r="J35" i="88" s="1"/>
  <c r="J36" i="88" s="1"/>
  <c r="J37" i="88" s="1"/>
  <c r="J38" i="88" s="1"/>
  <c r="J39" i="88" s="1"/>
  <c r="J40" i="88" s="1"/>
  <c r="J41" i="88" s="1"/>
  <c r="J42" i="88" s="1"/>
  <c r="H12" i="56" l="1"/>
  <c r="O34" i="88"/>
  <c r="O35" i="88" l="1"/>
  <c r="I12" i="56" s="1"/>
  <c r="O36" i="88" l="1"/>
  <c r="O37" i="88" s="1"/>
  <c r="J12" i="56" l="1"/>
  <c r="O38" i="88"/>
  <c r="O39" i="88"/>
  <c r="K12" i="56" s="1"/>
  <c r="O40" i="88" l="1"/>
  <c r="O41" i="88" s="1"/>
  <c r="L12" i="56" l="1"/>
  <c r="M12" i="56" s="1"/>
  <c r="O12" i="56" s="1"/>
  <c r="P12" i="56" s="1"/>
  <c r="O42" i="88"/>
  <c r="M5" i="88" s="1"/>
  <c r="J34" i="72"/>
  <c r="O34" i="72"/>
  <c r="J107" i="72"/>
  <c r="O107" i="72"/>
  <c r="P107" i="72" s="1"/>
  <c r="O128" i="72"/>
  <c r="P128" i="72" s="1"/>
  <c r="J128" i="72"/>
  <c r="O77" i="72"/>
  <c r="P77" i="72" s="1"/>
  <c r="J77" i="72"/>
  <c r="J168" i="72"/>
  <c r="O168" i="72"/>
  <c r="P168" i="72" s="1"/>
  <c r="O71" i="72"/>
  <c r="P71" i="72" s="1"/>
  <c r="J71" i="72"/>
  <c r="J92" i="72"/>
  <c r="O92" i="72"/>
  <c r="P92" i="72" s="1"/>
  <c r="J64" i="72"/>
  <c r="O64" i="72"/>
  <c r="P64" i="72" s="1"/>
  <c r="O135" i="72"/>
  <c r="P135" i="72" s="1"/>
  <c r="J135" i="72"/>
  <c r="O141" i="72"/>
  <c r="P141" i="72" s="1"/>
  <c r="J141" i="72"/>
  <c r="P42" i="88" l="1"/>
  <c r="N12" i="56"/>
  <c r="O9" i="72"/>
  <c r="O208" i="72" s="1"/>
  <c r="P34" i="72"/>
  <c r="N10" i="56" l="1"/>
  <c r="P10" i="56"/>
  <c r="G11" i="56" l="1"/>
  <c r="N208" i="72"/>
  <c r="N210" i="72" s="1"/>
  <c r="N211" i="72" l="1"/>
  <c r="N212" i="72" s="1"/>
  <c r="N213" i="72" l="1"/>
  <c r="N214" i="72" s="1"/>
  <c r="N215" i="72" l="1"/>
  <c r="N216" i="72" s="1"/>
  <c r="N217" i="72" l="1"/>
  <c r="N218" i="72" s="1"/>
  <c r="L208" i="72"/>
  <c r="L210" i="72" s="1"/>
  <c r="L211" i="72" l="1"/>
  <c r="L212" i="72" s="1"/>
  <c r="L213" i="72" l="1"/>
  <c r="L214" i="72" s="1"/>
  <c r="L215" i="72" l="1"/>
  <c r="L216" i="72" s="1"/>
  <c r="L217" i="72" l="1"/>
  <c r="L218" i="72" s="1"/>
  <c r="J208" i="72"/>
  <c r="O209" i="72" s="1"/>
  <c r="H11" i="56" s="1"/>
  <c r="O210" i="72" l="1"/>
  <c r="O211" i="72" s="1"/>
  <c r="I11" i="56" s="1"/>
  <c r="J209" i="72"/>
  <c r="J210" i="72" s="1"/>
  <c r="O212" i="72" l="1"/>
  <c r="O213" i="72" s="1"/>
  <c r="J11" i="56" s="1"/>
  <c r="J211" i="72"/>
  <c r="J212" i="72" s="1"/>
  <c r="O214" i="72" l="1"/>
  <c r="O215" i="72" s="1"/>
  <c r="K11" i="56" s="1"/>
  <c r="J213" i="72"/>
  <c r="J214" i="72" s="1"/>
  <c r="O216" i="72" l="1"/>
  <c r="O217" i="72" s="1"/>
  <c r="L11" i="56" s="1"/>
  <c r="M11" i="56" s="1"/>
  <c r="O11" i="56" s="1"/>
  <c r="J215" i="72"/>
  <c r="J216" i="72" s="1"/>
  <c r="O218" i="72" l="1"/>
  <c r="M5" i="72" s="1"/>
  <c r="N11" i="56"/>
  <c r="P11" i="56"/>
  <c r="J217" i="72"/>
  <c r="J218" i="72" s="1"/>
  <c r="N589" i="87"/>
  <c r="N590" i="87" l="1"/>
  <c r="N591" i="87" l="1"/>
  <c r="N592" i="87" s="1"/>
  <c r="N593" i="87" l="1"/>
  <c r="N594" i="87" s="1"/>
  <c r="N595" i="87" l="1"/>
  <c r="N596" i="87" s="1"/>
  <c r="L589" i="87"/>
  <c r="N597" i="87" l="1"/>
  <c r="L590" i="87"/>
  <c r="L591" i="87" l="1"/>
  <c r="L592" i="87" s="1"/>
  <c r="L593" i="87" l="1"/>
  <c r="L594" i="87" s="1"/>
  <c r="L595" i="87" l="1"/>
  <c r="L596" i="87" s="1"/>
  <c r="L597" i="87" l="1"/>
  <c r="O588" i="87"/>
  <c r="H13" i="56" s="1"/>
  <c r="J588" i="87"/>
  <c r="J589" i="87" s="1"/>
  <c r="O589" i="87" l="1"/>
  <c r="J590" i="87"/>
  <c r="J591" i="87" s="1"/>
  <c r="O590" i="87" l="1"/>
  <c r="I13" i="56" s="1"/>
  <c r="J592" i="87"/>
  <c r="J593" i="87" s="1"/>
  <c r="O591" i="87" l="1"/>
  <c r="O592" i="87" s="1"/>
  <c r="J13" i="56" s="1"/>
  <c r="J594" i="87"/>
  <c r="J595" i="87" s="1"/>
  <c r="O593" i="87" l="1"/>
  <c r="O594" i="87" s="1"/>
  <c r="K13" i="56" s="1"/>
  <c r="J596" i="87"/>
  <c r="J597" i="87" s="1"/>
  <c r="O595" i="87" l="1"/>
  <c r="O596" i="87" l="1"/>
  <c r="L13" i="56" s="1"/>
  <c r="M13" i="56" s="1"/>
  <c r="N13" i="56" s="1"/>
  <c r="O13" i="56" l="1"/>
  <c r="P13" i="56" s="1"/>
  <c r="O597" i="87"/>
  <c r="G17" i="56"/>
  <c r="H17" i="56"/>
  <c r="M5" i="87" l="1"/>
  <c r="P597" i="87"/>
  <c r="J17" i="56" l="1"/>
  <c r="I17" i="56"/>
  <c r="K17" i="56"/>
  <c r="L17" i="56" l="1"/>
  <c r="M17" i="56" l="1"/>
  <c r="O17" i="56" l="1"/>
  <c r="P17" i="56" s="1"/>
  <c r="N17" i="56"/>
  <c r="M8" i="56" l="1"/>
</calcChain>
</file>

<file path=xl/sharedStrings.xml><?xml version="1.0" encoding="utf-8"?>
<sst xmlns="http://schemas.openxmlformats.org/spreadsheetml/2006/main" count="2103" uniqueCount="474">
  <si>
    <t>#</t>
  </si>
  <si>
    <t>ც</t>
  </si>
  <si>
    <t>ხარჯის კოდი</t>
  </si>
  <si>
    <t>ლოკაცია</t>
  </si>
  <si>
    <t>სამუშაოს აღწერა</t>
  </si>
  <si>
    <t>განზომილება</t>
  </si>
  <si>
    <t>ნორმატივი</t>
  </si>
  <si>
    <t>რაოდენობა</t>
  </si>
  <si>
    <t>ერთ. ფასი</t>
  </si>
  <si>
    <t>ჯამური ფასი</t>
  </si>
  <si>
    <t>ჯამი</t>
  </si>
  <si>
    <t>მასალა</t>
  </si>
  <si>
    <t>მექანიზმი</t>
  </si>
  <si>
    <t>ექსკავატორი</t>
  </si>
  <si>
    <t>ავტოთვითმცლელი</t>
  </si>
  <si>
    <t>ტ</t>
  </si>
  <si>
    <t>პომპა</t>
  </si>
  <si>
    <t>ბეტონის მომზადების ხელობა</t>
  </si>
  <si>
    <t>ბეტონი C20/25</t>
  </si>
  <si>
    <t>გამომწვარი მავთული</t>
  </si>
  <si>
    <t>კგ</t>
  </si>
  <si>
    <t>სამშენებლო ფანერა</t>
  </si>
  <si>
    <t>H - კოჭები</t>
  </si>
  <si>
    <t>გრძ.მ</t>
  </si>
  <si>
    <t>ხის მასალა</t>
  </si>
  <si>
    <t>მონოლითის ხელფასი ფილა</t>
  </si>
  <si>
    <t>მონოლითის ხელფასი კედელი</t>
  </si>
  <si>
    <t>მონოლითის ხელფასი კიბე</t>
  </si>
  <si>
    <t>საფეხური</t>
  </si>
  <si>
    <t>ბეტონი C12/15</t>
  </si>
  <si>
    <t>პირდაპირი დანახარჯების ჯამი</t>
  </si>
  <si>
    <t>ტრანსპორტირება</t>
  </si>
  <si>
    <t>ზედნადები ხარჯი</t>
  </si>
  <si>
    <t>მოგება</t>
  </si>
  <si>
    <t>დღგ</t>
  </si>
  <si>
    <t>უსაფრთხოება</t>
  </si>
  <si>
    <t>ჯამი სულ</t>
  </si>
  <si>
    <t>ქვეჯამი</t>
  </si>
  <si>
    <t>საშუალო ერთეული ფასი</t>
  </si>
  <si>
    <t>დანგრატები</t>
  </si>
  <si>
    <t>მ2</t>
  </si>
  <si>
    <t>მ</t>
  </si>
  <si>
    <r>
      <t>მ</t>
    </r>
    <r>
      <rPr>
        <b/>
        <vertAlign val="superscript"/>
        <sz val="16"/>
        <color theme="1"/>
        <rFont val="Calibri"/>
        <family val="2"/>
        <scheme val="minor"/>
      </rPr>
      <t>3</t>
    </r>
  </si>
  <si>
    <r>
      <t>მ</t>
    </r>
    <r>
      <rPr>
        <vertAlign val="superscript"/>
        <sz val="16"/>
        <color theme="1"/>
        <rFont val="Calibri"/>
        <family val="2"/>
        <scheme val="minor"/>
      </rPr>
      <t>3</t>
    </r>
  </si>
  <si>
    <r>
      <t>მ</t>
    </r>
    <r>
      <rPr>
        <b/>
        <vertAlign val="superscript"/>
        <sz val="16"/>
        <color theme="1"/>
        <rFont val="Calibri"/>
        <family val="2"/>
        <scheme val="minor"/>
      </rPr>
      <t>2</t>
    </r>
  </si>
  <si>
    <r>
      <t>მ</t>
    </r>
    <r>
      <rPr>
        <vertAlign val="superscript"/>
        <sz val="16"/>
        <color theme="1"/>
        <rFont val="Calibri"/>
        <family val="2"/>
        <scheme val="minor"/>
      </rPr>
      <t>2</t>
    </r>
  </si>
  <si>
    <t>კომპ</t>
  </si>
  <si>
    <t>გაზი</t>
  </si>
  <si>
    <t>ჰიდროიზოლაციის წასმის ხელფასი</t>
  </si>
  <si>
    <t>ჰიდროსაიზოლაციო მასტიკა Profimast</t>
  </si>
  <si>
    <t>ბულდოზერი</t>
  </si>
  <si>
    <t>ქვიშა</t>
  </si>
  <si>
    <t>ცემენტი M300</t>
  </si>
  <si>
    <t>წყალი</t>
  </si>
  <si>
    <t>პოლიურეთანის სამონტაჟო ქაფი</t>
  </si>
  <si>
    <t>10-იანი ბლოკის წყობის ხელფასი</t>
  </si>
  <si>
    <t>ლ</t>
  </si>
  <si>
    <t>სანიშნულე პროფილი 6 მმ</t>
  </si>
  <si>
    <t>სანიშნულე პროფილი 10 მმ</t>
  </si>
  <si>
    <t>ბეტონკონტაქტი</t>
  </si>
  <si>
    <t>აპარატით ლესვა</t>
  </si>
  <si>
    <t>ლითონის კარი</t>
  </si>
  <si>
    <t>ბეტონის ბლოკი 10*19.5*39.5 სმ</t>
  </si>
  <si>
    <t>ქვიშა-ცემენტის ხსნარის მომზადება M75</t>
  </si>
  <si>
    <t>თაბაშირის ბათქაში მანქანური Izogips JET</t>
  </si>
  <si>
    <t>ლესვის ხელფასი</t>
  </si>
  <si>
    <t>მოჭიმვის მოწყობის ხელფასი</t>
  </si>
  <si>
    <t>ქვიშა-ცემენტის ხსნარი M100</t>
  </si>
  <si>
    <t>ლილვაკი სახელურით</t>
  </si>
  <si>
    <t>ჰიდროიზოლაციის დაგების ხელფასი</t>
  </si>
  <si>
    <t>ლითონის მოაჯირის მოწყობის ხელფასი</t>
  </si>
  <si>
    <t>ლითონის კარის მონტაჟის ხელფასი</t>
  </si>
  <si>
    <t>სატკეპნი 10 ტონიანი</t>
  </si>
  <si>
    <t>ღორღი 0-20 მმ ფრაქცია</t>
  </si>
  <si>
    <t>სტრუქტურული ლითონის ხელფასი</t>
  </si>
  <si>
    <t>ელ. წერტილის მოწყობის ხელფასი</t>
  </si>
  <si>
    <t>სასიგნალო ლენტი</t>
  </si>
  <si>
    <t>მანქანა-დღე</t>
  </si>
  <si>
    <t>წერტილი</t>
  </si>
  <si>
    <t>პლასტმასის დუბელი 120 მმ</t>
  </si>
  <si>
    <t>ყინვაგამძლე წებო-ცემენტი</t>
  </si>
  <si>
    <t>კნაუფის არმირების ბადე ფასადის დათბუნებისათვის 160 გრ/კვ.მ</t>
  </si>
  <si>
    <t>გრუნტი Capatect Putzgrund 610</t>
  </si>
  <si>
    <t>ფასადის დეკორატიული ფითხი Caparol Capatect Mineral-Leichtputz R30</t>
  </si>
  <si>
    <t>ფასადის დეკორატიული ლესვა დათბუნებით ხელფასი</t>
  </si>
  <si>
    <t>ფასადის ქვაბამბა 50 მმ 100 კგ/მ3</t>
  </si>
  <si>
    <t>ხელფასი/მომსახურება</t>
  </si>
  <si>
    <t>ფუგა სილიკონით</t>
  </si>
  <si>
    <t>შოვის მარეგულირებელი კლიპსები</t>
  </si>
  <si>
    <t>სიმაღლის მარეგულირებელი სოლები</t>
  </si>
  <si>
    <t>კერამიკული ფილის დაგების ხელფასი</t>
  </si>
  <si>
    <t>წებოცემენტი</t>
  </si>
  <si>
    <t>საღებავი Caparol Capasilan</t>
  </si>
  <si>
    <t>პლინტუსის მოწყობის ხელფასი</t>
  </si>
  <si>
    <t>სამაგრი მილის</t>
  </si>
  <si>
    <t>მუხლი</t>
  </si>
  <si>
    <t>წყალსაწრეტი მილის მოწყობის ხელფასი</t>
  </si>
  <si>
    <t>სავენტილაციო შახტის ქუდი 1.2*0.6</t>
  </si>
  <si>
    <t>სავენტილაციო შახტის ქუდის მოწყობის ხელფასი</t>
  </si>
  <si>
    <t>ჭერების მოპრიალების ხელფასი</t>
  </si>
  <si>
    <t>მაკლავიცა ლაქის</t>
  </si>
  <si>
    <t>ბეტონის და ქვის ლაქი</t>
  </si>
  <si>
    <t>ქვის სახეხი დისკი</t>
  </si>
  <si>
    <t>ფიქსატორი</t>
  </si>
  <si>
    <t>ლურსმანი</t>
  </si>
  <si>
    <t>ლითონის საჭრელი ქვა</t>
  </si>
  <si>
    <t>ჩამკეტი გალვანიზირებული 4 მმ (პეპელა)</t>
  </si>
  <si>
    <t>მეტალის სამფეხი (T)</t>
  </si>
  <si>
    <t>საპოხი ზეთი</t>
  </si>
  <si>
    <t>სამშენებლო კოჭის დამჭერი (ჩანგალი)</t>
  </si>
  <si>
    <t>გამანაწილებელი კოლოფი</t>
  </si>
  <si>
    <t>დამცავი კუთხოვანა Knauf</t>
  </si>
  <si>
    <t>ტაიროდის ქანჩი</t>
  </si>
  <si>
    <t>ხრახნიანი ღერო</t>
  </si>
  <si>
    <t>დამცავი მილი და კონუსი</t>
  </si>
  <si>
    <t>ავტოამწე 30 ტონიანი</t>
  </si>
  <si>
    <t>ადგილი</t>
  </si>
  <si>
    <t>მილკვადრატი 40*60*2.8</t>
  </si>
  <si>
    <t>შედუღების ელექტროდი E6013</t>
  </si>
  <si>
    <t>ქიმიური ანკერი</t>
  </si>
  <si>
    <t>მილკვადრატი 40*40*2</t>
  </si>
  <si>
    <t>ამომრთველი 1P MCB 63 A</t>
  </si>
  <si>
    <t>ამომრთველი 1P MCB 16 A</t>
  </si>
  <si>
    <t>PP მილი 110*3.2 მმ</t>
  </si>
  <si>
    <t>წყლის მრიცხველი</t>
  </si>
  <si>
    <t>კერამიკული ფილა 60*60 ირანი</t>
  </si>
  <si>
    <t>ძაბვის დამცავი 3 ფაზა</t>
  </si>
  <si>
    <t>ქართული გრანიტის კიბის საფეხურის კომპლექტი</t>
  </si>
  <si>
    <t>ამომრთველი 1P MCB 10 A</t>
  </si>
  <si>
    <t>კაბელის დაქსელვის ხელფასი</t>
  </si>
  <si>
    <t>კონტაქტორი 2P 25 A</t>
  </si>
  <si>
    <t>კანალიზაციის წერტილის მოწყობის ხელფასი</t>
  </si>
  <si>
    <t>წყალმომარაგების წერტილის მოწყობის ხელფასი</t>
  </si>
  <si>
    <t>ფოლადის მილი 50 მმ</t>
  </si>
  <si>
    <t>ფოლადის მილი 32 მმ</t>
  </si>
  <si>
    <t>ბინა</t>
  </si>
  <si>
    <t>გაზის ბურთულიანი ონკანი 20 მმ</t>
  </si>
  <si>
    <t>გაზის ბურთულიანი ონკანი 15 მმ</t>
  </si>
  <si>
    <t>შეკვრა</t>
  </si>
  <si>
    <t>არმატურა B500B Ø = 8 მმ</t>
  </si>
  <si>
    <t>Eskaro Grover Dysperbit DB ბიტუმ-რეზინის მასტიკა</t>
  </si>
  <si>
    <t>ლილვაკის თავი</t>
  </si>
  <si>
    <t>რკ/ბეტონის ფილის მოწყობა</t>
  </si>
  <si>
    <t>რკ/ბეტონის რიგელების მოწყობა</t>
  </si>
  <si>
    <t>ბეტონი C20/25 W8</t>
  </si>
  <si>
    <t>ბეტონი C25/30</t>
  </si>
  <si>
    <t>FX USD/GEL</t>
  </si>
  <si>
    <t>ორთქლსაიზოლაციო მემბრანა ROCKWOOL</t>
  </si>
  <si>
    <t>ფასადი</t>
  </si>
  <si>
    <t>ჰიდროიზოლაცია ორკომპონენტიანი ელასტიური Weber.dry UV coat</t>
  </si>
  <si>
    <t>ბიტუმის პრაიმერი Profimast</t>
  </si>
  <si>
    <t>ზოლოვანა 40*4</t>
  </si>
  <si>
    <t>კუთხოვანა 100*6</t>
  </si>
  <si>
    <t>ქანჩი 12 მმ</t>
  </si>
  <si>
    <t>ანკერი კაუჭით 12*16*100</t>
  </si>
  <si>
    <t>კარის სახელური</t>
  </si>
  <si>
    <t>კარის პეტლები ფარული</t>
  </si>
  <si>
    <t>კარის საკეტი</t>
  </si>
  <si>
    <t>ქართული გრანიტი IMER GREY</t>
  </si>
  <si>
    <t>საფეხურის დაგების ხელფასი</t>
  </si>
  <si>
    <t>პოლიპროპილენის (PPR) ცივი და ცხელი წყლის მილი 50 მმ</t>
  </si>
  <si>
    <t>პოლიპროპილენის (PPR) ცივი და ცხელი წყლის მილი 25 მმ</t>
  </si>
  <si>
    <t>პოლიპროპილენის (PPR) ცივი და ცხელი წყლის მილი 20 მმ</t>
  </si>
  <si>
    <t>Crosslinked polyethylene (PEX) მეტალოპლასტიკის მილი 16 მმ</t>
  </si>
  <si>
    <t>საიზოლაციო მილის შეფუთვა COATED P.E RED 22*10 მმ</t>
  </si>
  <si>
    <t>PVC (Polyvinyl Chloride) წყალარინების მილი 110 მმ</t>
  </si>
  <si>
    <t>PVC (Polyvinyl Chloride) წყალარინების მილი 50 მმ</t>
  </si>
  <si>
    <t>ფოლადის მასალა</t>
  </si>
  <si>
    <t>მონოლითის ხელფასი გრძივი</t>
  </si>
  <si>
    <t>ცხლადნაგლინი ფურცლოვანა</t>
  </si>
  <si>
    <t>ქანჩები და საყელურები</t>
  </si>
  <si>
    <t>პოლიეთილენის თერმული ფირი</t>
  </si>
  <si>
    <t>Total</t>
  </si>
  <si>
    <t>მრგვალი მილი 21.3*2 მმ</t>
  </si>
  <si>
    <t>Grand total ($):</t>
  </si>
  <si>
    <t>Revision: R00</t>
  </si>
  <si>
    <t>Sheet Name</t>
  </si>
  <si>
    <t>Direct Costs</t>
  </si>
  <si>
    <t>Transportation</t>
  </si>
  <si>
    <t>HSE</t>
  </si>
  <si>
    <t>Overhead Costs</t>
  </si>
  <si>
    <t>Profit</t>
  </si>
  <si>
    <t>VAT</t>
  </si>
  <si>
    <t>Total ($)</t>
  </si>
  <si>
    <t>GEL/sq.m</t>
  </si>
  <si>
    <t>$/sq.m</t>
  </si>
  <si>
    <t>Sheet: Summary</t>
  </si>
  <si>
    <t>Elevation</t>
  </si>
  <si>
    <t>პროექტით</t>
  </si>
  <si>
    <t>მონოლითის სხვა დამხმარე მასალა</t>
  </si>
  <si>
    <t>რკ/ბეტონის კარკასის სამუშაოები</t>
  </si>
  <si>
    <t>ბეტონის მომზადების მოწყობა</t>
  </si>
  <si>
    <t>მიწის და ინერტული სამუშაოები</t>
  </si>
  <si>
    <t>წყალსაწრეტი პოლიპროპილენის მილების მოწყობა 110 მმ</t>
  </si>
  <si>
    <t>იატაკები</t>
  </si>
  <si>
    <t>მოაჯირები</t>
  </si>
  <si>
    <t>კედლები</t>
  </si>
  <si>
    <t>ჭერები</t>
  </si>
  <si>
    <t>იატაკის მოჭიმვის მოწყობა დათბუნების გარეშე h=10 სმ</t>
  </si>
  <si>
    <t>კარები, ფანჯრები</t>
  </si>
  <si>
    <t>ლითონის კარის მოწყობა</t>
  </si>
  <si>
    <t>რკ/ბეტონის კედლების მოწყობა</t>
  </si>
  <si>
    <t>გრუნტის ექსკავაცია და გატანა (არაკლდოვანი)</t>
  </si>
  <si>
    <t>მანქანა-საათი</t>
  </si>
  <si>
    <t>ქართული გრანიტით იატაკის მოწყობა</t>
  </si>
  <si>
    <t>კიბის საფეხურის მოწყობა ქართული გრანიტით</t>
  </si>
  <si>
    <t>სავენტილაციო შახტის ქუდების მოწყობა</t>
  </si>
  <si>
    <t>იატაკების ჰიდროიზოლაცია წასასმელი ორკომპონენტიანი 2 მმ სისქის</t>
  </si>
  <si>
    <t>შავი ლითონის მოაჯირების მოწყობა ზოლოვანებით</t>
  </si>
  <si>
    <t>გრუნტის უკუჩაყრა</t>
  </si>
  <si>
    <t>იატაკის მოპირკეთება კერამიკული ფილებით ირანი</t>
  </si>
  <si>
    <t>პლინტუსების მოწყობა კერამიკული ფილით ირანი</t>
  </si>
  <si>
    <t>ბეტონის ჭერის მოპრიალება და გალაქვა</t>
  </si>
  <si>
    <t>ფასადის ლესვა-ღებვა (დათბუნებით ქვაბამბა 50 მმ)</t>
  </si>
  <si>
    <t>ინვენტარული ხარაჩოს დაშლა-აწყობა</t>
  </si>
  <si>
    <t>ხარაჩოს აწყობა</t>
  </si>
  <si>
    <t>ხარაჩოს დაშლა</t>
  </si>
  <si>
    <t>წებოცემენტი ყინვაგამძლე Ceresit CM 11 PLUS</t>
  </si>
  <si>
    <t>კარ-ფანჯრების პერიმეტრის ჰიდროიზოლაცია სტრუქტურული სილიკონით</t>
  </si>
  <si>
    <t>ჰერმეტიკი Soudaflex</t>
  </si>
  <si>
    <t>სილიკონის პისტოლეტი</t>
  </si>
  <si>
    <t>ამწე კალათა</t>
  </si>
  <si>
    <t>შავი ლითონის მოაჯირების მოწყობა მილკვადრატებით და მრგვალი სახელურით</t>
  </si>
  <si>
    <t>ალუმინის კონსტრუქციების პერიმეტრის ჩახურვის მასალები</t>
  </si>
  <si>
    <t>ალუმინის კარ-ფანჯრის კონსტრუქციების მონტაჟის ხელფასი</t>
  </si>
  <si>
    <t>სადრენაჟე მემბრანა 400 გ/მ2</t>
  </si>
  <si>
    <t>პოლიპროპილენის (PPR) ცივი და ცხელი წყლის მილის მონტაჟი 20 მმ</t>
  </si>
  <si>
    <t>პოლიპროპილენის (PPR) ცივი და ცხელი წყლის მილის მონტაჟი 25 მმ</t>
  </si>
  <si>
    <t>პოლიპროპილენის (PPR) მუხლი 90° 20 მმ</t>
  </si>
  <si>
    <t>პოლიპროპილენის (PPR) სამკაპი 90° 20 მმ/20 მმ/20 მმ</t>
  </si>
  <si>
    <t>მილის შეფუთვის ხელფასი 20 მმ</t>
  </si>
  <si>
    <t>პოლიპროპილენის (PPR) Y ტიპის ფილტრი 20 მმ</t>
  </si>
  <si>
    <t>0.6/1 kV ალუმინის კაბელის მოწყობა 4x240/70 mm² NA2XY</t>
  </si>
  <si>
    <r>
      <t>კაბელის NA2XY 4x240 მმ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+1x70 მმ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დაქსელვის ხელფასი</t>
    </r>
  </si>
  <si>
    <r>
      <t>ალუმინის კაბელი NA2XY 4x240 მმ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+1x70 მმ</t>
    </r>
    <r>
      <rPr>
        <vertAlign val="superscript"/>
        <sz val="16"/>
        <color theme="1"/>
        <rFont val="Calibri"/>
        <family val="2"/>
        <scheme val="minor"/>
      </rPr>
      <t>2</t>
    </r>
  </si>
  <si>
    <t>PVC მუხლი 45° 50 მმ</t>
  </si>
  <si>
    <t>PVC სამკაპი 45° 50 მმ/50 მმ/32 მმ</t>
  </si>
  <si>
    <t>PVC მილის მონტაჟი 50 მმ</t>
  </si>
  <si>
    <t>PVC კანალიზაციის მილი / PVC Sewerage pipe Ø110mm. L=1m</t>
  </si>
  <si>
    <t>PVC კანალიზაციის მილი / PVC Sewerage pipe Ø160mm. L=1m</t>
  </si>
  <si>
    <t>PVC მილი 110 მმ L=1.0 მ</t>
  </si>
  <si>
    <t>PVC მილი 160 მმ L=1.0 მ</t>
  </si>
  <si>
    <t>PVC მილის მონტაჟი 110 მმ</t>
  </si>
  <si>
    <t>PVC მილის მონტაჟი 160 მმ</t>
  </si>
  <si>
    <t>PVC მუხლი 90° 50 მმ</t>
  </si>
  <si>
    <t>PVC მუხლი 90° 110 მმ</t>
  </si>
  <si>
    <t>HDPE კანალიზაციის მილი / HDPE Sewerage Pipe Ø200mm. PN20.</t>
  </si>
  <si>
    <t>HDPE მილი 200 მმ</t>
  </si>
  <si>
    <t>HDPE მილის მონტაჟი 200 მმ</t>
  </si>
  <si>
    <r>
      <t>კაბელის N2XH 3x10 მმ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დაქსელვის ხელფასი</t>
    </r>
  </si>
  <si>
    <t>გოფრირებული მილი 20 მმ დიამეტრით LSOH / Corrugated Pipe 20 mm diameter</t>
  </si>
  <si>
    <t>გოფრირებულ მილში კაბელის გატარების ხელფასი 20 მმ</t>
  </si>
  <si>
    <t>გოფრირებული მილი 20 მმ Kopos</t>
  </si>
  <si>
    <t>მოძრაობის დეტექტორი R=8 მ 10A / Motion Sensor R = 8 m</t>
  </si>
  <si>
    <t>მოძრაობის დეტექტორი Schneider Electric</t>
  </si>
  <si>
    <t>მოძრაობის დეტექტორის მოწყობის ხელფასი</t>
  </si>
  <si>
    <t>წერტილოვანი სანათის მონტაჟის ხელფასი</t>
  </si>
  <si>
    <t>წერტილოვანი სანათი 24 ვტ/ Spot Light 24 W LED</t>
  </si>
  <si>
    <t>წერტილოვანი სანათი 24 ვტ EAE Elektrik</t>
  </si>
  <si>
    <t>ცხლად გალვანიზირებული დამიწების სალტე / Hot-Dip Galvanized Grounding Strip</t>
  </si>
  <si>
    <t>გალვანიზირებული დამიწების სალტე /Galvanized Grounding Strip</t>
  </si>
  <si>
    <t>მეხამრიდი / Lightning Rod</t>
  </si>
  <si>
    <t>ცხლად გალვანიზირებული დამიწების სალტე</t>
  </si>
  <si>
    <t>ცხლად გალვანიზირებული დამიწების სალტის მონტაჟის ხელფასი</t>
  </si>
  <si>
    <t>გალვანიზირებული დამიწები სალტე</t>
  </si>
  <si>
    <t>გალვანიზირებული დამიწების სალტის მონტაჟის ხელფასი</t>
  </si>
  <si>
    <t>მეხამრიდი</t>
  </si>
  <si>
    <t>მეხამრიდის მოწყობის ხელფასი</t>
  </si>
  <si>
    <t>სპილენძის კაბელი UTP CAT6</t>
  </si>
  <si>
    <t>მ3</t>
  </si>
  <si>
    <t>ამწევი ჰიდრავლიკური სამონტაჟო სამუშაოებზე</t>
  </si>
  <si>
    <t>კანალიზაცია / Sewage</t>
  </si>
  <si>
    <t>წყალმომარაგება / Water Supply</t>
  </si>
  <si>
    <t>ვენტილაცია / Ventilation</t>
  </si>
  <si>
    <r>
      <t>ჰიდროსაიზოლაციო მემბრანა Flexotex Strong 0.5 მმ 160 გ/მ</t>
    </r>
    <r>
      <rPr>
        <vertAlign val="superscript"/>
        <sz val="16"/>
        <color theme="1"/>
        <rFont val="Calibri"/>
        <family val="2"/>
        <scheme val="minor"/>
      </rPr>
      <t>2</t>
    </r>
  </si>
  <si>
    <t>არმირების ლენტი TPL Flexotex გადადებისთვის 50 მმ</t>
  </si>
  <si>
    <t>ჰიდროსაიზოლაციო მემბრანა Flexotex Strong 0.5 მმ 160 გ/მ2</t>
  </si>
  <si>
    <t>რეზინ-კაუჩუკის გერმეტიზაციის ლენტი Liplent Flexotex 30 მმ</t>
  </si>
  <si>
    <t>არმატურა B500B Ø &gt;= 12 მმ</t>
  </si>
  <si>
    <t>არმატურა B500B Ø = 10 მმ</t>
  </si>
  <si>
    <t>მეტალოპლასტიკის მილის გაყვანის ხელფასი 16 მმ</t>
  </si>
  <si>
    <t>პოლიპროპილენის (PPR) მუფტა კომბინირებული 20 მმ - 15 მმ (1/2") შ/ხ Firat</t>
  </si>
  <si>
    <t>პოლიპროპილენის (PPR) მუფტა 25 მმ - 20 მმ  Firat</t>
  </si>
  <si>
    <t>პოლიპროპილენის (PPR) მუფტა 25 მმ - 25 მმ  Firat</t>
  </si>
  <si>
    <t>პოლიპროპილენის (PPR) მუფტა 20 მმ - 20 მმ  Firat</t>
  </si>
  <si>
    <t>პოლიპროპილენის (PPR) მუფტა კომბინირებული 20 მმ - 15 მმ (1/2") გ/ხ Firat</t>
  </si>
  <si>
    <t>პოლიპროპილენის (PPR) მუხლი 45° 20 მმ</t>
  </si>
  <si>
    <t>ონკანი კუთხური 20 მმ (3/4") - 15 მმ (1/2") Arco</t>
  </si>
  <si>
    <t>ონკანი კუთხური 15 მმ (1/2") - 15 მმ (1/2") Arco</t>
  </si>
  <si>
    <t>პოლიპროპილენის (PPR) მილის ფიტინგი ორმაგი შაბლონი 20 (armature connector)</t>
  </si>
  <si>
    <t>PVC სამკაპი 90° 50 მმ/50 მმ/50 მმ</t>
  </si>
  <si>
    <r>
      <t>სპილენძის კაბელი H05VVH2-U 3x2.5 მმ</t>
    </r>
    <r>
      <rPr>
        <vertAlign val="superscript"/>
        <sz val="16"/>
        <color theme="1"/>
        <rFont val="Calibri"/>
        <family val="2"/>
        <scheme val="minor"/>
      </rPr>
      <t xml:space="preserve">2 </t>
    </r>
    <r>
      <rPr>
        <sz val="16"/>
        <color theme="1"/>
        <rFont val="Calibri"/>
        <family val="2"/>
        <scheme val="minor"/>
      </rPr>
      <t>(ერთმავთულიანი)</t>
    </r>
  </si>
  <si>
    <r>
      <t>სპილენძის კაბელი H05VV-F 3x2.5 მმ</t>
    </r>
    <r>
      <rPr>
        <vertAlign val="superscript"/>
        <sz val="16"/>
        <color theme="1"/>
        <rFont val="Calibri"/>
        <family val="2"/>
        <scheme val="minor"/>
      </rPr>
      <t xml:space="preserve">2 </t>
    </r>
    <r>
      <rPr>
        <sz val="16"/>
        <color theme="1"/>
        <rFont val="Calibri"/>
        <family val="2"/>
        <scheme val="minor"/>
      </rPr>
      <t>(მრავალმავთულიანი)</t>
    </r>
  </si>
  <si>
    <r>
      <t>სპილენძის კაბელი H05VV-F 3x1.5 მმ</t>
    </r>
    <r>
      <rPr>
        <vertAlign val="superscript"/>
        <sz val="16"/>
        <color theme="1"/>
        <rFont val="Calibri"/>
        <family val="2"/>
        <scheme val="minor"/>
      </rPr>
      <t xml:space="preserve">2 </t>
    </r>
    <r>
      <rPr>
        <sz val="16"/>
        <color theme="1"/>
        <rFont val="Calibri"/>
        <family val="2"/>
        <scheme val="minor"/>
      </rPr>
      <t>(მრავალმავთულიანი)</t>
    </r>
  </si>
  <si>
    <r>
      <t>სპილენძის კაბელი H05VV-F 2x10 მმ</t>
    </r>
    <r>
      <rPr>
        <vertAlign val="superscript"/>
        <sz val="16"/>
        <color theme="1"/>
        <rFont val="Calibri"/>
        <family val="2"/>
        <scheme val="minor"/>
      </rPr>
      <t xml:space="preserve">2 </t>
    </r>
    <r>
      <rPr>
        <sz val="16"/>
        <color theme="1"/>
        <rFont val="Calibri"/>
        <family val="2"/>
        <scheme val="minor"/>
      </rPr>
      <t>+1x6 მმ</t>
    </r>
    <r>
      <rPr>
        <vertAlign val="superscript"/>
        <sz val="16"/>
        <color theme="1"/>
        <rFont val="Calibri"/>
        <family val="2"/>
        <scheme val="minor"/>
      </rPr>
      <t xml:space="preserve">2 </t>
    </r>
    <r>
      <rPr>
        <sz val="16"/>
        <color theme="1"/>
        <rFont val="Calibri"/>
        <family val="2"/>
        <scheme val="minor"/>
      </rPr>
      <t>(მრავალმავთულიანი) "თელასის"</t>
    </r>
  </si>
  <si>
    <t>კლემნიკი 5 წვერისთვის WAGO</t>
  </si>
  <si>
    <t>კლემნიკი 3 წვერისთვის WAGO</t>
  </si>
  <si>
    <t>სამონტაჟო კოლოფი</t>
  </si>
  <si>
    <t>გამანაწილებელი კოლოფი გარე მონტაჟის</t>
  </si>
  <si>
    <r>
      <t>სპილენძის კაბელი H05VVH2-F 2x0.75 მმ</t>
    </r>
    <r>
      <rPr>
        <vertAlign val="superscript"/>
        <sz val="16"/>
        <color theme="1"/>
        <rFont val="Calibri"/>
        <family val="2"/>
        <scheme val="minor"/>
      </rPr>
      <t xml:space="preserve">2 </t>
    </r>
    <r>
      <rPr>
        <sz val="16"/>
        <color theme="1"/>
        <rFont val="Calibri"/>
        <family val="2"/>
        <scheme val="minor"/>
      </rPr>
      <t>(მრავალმავთულიანი)</t>
    </r>
  </si>
  <si>
    <t>სპილენძის კაბელი H05VV-F 2x10 მმ2 +1x6 მმ2 (მრავალმავთულიანი) "თელასის"</t>
  </si>
  <si>
    <t>გარე მონტაჟის როზეტი სახურავით შავი თურქული</t>
  </si>
  <si>
    <t>PVC იზოლენტა (10 მ)</t>
  </si>
  <si>
    <t>ხამუთი (100 ც)</t>
  </si>
  <si>
    <t>სკოპი (100 ც)</t>
  </si>
  <si>
    <t>ელექტროობა: დაბალი ძაბვა / Electrical: Low Voltage</t>
  </si>
  <si>
    <t>ნაწრთობი მინაპაკეტი  8 მმ + 16 მმ ჰაერი + 8 მმ</t>
  </si>
  <si>
    <t>Asistal TH 6202 ფანჯრის და კარის სისტემის პროფილი</t>
  </si>
  <si>
    <t>ტუმბოს სადგამი 2-იანი</t>
  </si>
  <si>
    <t>სიხშირული გარდამქმნელი 7.5KW/380V VFD,G500-7.5G/11P-4TB  - 3ph 380v - 3ph 380V</t>
  </si>
  <si>
    <t>ტუმბოს ელექტრო გაშვება (თბილისი)</t>
  </si>
  <si>
    <t>თურქული Asistal ალუმინის კარ-ფანჯრების მონტაჟი TH 6202 სისტემა ორმაგი მინაპაკეტით GUARDIAN TITAN U-VALUE  1,4W; ტიხრის სისქე 62 მმ; კედლის სისქე 2.0 მმ; 2-კამერიანი, გერმანული პოლიამიდის 1 ც თერმოხიდით, საკეტი გერმანული ROTO, კუთხის შეერთება პრესი და წებო</t>
  </si>
  <si>
    <t>გაზმომარაგება / Natural Gas Supply</t>
  </si>
  <si>
    <t>მეტალოპლასტიკის მრავალშრიანი მილი 16 მმ</t>
  </si>
  <si>
    <t>PPR მილის სამაგრი Ø=20 მმ</t>
  </si>
  <si>
    <t>სწორნაკერიანი ელ. შენადუღი ფოლადის მილის მოწყობა 32 მმ</t>
  </si>
  <si>
    <t>ფოლადის მილის შედუღებით მონტაჟის ხელფასი 32 მმ</t>
  </si>
  <si>
    <t>ფოლადის მილის შედუღებით მონტაჟის ხელფასი 50 მმ</t>
  </si>
  <si>
    <t>სწორნაკერიანი ელ. შენადუღი ფოლადის მილის მოწყობა 50 მმ</t>
  </si>
  <si>
    <t>გაზსადენის შეღებვა 2 ფენა</t>
  </si>
  <si>
    <t>მილის ღებვის ხელფასი</t>
  </si>
  <si>
    <t>ლითონის ანტიკოროზიული საღებავი Ferro 3:1 მწვანე</t>
  </si>
  <si>
    <t>ანტიკოროზიული გრუნტი Atoll ГФ-021</t>
  </si>
  <si>
    <t>გაზის ბურთულიანი ონკანის მოწყობა 15 მმ</t>
  </si>
  <si>
    <t>გაზის ბურთულიანი ონკანის მოწყობის ხელფასი 15 მმ</t>
  </si>
  <si>
    <t>გაზის ბურთულიანი ონკანის მოწყობა 20 მმ</t>
  </si>
  <si>
    <t>გაზის ბურთულიანი ონკანის მოწყობის ხელფასი 20 მმ</t>
  </si>
  <si>
    <t>გაზის მრიცხველების მოწყობა G4-T</t>
  </si>
  <si>
    <t>გაზის მრიცხველი G4-T</t>
  </si>
  <si>
    <t>გაზის მრიცხველის მოწყობის ხელფასი G4-T</t>
  </si>
  <si>
    <t>გაზსადენის პნევმატიკური გამოცდა</t>
  </si>
  <si>
    <t>მეტალოპლასტიკის მრავალშრიანი მილის მონტაჟი პნევმატიკური გამოცდით 16 მმ</t>
  </si>
  <si>
    <t>გაზსადენი სისტემის ფასონური და დამხმარე მასალები</t>
  </si>
  <si>
    <t>დამხშობი დ=32    δ=7 მმ,   Pp=6</t>
  </si>
  <si>
    <t>დამხშობი დ=50    δ=7 მმ,   Pp=7</t>
  </si>
  <si>
    <t>სამკაპი   20*16*3/4  გ/ხ</t>
  </si>
  <si>
    <t>მუხლი გადამყვანი   20*3/4</t>
  </si>
  <si>
    <t xml:space="preserve">ელ ანალიზატორი </t>
  </si>
  <si>
    <t>გადამყვანი დ=20* გ=1/2 გ/ხ</t>
  </si>
  <si>
    <t>გადამყვანი დ=16* გ=1/2 გ/ხ</t>
  </si>
  <si>
    <t>მრიცხველი</t>
  </si>
  <si>
    <t>ფოლადის ფურცლოვანი კაბელ არხი  40*40</t>
  </si>
  <si>
    <t>სილიკონი გარცმის მილის ამოსავსებად</t>
  </si>
  <si>
    <t>კოლოფი</t>
  </si>
  <si>
    <t>ტეფლონის პაკლი</t>
  </si>
  <si>
    <t>ბაზალტის ქვა სისქით 50 მმ</t>
  </si>
  <si>
    <t>ბაზალტის ქვის ხელფასი გრძივი</t>
  </si>
  <si>
    <t>ნაყარი ან/და ნოყიერი ნაიდაგის ფენის მოხსნა და გატანა ნაგავსაყრელზე 20 კმ</t>
  </si>
  <si>
    <t>გრუნტის ექსკავაცია და ადგილზე დასაწყობება (არაკლდოვანი)</t>
  </si>
  <si>
    <t>ღორღის საფუძვლის მოწყობა ლენტური საძირკვლის ქვეშ</t>
  </si>
  <si>
    <t>Cost</t>
  </si>
  <si>
    <t>საყრდენი კედლის 1 ფენა ასაკრავი პოლიპროპილენის ჰიდროიზოლაციის მოწყობა Flexotex Strong დამცავი დადრენაჟე მემბრანით</t>
  </si>
  <si>
    <t>+6.5</t>
  </si>
  <si>
    <t>Sheet: Roof</t>
  </si>
  <si>
    <t>Sheet: Shell &amp; Core</t>
  </si>
  <si>
    <t>იატაკის მოპირკეთება კერამიკული ფილებით საშუალო ხარისხის პლინტუსით</t>
  </si>
  <si>
    <t>ნომერი</t>
  </si>
  <si>
    <t>Sheet: MEP</t>
  </si>
  <si>
    <t>დეფლექტორი</t>
  </si>
  <si>
    <t>დეფლექტორის მონტაჟი</t>
  </si>
  <si>
    <t>Roof</t>
  </si>
  <si>
    <t>MEP</t>
  </si>
  <si>
    <t>0.6/1 kV სპილენძის კაბელის მოწყობა თელასის 2x10 mm² N2XH E90/FE180</t>
  </si>
  <si>
    <t>პლასტმასის გამანაწილებელი ფარი 12 მოდულიანი NILSON</t>
  </si>
  <si>
    <t>Landscape</t>
  </si>
  <si>
    <t>Outdoor Utilities &amp; Linear Networks</t>
  </si>
  <si>
    <t>Structure</t>
  </si>
  <si>
    <t>სახურავი</t>
  </si>
  <si>
    <t>აივნის შუბლებზე ბაზალტის საცრემლეების მონტაჟი 20 სმ სიგანის</t>
  </si>
  <si>
    <r>
      <t>მ</t>
    </r>
    <r>
      <rPr>
        <b/>
        <vertAlign val="superscript"/>
        <sz val="16"/>
        <rFont val="Calibri"/>
        <family val="2"/>
        <scheme val="minor"/>
      </rPr>
      <t>2</t>
    </r>
  </si>
  <si>
    <t>ფასადის კედლის ამოშენება მსუბუქი ბეტონის ბლოკით 10 სმ</t>
  </si>
  <si>
    <t>დერეფნების კედლის ამოშენება მსუბუქი ბეტონის ბლოკით 10 სმ</t>
  </si>
  <si>
    <t>დერეფნების კედლების ლესვა აპარატით თაბაშირის ფუძეზე დაფუძნებული ბათქაშით</t>
  </si>
  <si>
    <t>ბინებში შიდა ტიხრების კედლის ამოშენება მსუბუქი ბეტონის ბლოკით 10 სმ</t>
  </si>
  <si>
    <t>კედლის ფაქტურული ლესვა "ესპანკა"</t>
  </si>
  <si>
    <r>
      <t>მ</t>
    </r>
    <r>
      <rPr>
        <vertAlign val="superscript"/>
        <sz val="16"/>
        <rFont val="Calibri"/>
        <family val="2"/>
        <scheme val="minor"/>
      </rPr>
      <t>2</t>
    </r>
  </si>
  <si>
    <t>ბინების კედლის ლესვა აპარატით თაბაშირის ფუძეზე დაფუძნებული ბათქაშით</t>
  </si>
  <si>
    <t>+9.8</t>
  </si>
  <si>
    <t>+3.2</t>
  </si>
  <si>
    <t>რკ/ბეტონის კიბის მოწყობა</t>
  </si>
  <si>
    <t>რკ/ბეტონის სარტყელი</t>
  </si>
  <si>
    <t>ლითონკონსტრუქციის მოწყობა (სახურავი)</t>
  </si>
  <si>
    <t>ხის კონტრუქციის მოწყობა (სახურავი)</t>
  </si>
  <si>
    <t>YORK TOWERS FLORA</t>
  </si>
  <si>
    <t>Sheet: Earthworks</t>
  </si>
  <si>
    <t>-0.3</t>
  </si>
  <si>
    <t>რკ/ბეტონის საძირკვლის ფილის მოწყობა</t>
  </si>
  <si>
    <t>-0.9</t>
  </si>
  <si>
    <t>Sheet: Structure</t>
  </si>
  <si>
    <t>საყრდენი კედელი</t>
  </si>
  <si>
    <t>საყრდენი კედლის და საძირკვლის გვერდების 2 ფენა ჰიდროიზოლაცია ბიტუმ-რეზინის მასტიკით</t>
  </si>
  <si>
    <t>რკ/ბეტონის სვეტების მოწყობა</t>
  </si>
  <si>
    <r>
      <t>მ</t>
    </r>
    <r>
      <rPr>
        <b/>
        <vertAlign val="superscript"/>
        <sz val="16"/>
        <rFont val="Calibri"/>
        <family val="2"/>
        <scheme val="minor"/>
      </rPr>
      <t>3</t>
    </r>
  </si>
  <si>
    <r>
      <t>მ</t>
    </r>
    <r>
      <rPr>
        <vertAlign val="superscript"/>
        <sz val="16"/>
        <rFont val="Calibri"/>
        <family val="2"/>
        <scheme val="minor"/>
      </rPr>
      <t>3</t>
    </r>
  </si>
  <si>
    <t>+10.52</t>
  </si>
  <si>
    <t>+12.99</t>
  </si>
  <si>
    <t>მოჩარჩოებების მოწყობა</t>
  </si>
  <si>
    <t>კუთხოვანა 75x5 მმ</t>
  </si>
  <si>
    <t>ანკერი ა-1, ა-2</t>
  </si>
  <si>
    <t>ხის მასალა რუსული I ხარისხი</t>
  </si>
  <si>
    <t>ხის გადახურვის მოწყობის ხელფასი</t>
  </si>
  <si>
    <t>კრამიტის გაკვრის ხელფასი</t>
  </si>
  <si>
    <t>თუნუქის გადახურვის მოწყობის ხელფასი</t>
  </si>
  <si>
    <t>დამხმარე მასალები</t>
  </si>
  <si>
    <t>Earthworks</t>
  </si>
  <si>
    <t>GBA</t>
  </si>
  <si>
    <t>დათბუნება პოლიურათანის ქაფი</t>
  </si>
  <si>
    <t>სახურავის ელემენტები</t>
  </si>
  <si>
    <t>+9.8 R1 Mansard</t>
  </si>
  <si>
    <t>+13.2 R2</t>
  </si>
  <si>
    <t>სავენტილაციო მილი მოთუთიებული ფოლადი 100-იანი</t>
  </si>
  <si>
    <t>მილის მონტაჟის ხელფასი ფასონური ნაწილებით</t>
  </si>
  <si>
    <t>სავენტილაციო მილი 100-იანი</t>
  </si>
  <si>
    <t>წყლის სატუმბი სადგურის ინსტალაცია 2x Q=2 მ3/სთ</t>
  </si>
  <si>
    <r>
      <t>ბინაში წყალმომარაგების შიდა სისტემის დაქსელვა (6 მ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სველი წერტილი)</t>
    </r>
  </si>
  <si>
    <t>ცენტრალური წყალმომარაგების სისტემის დაქსელვა</t>
  </si>
  <si>
    <t>ფასონური ნაწილები</t>
  </si>
  <si>
    <r>
      <t>ბინაში წყალარინების შიდა სისტემის დაქსელვა (6 მ</t>
    </r>
    <r>
      <rPr>
        <b/>
        <vertAlign val="super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სველი წერტილი)</t>
    </r>
  </si>
  <si>
    <t>წყალმომარაგების სისტემის სატუმბი სადგურის მოწყობა 2x Q=30 ლ/წთ , მაქსიმალური სიმაღლე 50 მ, მაქსიმალური ამოტუმბვის სიღრმე 8 მ 1.2 kW</t>
  </si>
  <si>
    <t>ზედაპირული ტუმბო AQUASTRONG - EVP10H-6 1.2 kW</t>
  </si>
  <si>
    <t>ფარის აწყობა</t>
  </si>
  <si>
    <t>ბინებში ელექტროობის მოწყობის ხელფასი (სრული დაქსელვა)</t>
  </si>
  <si>
    <t>მაღალი სიმკვრივის პოლიეთილენის მილის ტრასის გაყვანა</t>
  </si>
  <si>
    <t>ტრანშის გაყვანა</t>
  </si>
  <si>
    <t>ქვიშის ფენილი</t>
  </si>
  <si>
    <t>უკუჩაყრა და დატეკპნა</t>
  </si>
  <si>
    <t>ზეძირკვლის გაზშემყვანის ნაცმი  დ-100</t>
  </si>
  <si>
    <t>ფოლადი პოლიეთილენზე გადამყვანი  დ-40x50</t>
  </si>
  <si>
    <t>პოლიეთილენის მუხლი  დ-50</t>
  </si>
  <si>
    <t>პოლიეთილენის ქურო  დ-50</t>
  </si>
  <si>
    <t>პოლიეთილენის მილი დ-50 SDR-11 PN-16</t>
  </si>
  <si>
    <t>გაზსადენის გაყვანა და ჰიდრავლიკური გამოცდა</t>
  </si>
  <si>
    <t>ბინებში  გათბობის მილების დაქსელვა (კოლექტორული სისტემა)</t>
  </si>
  <si>
    <t>+0.00 საცხოვრებელი ფართი</t>
  </si>
  <si>
    <t>+0.00 სველი წერტილები</t>
  </si>
  <si>
    <t>+0.00 დერეფანი</t>
  </si>
  <si>
    <t>+0.00 კიბის უჯრედი</t>
  </si>
  <si>
    <t>+0.00 კიბის უჯრედი (ტამბური)</t>
  </si>
  <si>
    <t>+0.00 დერეფანი + კიბის უჯრედი</t>
  </si>
  <si>
    <t>+3.3 საცხოვრებელი ფართი</t>
  </si>
  <si>
    <t>+3.3 სველი წერტილები</t>
  </si>
  <si>
    <t>+3.3 საზაფხულო ფართი</t>
  </si>
  <si>
    <t>+3.3 დერეფანი</t>
  </si>
  <si>
    <t>+3.3 კიბის უჯრედი</t>
  </si>
  <si>
    <t>+3.3 დერეფანი + კიბის უჯრედი</t>
  </si>
  <si>
    <t>+6.6 საცხოვრებელი ფართი</t>
  </si>
  <si>
    <t>+6.6 საზაფხულო ფართი</t>
  </si>
  <si>
    <t>+6.6 დერეფანი</t>
  </si>
  <si>
    <t>+6.6 კიბის უჯრედი</t>
  </si>
  <si>
    <t>+6.6 დერეფანი + კიბის უჯრედი</t>
  </si>
  <si>
    <t>+6.6საზაფხულო ფართი</t>
  </si>
  <si>
    <t>+9.9 საცხოვრებელი ფართი</t>
  </si>
  <si>
    <t>+9.9 სველი წერტილები</t>
  </si>
  <si>
    <t>+9.9 საზაფხულო ფართი</t>
  </si>
  <si>
    <t>+9.9 დერეფანი</t>
  </si>
  <si>
    <t>+9.9 კიბის უჯრედი</t>
  </si>
  <si>
    <t>+9.9 დერეფანი + კიბის უჯრედი</t>
  </si>
  <si>
    <t xml:space="preserve">+0.00 დერეფანი, კიბის ძირები </t>
  </si>
  <si>
    <t xml:space="preserve">+3.3 აივნები, დერეფანი, კიბის ძირები </t>
  </si>
  <si>
    <t xml:space="preserve">+6.6 აივნები, დერეფანი, კიბის ძირები </t>
  </si>
  <si>
    <t>+0.00</t>
  </si>
  <si>
    <t>+3.3</t>
  </si>
  <si>
    <t>+6.6</t>
  </si>
  <si>
    <t>+9.9</t>
  </si>
  <si>
    <t>+3.3 აივანი</t>
  </si>
  <si>
    <t>+6.6 აივანი</t>
  </si>
  <si>
    <t>+9.9 აივანი</t>
  </si>
  <si>
    <t>+0.00 ბინაში შესასვლელი</t>
  </si>
  <si>
    <t>+3.3 ბინაში შესასვლელი</t>
  </si>
  <si>
    <t>+6.6 ბინაში შესასვლელი</t>
  </si>
  <si>
    <t>Shell &amp; Core</t>
  </si>
  <si>
    <t>Date (MM/DD/YYYY): 2/11/2026</t>
  </si>
  <si>
    <t xml:space="preserve">ფასადის ფერდილების ლესვა </t>
  </si>
  <si>
    <t>გრძივების ხელფასი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</si>
</sst>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6" formatCode="#,##0.00\ &quot;m²&quot;"/>
    <numFmt numFmtId="167" formatCode="#,##0.0\ [$₾-437];[Red]\-#,##0.0\ [$₾-437]"/>
    <numFmt numFmtId="168" formatCode="#,##0.00\ [$₾-437];[Red]\-#,##0.00\ [$₾-437]"/>
    <numFmt numFmtId="170" formatCode="#,##0\ [$₾-437];[Red]\-#,##0\ [$₾-437]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b/>
      <sz val="16"/>
      <color rgb="FFFF0000"/>
      <name val="Calibri"/>
      <family val="2"/>
      <scheme val="minor"/>
    </font>
    <font>
      <b/>
      <vertAlign val="superscript"/>
      <sz val="16"/>
      <name val="Calibri"/>
      <family val="2"/>
      <scheme val="minor"/>
    </font>
    <font>
      <vertAlign val="superscript"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25">
    <xf numFmtId="0" fontId="0" fillId="0" borderId="0" xfId="0"/>
    <xf numFmtId="0" fontId="2" fillId="0" borderId="0" xfId="0" applyFont="1"/>
    <xf numFmtId="166" fontId="3" fillId="0" borderId="0" xfId="0" applyNumberFormat="1" applyFont="1"/>
    <xf numFmtId="168" fontId="2" fillId="0" borderId="0" xfId="0" applyNumberFormat="1" applyFont="1"/>
    <xf numFmtId="168" fontId="0" fillId="0" borderId="0" xfId="0" applyNumberFormat="1"/>
    <xf numFmtId="0" fontId="0" fillId="0" borderId="0" xfId="0" quotePrefix="1"/>
    <xf numFmtId="167" fontId="0" fillId="0" borderId="0" xfId="0" applyNumberFormat="1"/>
    <xf numFmtId="167" fontId="2" fillId="0" borderId="0" xfId="0" applyNumberFormat="1" applyFont="1"/>
    <xf numFmtId="40" fontId="0" fillId="0" borderId="0" xfId="0" applyNumberFormat="1"/>
    <xf numFmtId="170" fontId="0" fillId="0" borderId="0" xfId="0" applyNumberFormat="1"/>
    <xf numFmtId="164" fontId="0" fillId="0" borderId="0" xfId="0" applyNumberFormat="1"/>
    <xf numFmtId="167" fontId="2" fillId="0" borderId="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40" fontId="3" fillId="0" borderId="2" xfId="0" applyNumberFormat="1" applyFont="1" applyBorder="1"/>
    <xf numFmtId="167" fontId="2" fillId="0" borderId="2" xfId="0" applyNumberFormat="1" applyFont="1" applyBorder="1" applyAlignment="1">
      <alignment wrapText="1"/>
    </xf>
    <xf numFmtId="167" fontId="3" fillId="0" borderId="2" xfId="0" applyNumberFormat="1" applyFont="1" applyBorder="1"/>
    <xf numFmtId="0" fontId="2" fillId="0" borderId="2" xfId="0" applyFont="1" applyBorder="1"/>
    <xf numFmtId="40" fontId="2" fillId="0" borderId="2" xfId="0" applyNumberFormat="1" applyFont="1" applyBorder="1"/>
    <xf numFmtId="167" fontId="2" fillId="0" borderId="2" xfId="0" applyNumberFormat="1" applyFont="1" applyBorder="1"/>
    <xf numFmtId="0" fontId="3" fillId="2" borderId="2" xfId="0" applyFont="1" applyFill="1" applyBorder="1"/>
    <xf numFmtId="167" fontId="3" fillId="2" borderId="2" xfId="0" applyNumberFormat="1" applyFont="1" applyFill="1" applyBorder="1"/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6" xfId="0" applyFont="1" applyBorder="1"/>
    <xf numFmtId="168" fontId="2" fillId="0" borderId="7" xfId="0" applyNumberFormat="1" applyFont="1" applyBorder="1"/>
    <xf numFmtId="0" fontId="2" fillId="0" borderId="7" xfId="0" applyFont="1" applyBorder="1"/>
    <xf numFmtId="0" fontId="3" fillId="2" borderId="6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 vertical="center"/>
    </xf>
    <xf numFmtId="167" fontId="3" fillId="2" borderId="9" xfId="0" applyNumberFormat="1" applyFont="1" applyFill="1" applyBorder="1"/>
    <xf numFmtId="38" fontId="0" fillId="0" borderId="0" xfId="0" applyNumberFormat="1"/>
    <xf numFmtId="38" fontId="8" fillId="0" borderId="0" xfId="0" applyNumberFormat="1" applyFont="1"/>
    <xf numFmtId="170" fontId="0" fillId="0" borderId="2" xfId="0" applyNumberFormat="1" applyBorder="1"/>
    <xf numFmtId="170" fontId="0" fillId="0" borderId="7" xfId="0" applyNumberFormat="1" applyBorder="1"/>
    <xf numFmtId="0" fontId="0" fillId="0" borderId="8" xfId="0" applyBorder="1"/>
    <xf numFmtId="170" fontId="7" fillId="0" borderId="9" xfId="0" applyNumberFormat="1" applyFont="1" applyBorder="1"/>
    <xf numFmtId="170" fontId="7" fillId="0" borderId="10" xfId="0" applyNumberFormat="1" applyFont="1" applyBorder="1"/>
    <xf numFmtId="170" fontId="0" fillId="0" borderId="12" xfId="0" applyNumberFormat="1" applyBorder="1"/>
    <xf numFmtId="170" fontId="0" fillId="0" borderId="15" xfId="0" applyNumberFormat="1" applyBorder="1"/>
    <xf numFmtId="0" fontId="0" fillId="0" borderId="15" xfId="0" applyBorder="1"/>
    <xf numFmtId="0" fontId="0" fillId="0" borderId="7" xfId="0" applyBorder="1"/>
    <xf numFmtId="0" fontId="7" fillId="0" borderId="10" xfId="0" applyFont="1" applyBorder="1"/>
    <xf numFmtId="164" fontId="0" fillId="0" borderId="11" xfId="0" applyNumberFormat="1" applyBorder="1"/>
    <xf numFmtId="164" fontId="0" fillId="0" borderId="13" xfId="0" applyNumberFormat="1" applyBorder="1"/>
    <xf numFmtId="164" fontId="7" fillId="0" borderId="20" xfId="0" applyNumberFormat="1" applyFont="1" applyBorder="1"/>
    <xf numFmtId="170" fontId="0" fillId="0" borderId="14" xfId="0" applyNumberFormat="1" applyBorder="1"/>
    <xf numFmtId="170" fontId="0" fillId="0" borderId="6" xfId="0" applyNumberFormat="1" applyBorder="1"/>
    <xf numFmtId="170" fontId="7" fillId="0" borderId="8" xfId="0" applyNumberFormat="1" applyFont="1" applyBorder="1"/>
    <xf numFmtId="170" fontId="0" fillId="0" borderId="22" xfId="0" applyNumberFormat="1" applyBorder="1"/>
    <xf numFmtId="170" fontId="0" fillId="0" borderId="23" xfId="0" applyNumberFormat="1" applyBorder="1"/>
    <xf numFmtId="170" fontId="7" fillId="0" borderId="24" xfId="0" applyNumberFormat="1" applyFont="1" applyBorder="1"/>
    <xf numFmtId="164" fontId="0" fillId="0" borderId="15" xfId="0" applyNumberFormat="1" applyBorder="1"/>
    <xf numFmtId="164" fontId="0" fillId="0" borderId="7" xfId="0" applyNumberFormat="1" applyBorder="1"/>
    <xf numFmtId="164" fontId="7" fillId="0" borderId="10" xfId="0" applyNumberFormat="1" applyFont="1" applyBorder="1"/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1" fillId="0" borderId="0" xfId="0" applyNumberFormat="1" applyFont="1"/>
    <xf numFmtId="0" fontId="0" fillId="0" borderId="30" xfId="0" applyBorder="1"/>
    <xf numFmtId="0" fontId="0" fillId="0" borderId="25" xfId="0" applyBorder="1"/>
    <xf numFmtId="164" fontId="0" fillId="0" borderId="31" xfId="0" applyNumberFormat="1" applyBorder="1"/>
    <xf numFmtId="0" fontId="2" fillId="0" borderId="2" xfId="0" applyFont="1" applyBorder="1" applyAlignment="1">
      <alignment wrapText="1"/>
    </xf>
    <xf numFmtId="40" fontId="3" fillId="0" borderId="2" xfId="0" applyNumberFormat="1" applyFont="1" applyBorder="1" applyAlignment="1">
      <alignment wrapText="1"/>
    </xf>
    <xf numFmtId="167" fontId="3" fillId="0" borderId="2" xfId="0" applyNumberFormat="1" applyFont="1" applyBorder="1" applyAlignment="1">
      <alignment wrapText="1"/>
    </xf>
    <xf numFmtId="40" fontId="2" fillId="0" borderId="2" xfId="0" applyNumberFormat="1" applyFont="1" applyBorder="1" applyAlignment="1">
      <alignment wrapText="1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0" fontId="3" fillId="3" borderId="2" xfId="0" applyNumberFormat="1" applyFont="1" applyFill="1" applyBorder="1" applyAlignment="1">
      <alignment horizontal="center" vertical="center"/>
    </xf>
    <xf numFmtId="40" fontId="3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3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0" fontId="3" fillId="3" borderId="2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168" fontId="0" fillId="0" borderId="0" xfId="0" applyNumberFormat="1" applyAlignment="1">
      <alignment wrapText="1"/>
    </xf>
    <xf numFmtId="0" fontId="3" fillId="2" borderId="6" xfId="0" applyFont="1" applyFill="1" applyBorder="1" applyAlignment="1">
      <alignment wrapText="1"/>
    </xf>
    <xf numFmtId="167" fontId="3" fillId="2" borderId="2" xfId="0" applyNumberFormat="1" applyFont="1" applyFill="1" applyBorder="1" applyAlignment="1">
      <alignment wrapText="1"/>
    </xf>
    <xf numFmtId="9" fontId="2" fillId="0" borderId="2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167" fontId="3" fillId="2" borderId="9" xfId="0" applyNumberFormat="1" applyFont="1" applyFill="1" applyBorder="1" applyAlignment="1">
      <alignment wrapText="1"/>
    </xf>
    <xf numFmtId="167" fontId="0" fillId="0" borderId="0" xfId="0" applyNumberFormat="1" applyAlignment="1">
      <alignment wrapText="1"/>
    </xf>
    <xf numFmtId="167" fontId="2" fillId="0" borderId="0" xfId="0" applyNumberFormat="1" applyFont="1" applyAlignment="1">
      <alignment wrapText="1"/>
    </xf>
    <xf numFmtId="168" fontId="2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0" fontId="15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0" fontId="2" fillId="0" borderId="2" xfId="0" applyNumberFormat="1" applyFont="1" applyBorder="1" applyAlignment="1">
      <alignment vertical="center"/>
    </xf>
    <xf numFmtId="167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7" fontId="3" fillId="2" borderId="2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167" fontId="3" fillId="2" borderId="9" xfId="0" applyNumberFormat="1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40" fontId="3" fillId="0" borderId="2" xfId="0" applyNumberFormat="1" applyFont="1" applyBorder="1" applyAlignment="1">
      <alignment vertical="center" wrapText="1"/>
    </xf>
    <xf numFmtId="167" fontId="3" fillId="0" borderId="2" xfId="0" applyNumberFormat="1" applyFont="1" applyBorder="1" applyAlignment="1">
      <alignment vertical="center" wrapText="1"/>
    </xf>
    <xf numFmtId="40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70" fontId="0" fillId="0" borderId="0" xfId="0" applyNumberFormat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8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167" fontId="3" fillId="2" borderId="2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167" fontId="3" fillId="2" borderId="9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167" fontId="0" fillId="0" borderId="0" xfId="0" applyNumberFormat="1" applyAlignment="1">
      <alignment vertical="center" wrapText="1"/>
    </xf>
    <xf numFmtId="167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vertical="center" wrapText="1"/>
    </xf>
    <xf numFmtId="0" fontId="2" fillId="0" borderId="2" xfId="0" quotePrefix="1" applyFont="1" applyBorder="1" applyAlignment="1">
      <alignment vertical="center" wrapText="1"/>
    </xf>
    <xf numFmtId="168" fontId="0" fillId="0" borderId="0" xfId="0" applyNumberFormat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0" fontId="10" fillId="0" borderId="2" xfId="0" applyNumberFormat="1" applyFont="1" applyBorder="1" applyAlignment="1">
      <alignment vertical="center" wrapText="1"/>
    </xf>
    <xf numFmtId="167" fontId="10" fillId="0" borderId="2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quotePrefix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0" fontId="9" fillId="0" borderId="2" xfId="0" applyNumberFormat="1" applyFont="1" applyBorder="1" applyAlignment="1">
      <alignment vertical="center" wrapText="1"/>
    </xf>
    <xf numFmtId="167" fontId="9" fillId="0" borderId="2" xfId="0" applyNumberFormat="1" applyFont="1" applyBorder="1" applyAlignment="1">
      <alignment vertical="center" wrapText="1"/>
    </xf>
    <xf numFmtId="168" fontId="10" fillId="0" borderId="7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38" fontId="7" fillId="0" borderId="0" xfId="0" applyNumberFormat="1" applyFont="1"/>
    <xf numFmtId="170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0" fontId="3" fillId="0" borderId="2" xfId="0" applyNumberFormat="1" applyFont="1" applyBorder="1" applyAlignment="1">
      <alignment vertical="center"/>
    </xf>
    <xf numFmtId="167" fontId="3" fillId="0" borderId="2" xfId="0" applyNumberFormat="1" applyFont="1" applyBorder="1" applyAlignment="1">
      <alignment vertical="center"/>
    </xf>
    <xf numFmtId="40" fontId="2" fillId="5" borderId="2" xfId="0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0" fontId="9" fillId="0" borderId="2" xfId="0" applyNumberFormat="1" applyFont="1" applyBorder="1" applyAlignment="1">
      <alignment vertical="center"/>
    </xf>
    <xf numFmtId="167" fontId="9" fillId="0" borderId="2" xfId="0" applyNumberFormat="1" applyFont="1" applyBorder="1" applyAlignment="1">
      <alignment vertical="center"/>
    </xf>
    <xf numFmtId="40" fontId="10" fillId="0" borderId="2" xfId="0" applyNumberFormat="1" applyFont="1" applyBorder="1" applyAlignment="1">
      <alignment vertical="center"/>
    </xf>
    <xf numFmtId="0" fontId="3" fillId="0" borderId="2" xfId="0" quotePrefix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168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 wrapText="1"/>
    </xf>
  </cellXfs>
  <cellStyles count="2">
    <cellStyle name="Normal" xfId="0" builtinId="0"/>
    <cellStyle name="Normal 14" xfId="1" xr:uid="{092F0B0B-3483-46A5-A485-230BA217A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501650</xdr:colOff>
      <xdr:row>4</xdr:row>
      <xdr:rowOff>139700</xdr:rowOff>
    </xdr:from>
    <xdr:to>
      <xdr:col>15</xdr:col>
      <xdr:colOff>117185</xdr:colOff>
      <xdr:row>7</xdr:row>
      <xdr:rowOff>20955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5A2568-C495-4266-A193-A91B83671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0950" y="876300"/>
          <a:ext cx="1177636" cy="44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727361</xdr:colOff>
      <xdr:row>2</xdr:row>
      <xdr:rowOff>46180</xdr:rowOff>
    </xdr:from>
    <xdr:to>
      <xdr:col>15</xdr:col>
      <xdr:colOff>743767</xdr:colOff>
      <xdr:row>3</xdr:row>
      <xdr:rowOff>474748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BBDDBC-9E9D-4346-BE9F-71696D9ED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5725" y="923635"/>
          <a:ext cx="2783505" cy="10506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727363</xdr:colOff>
      <xdr:row>2</xdr:row>
      <xdr:rowOff>11545</xdr:rowOff>
    </xdr:from>
    <xdr:to>
      <xdr:col>15</xdr:col>
      <xdr:colOff>743769</xdr:colOff>
      <xdr:row>3</xdr:row>
      <xdr:rowOff>448368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B43ECB-AD3B-4097-806E-69416E1B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5727" y="889000"/>
          <a:ext cx="2783505" cy="10506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698500</xdr:colOff>
      <xdr:row>2</xdr:row>
      <xdr:rowOff>111125</xdr:rowOff>
    </xdr:from>
    <xdr:to>
      <xdr:col>15</xdr:col>
      <xdr:colOff>703880</xdr:colOff>
      <xdr:row>3</xdr:row>
      <xdr:rowOff>550257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9FE70A-02DC-4731-A084-06072617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6250" y="1000125"/>
          <a:ext cx="2783505" cy="10506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715818</xdr:colOff>
      <xdr:row>2</xdr:row>
      <xdr:rowOff>34635</xdr:rowOff>
    </xdr:from>
    <xdr:to>
      <xdr:col>15</xdr:col>
      <xdr:colOff>180929</xdr:colOff>
      <xdr:row>3</xdr:row>
      <xdr:rowOff>286673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D16240-2259-488D-BBCB-A9DA5A8A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4182" y="912090"/>
          <a:ext cx="2783505" cy="10506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727364</xdr:colOff>
      <xdr:row>2</xdr:row>
      <xdr:rowOff>103908</xdr:rowOff>
    </xdr:from>
    <xdr:to>
      <xdr:col>15</xdr:col>
      <xdr:colOff>739960</xdr:colOff>
      <xdr:row>3</xdr:row>
      <xdr:rowOff>554066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F38353-51EB-4BF4-B3C3-3267FEEF5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5728" y="981363"/>
          <a:ext cx="2783505" cy="1050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0919-66C3-4246-8D95-EA032C982A65}">
  <dimension ref="D2:S46"/>
  <sheetViews>
    <sheetView showGridLines="0" tabSelected="1" topLeftCell="C1" zoomScale="115" zoomScaleNormal="115" zoomScaleSheetLayoutView="115" workbookViewId="0">
      <selection activeCell="F1" sqref="F1:F1048576"/>
    </sheetView>
  </sheetViews>
  <sheetFormatPr defaultRowHeight="14.4" outlineLevelCol="1" x14ac:dyDescent="0.3"/>
  <cols>
    <col min="5" max="5" width="9.5546875" customWidth="1"/>
    <col min="6" max="6" width="32" customWidth="1"/>
    <col min="7" max="7" width="18.5546875" customWidth="1" outlineLevel="1"/>
    <col min="8" max="8" width="20.77734375" customWidth="1" outlineLevel="1"/>
    <col min="9" max="9" width="15.44140625" customWidth="1" outlineLevel="1"/>
    <col min="10" max="10" width="17.77734375" customWidth="1" outlineLevel="1"/>
    <col min="11" max="11" width="10.77734375" customWidth="1" outlineLevel="1"/>
    <col min="12" max="12" width="11.44140625" bestFit="1" customWidth="1" outlineLevel="1"/>
    <col min="13" max="13" width="13.21875" customWidth="1"/>
    <col min="14" max="14" width="11.77734375" bestFit="1" customWidth="1"/>
    <col min="15" max="15" width="10.5546875" customWidth="1"/>
    <col min="16" max="16" width="8.77734375" style="10"/>
    <col min="18" max="18" width="11.109375" customWidth="1"/>
  </cols>
  <sheetData>
    <row r="2" spans="5:19" x14ac:dyDescent="0.3">
      <c r="R2" t="s">
        <v>146</v>
      </c>
      <c r="S2" s="8">
        <v>2.75</v>
      </c>
    </row>
    <row r="5" spans="5:19" x14ac:dyDescent="0.3">
      <c r="E5" s="180"/>
      <c r="F5" s="181"/>
      <c r="G5" s="192"/>
      <c r="H5" s="193"/>
      <c r="I5" s="193"/>
      <c r="J5" s="193"/>
      <c r="K5" s="193"/>
      <c r="L5" s="193"/>
      <c r="M5" s="194"/>
      <c r="N5" s="186"/>
      <c r="O5" s="186"/>
      <c r="P5" s="187"/>
    </row>
    <row r="6" spans="5:19" x14ac:dyDescent="0.3">
      <c r="E6" s="182"/>
      <c r="F6" s="183"/>
      <c r="G6" s="195"/>
      <c r="H6" s="196"/>
      <c r="I6" s="196"/>
      <c r="J6" s="196"/>
      <c r="K6" s="196"/>
      <c r="L6" s="196"/>
      <c r="M6" s="197"/>
      <c r="N6" s="188"/>
      <c r="O6" s="188"/>
      <c r="P6" s="189"/>
    </row>
    <row r="7" spans="5:19" x14ac:dyDescent="0.3">
      <c r="E7" s="182"/>
      <c r="F7" s="183"/>
      <c r="G7" s="195"/>
      <c r="H7" s="196"/>
      <c r="I7" s="196"/>
      <c r="J7" s="196"/>
      <c r="K7" s="196"/>
      <c r="L7" s="196"/>
      <c r="M7" s="197"/>
      <c r="N7" s="188"/>
      <c r="O7" s="188"/>
      <c r="P7" s="189"/>
    </row>
    <row r="8" spans="5:19" x14ac:dyDescent="0.3">
      <c r="E8" s="184"/>
      <c r="F8" s="185"/>
      <c r="G8" s="67" t="s">
        <v>186</v>
      </c>
      <c r="H8" s="68" t="s">
        <v>175</v>
      </c>
      <c r="I8" s="68" t="s">
        <v>471</v>
      </c>
      <c r="J8" s="68"/>
      <c r="K8" s="68" t="s">
        <v>174</v>
      </c>
      <c r="L8" s="68"/>
      <c r="M8" s="69">
        <f>N17</f>
        <v>0</v>
      </c>
      <c r="N8" s="190"/>
      <c r="O8" s="190"/>
      <c r="P8" s="191"/>
    </row>
    <row r="9" spans="5:19" ht="44.55" customHeight="1" x14ac:dyDescent="0.3">
      <c r="E9" s="58" t="s">
        <v>0</v>
      </c>
      <c r="F9" s="59" t="s">
        <v>176</v>
      </c>
      <c r="G9" s="58" t="s">
        <v>177</v>
      </c>
      <c r="H9" s="60" t="s">
        <v>178</v>
      </c>
      <c r="I9" s="60" t="s">
        <v>179</v>
      </c>
      <c r="J9" s="60" t="s">
        <v>180</v>
      </c>
      <c r="K9" s="60" t="s">
        <v>181</v>
      </c>
      <c r="L9" s="59" t="s">
        <v>182</v>
      </c>
      <c r="M9" s="61" t="s">
        <v>172</v>
      </c>
      <c r="N9" s="62" t="s">
        <v>183</v>
      </c>
      <c r="O9" s="60" t="s">
        <v>184</v>
      </c>
      <c r="P9" s="63" t="s">
        <v>185</v>
      </c>
    </row>
    <row r="10" spans="5:19" x14ac:dyDescent="0.3">
      <c r="E10" s="64">
        <v>1</v>
      </c>
      <c r="F10" s="43" t="s">
        <v>404</v>
      </c>
      <c r="G10" s="49">
        <f>Earthworks!O34</f>
        <v>0</v>
      </c>
      <c r="H10" s="41">
        <f>Earthworks!O35</f>
        <v>0</v>
      </c>
      <c r="I10" s="41">
        <f>Earthworks!O37</f>
        <v>0</v>
      </c>
      <c r="J10" s="41">
        <f>Earthworks!O39</f>
        <v>0</v>
      </c>
      <c r="K10" s="41">
        <f>Earthworks!O41</f>
        <v>0</v>
      </c>
      <c r="L10" s="42">
        <f>Earthworks!O43</f>
        <v>0</v>
      </c>
      <c r="M10" s="52">
        <f>SUM(G10:L10)</f>
        <v>0</v>
      </c>
      <c r="N10" s="46">
        <f t="shared" ref="N10:N16" si="0">M10/$S$2</f>
        <v>0</v>
      </c>
      <c r="O10" s="41">
        <f t="shared" ref="O10:O17" si="1">M10/$G$27</f>
        <v>0</v>
      </c>
      <c r="P10" s="55">
        <f t="shared" ref="P10:P16" si="2">O10/$S$2</f>
        <v>0</v>
      </c>
      <c r="R10" s="9"/>
    </row>
    <row r="11" spans="5:19" x14ac:dyDescent="0.3">
      <c r="E11" s="65">
        <v>2</v>
      </c>
      <c r="F11" s="44" t="s">
        <v>366</v>
      </c>
      <c r="G11" s="50">
        <f>Structure!O208</f>
        <v>0</v>
      </c>
      <c r="H11" s="36">
        <f>Structure!O209</f>
        <v>0</v>
      </c>
      <c r="I11" s="36">
        <f>Structure!O211</f>
        <v>0</v>
      </c>
      <c r="J11" s="36">
        <f>Structure!O213</f>
        <v>0</v>
      </c>
      <c r="K11" s="36">
        <f>Structure!O215</f>
        <v>0</v>
      </c>
      <c r="L11" s="37">
        <f>Structure!O217</f>
        <v>0</v>
      </c>
      <c r="M11" s="53">
        <f>SUM(G11:L11)</f>
        <v>0</v>
      </c>
      <c r="N11" s="47">
        <f t="shared" si="0"/>
        <v>0</v>
      </c>
      <c r="O11" s="36">
        <f t="shared" si="1"/>
        <v>0</v>
      </c>
      <c r="P11" s="56">
        <f t="shared" si="2"/>
        <v>0</v>
      </c>
      <c r="R11" s="9"/>
    </row>
    <row r="12" spans="5:19" x14ac:dyDescent="0.3">
      <c r="E12" s="65">
        <v>3</v>
      </c>
      <c r="F12" s="44" t="s">
        <v>360</v>
      </c>
      <c r="G12" s="50">
        <f>Roof!O32</f>
        <v>0</v>
      </c>
      <c r="H12" s="36">
        <f>Roof!O33</f>
        <v>0</v>
      </c>
      <c r="I12" s="36">
        <f>Roof!O35</f>
        <v>0</v>
      </c>
      <c r="J12" s="36">
        <f>Roof!O37</f>
        <v>0</v>
      </c>
      <c r="K12" s="36">
        <f>Roof!O39</f>
        <v>0</v>
      </c>
      <c r="L12" s="37">
        <f>Roof!O41</f>
        <v>0</v>
      </c>
      <c r="M12" s="53">
        <f t="shared" ref="M12" si="3">SUM(G12:L12)</f>
        <v>0</v>
      </c>
      <c r="N12" s="47">
        <f t="shared" si="0"/>
        <v>0</v>
      </c>
      <c r="O12" s="36">
        <f t="shared" si="1"/>
        <v>0</v>
      </c>
      <c r="P12" s="56">
        <f t="shared" si="2"/>
        <v>0</v>
      </c>
      <c r="R12" s="9"/>
    </row>
    <row r="13" spans="5:19" x14ac:dyDescent="0.3">
      <c r="E13" s="65">
        <v>4</v>
      </c>
      <c r="F13" s="44" t="s">
        <v>470</v>
      </c>
      <c r="G13" s="50">
        <f>'Shell &amp; Core'!O587</f>
        <v>0</v>
      </c>
      <c r="H13" s="36">
        <f>'Shell &amp; Core'!O588</f>
        <v>0</v>
      </c>
      <c r="I13" s="36">
        <f>'Shell &amp; Core'!O590</f>
        <v>0</v>
      </c>
      <c r="J13" s="36">
        <f>'Shell &amp; Core'!O592</f>
        <v>0</v>
      </c>
      <c r="K13" s="36">
        <f>'Shell &amp; Core'!O594</f>
        <v>0</v>
      </c>
      <c r="L13" s="37">
        <f>'Shell &amp; Core'!O596</f>
        <v>0</v>
      </c>
      <c r="M13" s="53">
        <f>SUM(G13:L13)</f>
        <v>0</v>
      </c>
      <c r="N13" s="47">
        <f t="shared" si="0"/>
        <v>0</v>
      </c>
      <c r="O13" s="36">
        <f t="shared" ref="O13" si="4">M13/$G$27</f>
        <v>0</v>
      </c>
      <c r="P13" s="56">
        <f>O13/$S$2</f>
        <v>0</v>
      </c>
      <c r="R13" s="9"/>
    </row>
    <row r="14" spans="5:19" x14ac:dyDescent="0.3">
      <c r="E14" s="65">
        <v>5</v>
      </c>
      <c r="F14" s="44" t="s">
        <v>361</v>
      </c>
      <c r="G14" s="50">
        <f>MEP!O210</f>
        <v>0</v>
      </c>
      <c r="H14" s="36">
        <f>MEP!O211</f>
        <v>0</v>
      </c>
      <c r="I14" s="36">
        <f>MEP!O213</f>
        <v>0</v>
      </c>
      <c r="J14" s="36">
        <f>MEP!O215</f>
        <v>0</v>
      </c>
      <c r="K14" s="36">
        <f>MEP!O217</f>
        <v>0</v>
      </c>
      <c r="L14" s="37">
        <f>MEP!O219</f>
        <v>0</v>
      </c>
      <c r="M14" s="53">
        <f>SUM(G14:L14)</f>
        <v>0</v>
      </c>
      <c r="N14" s="47">
        <f t="shared" si="0"/>
        <v>0</v>
      </c>
      <c r="O14" s="36">
        <f t="shared" si="1"/>
        <v>0</v>
      </c>
      <c r="P14" s="56">
        <f>O14/$S$2</f>
        <v>0</v>
      </c>
      <c r="R14" s="9"/>
    </row>
    <row r="15" spans="5:19" x14ac:dyDescent="0.3">
      <c r="E15" s="65">
        <v>6</v>
      </c>
      <c r="F15" s="44" t="s">
        <v>364</v>
      </c>
      <c r="G15" s="50"/>
      <c r="H15" s="36"/>
      <c r="I15" s="36"/>
      <c r="J15" s="36"/>
      <c r="K15" s="36"/>
      <c r="L15" s="37"/>
      <c r="M15" s="53"/>
      <c r="N15" s="47"/>
      <c r="O15" s="36"/>
      <c r="P15" s="56"/>
      <c r="R15" s="9"/>
    </row>
    <row r="16" spans="5:19" x14ac:dyDescent="0.3">
      <c r="E16" s="65">
        <v>7</v>
      </c>
      <c r="F16" s="44" t="s">
        <v>365</v>
      </c>
      <c r="G16" s="50"/>
      <c r="H16" s="36"/>
      <c r="I16" s="36"/>
      <c r="J16" s="36"/>
      <c r="K16" s="36"/>
      <c r="L16" s="37"/>
      <c r="M16" s="53"/>
      <c r="N16" s="47">
        <f t="shared" si="0"/>
        <v>0</v>
      </c>
      <c r="O16" s="36">
        <f t="shared" si="1"/>
        <v>0</v>
      </c>
      <c r="P16" s="56">
        <f t="shared" si="2"/>
        <v>0</v>
      </c>
      <c r="R16" s="9"/>
    </row>
    <row r="17" spans="4:16" x14ac:dyDescent="0.3">
      <c r="E17" s="38"/>
      <c r="F17" s="45" t="s">
        <v>172</v>
      </c>
      <c r="G17" s="51">
        <f t="shared" ref="G17:M17" si="5">SUM(G10:G16)</f>
        <v>0</v>
      </c>
      <c r="H17" s="39">
        <f t="shared" si="5"/>
        <v>0</v>
      </c>
      <c r="I17" s="39">
        <f t="shared" si="5"/>
        <v>0</v>
      </c>
      <c r="J17" s="39">
        <f t="shared" si="5"/>
        <v>0</v>
      </c>
      <c r="K17" s="39">
        <f t="shared" si="5"/>
        <v>0</v>
      </c>
      <c r="L17" s="40">
        <f t="shared" si="5"/>
        <v>0</v>
      </c>
      <c r="M17" s="54">
        <f t="shared" si="5"/>
        <v>0</v>
      </c>
      <c r="N17" s="48">
        <f t="shared" ref="N17" si="6">SUM(N10:N16)</f>
        <v>0</v>
      </c>
      <c r="O17" s="39">
        <f t="shared" si="1"/>
        <v>0</v>
      </c>
      <c r="P17" s="57">
        <f>O17/S2</f>
        <v>0</v>
      </c>
    </row>
    <row r="18" spans="4:16" x14ac:dyDescent="0.3">
      <c r="G18" s="9"/>
      <c r="H18" s="9"/>
      <c r="I18" s="9"/>
      <c r="J18" s="9"/>
      <c r="K18" s="9"/>
      <c r="L18" s="9"/>
      <c r="M18" s="9"/>
      <c r="N18" s="10"/>
      <c r="O18" s="9"/>
    </row>
    <row r="19" spans="4:16" x14ac:dyDescent="0.3">
      <c r="G19" s="9"/>
      <c r="H19" s="9"/>
      <c r="I19" s="9"/>
      <c r="J19" s="9"/>
      <c r="K19" s="9"/>
      <c r="L19" s="9"/>
      <c r="M19" s="9"/>
      <c r="N19" s="10"/>
      <c r="O19" s="9"/>
    </row>
    <row r="20" spans="4:16" x14ac:dyDescent="0.3">
      <c r="G20" s="9"/>
      <c r="H20" s="9"/>
      <c r="I20" s="9"/>
      <c r="J20" s="9"/>
      <c r="K20" s="9"/>
      <c r="L20" s="9"/>
      <c r="M20" s="9"/>
      <c r="N20" s="10"/>
      <c r="O20" s="9"/>
    </row>
    <row r="21" spans="4:16" x14ac:dyDescent="0.3">
      <c r="F21" t="s">
        <v>187</v>
      </c>
      <c r="G21" s="9" t="s">
        <v>405</v>
      </c>
      <c r="H21" s="9"/>
      <c r="I21" s="9"/>
      <c r="J21" s="9"/>
      <c r="K21" s="9"/>
      <c r="L21" s="9"/>
      <c r="M21" s="9"/>
      <c r="N21" s="10"/>
      <c r="O21" s="9"/>
    </row>
    <row r="22" spans="4:16" x14ac:dyDescent="0.3">
      <c r="F22" s="5" t="s">
        <v>385</v>
      </c>
      <c r="G22" s="34">
        <v>85.4</v>
      </c>
      <c r="H22" s="34"/>
      <c r="I22" s="35"/>
      <c r="J22" s="34"/>
      <c r="K22" s="34"/>
      <c r="L22" s="9"/>
      <c r="M22" s="9"/>
      <c r="N22" s="10"/>
      <c r="O22" s="9"/>
    </row>
    <row r="23" spans="4:16" x14ac:dyDescent="0.3">
      <c r="D23" s="34"/>
      <c r="F23" s="5" t="s">
        <v>378</v>
      </c>
      <c r="G23" s="34">
        <v>98</v>
      </c>
      <c r="H23" s="34"/>
      <c r="I23" s="34"/>
      <c r="J23" s="34"/>
      <c r="K23" s="34"/>
      <c r="L23" s="9"/>
      <c r="M23" s="9"/>
      <c r="N23" s="10"/>
      <c r="O23" s="9"/>
    </row>
    <row r="24" spans="4:16" x14ac:dyDescent="0.3">
      <c r="F24" s="5" t="s">
        <v>352</v>
      </c>
      <c r="G24" s="34">
        <v>98</v>
      </c>
      <c r="H24" s="34"/>
      <c r="I24" s="34"/>
      <c r="J24" s="34"/>
      <c r="K24" s="34"/>
      <c r="L24" s="9"/>
      <c r="M24" s="9"/>
      <c r="N24" s="10"/>
      <c r="O24" s="9"/>
    </row>
    <row r="25" spans="4:16" x14ac:dyDescent="0.3">
      <c r="F25" s="5" t="s">
        <v>408</v>
      </c>
      <c r="G25" s="34">
        <v>80</v>
      </c>
      <c r="H25" s="34"/>
      <c r="I25" s="34"/>
      <c r="J25" s="34"/>
      <c r="K25" s="34"/>
      <c r="L25" s="9"/>
      <c r="M25" s="9"/>
      <c r="N25" s="10"/>
      <c r="O25" s="9"/>
    </row>
    <row r="26" spans="4:16" x14ac:dyDescent="0.3">
      <c r="F26" s="5" t="s">
        <v>409</v>
      </c>
      <c r="G26" s="34">
        <f>G25</f>
        <v>80</v>
      </c>
      <c r="H26" s="34"/>
      <c r="I26" s="34"/>
      <c r="J26" s="34"/>
      <c r="K26" s="34"/>
      <c r="L26" s="9"/>
      <c r="M26" s="9"/>
      <c r="N26" s="10"/>
      <c r="O26" s="9"/>
    </row>
    <row r="27" spans="4:16" x14ac:dyDescent="0.3">
      <c r="F27" t="s">
        <v>172</v>
      </c>
      <c r="G27" s="66">
        <f>SUM(G22:G26)</f>
        <v>441.4</v>
      </c>
      <c r="H27" s="66">
        <f>SUM(G22:G25)</f>
        <v>361.4</v>
      </c>
      <c r="I27" s="66"/>
      <c r="J27" s="66"/>
      <c r="K27" s="66"/>
      <c r="L27" s="9"/>
      <c r="M27" s="9"/>
      <c r="N27" s="10"/>
      <c r="O27" s="9"/>
    </row>
    <row r="28" spans="4:16" x14ac:dyDescent="0.3">
      <c r="G28" s="164"/>
      <c r="H28" s="164"/>
      <c r="I28" s="164"/>
      <c r="J28" s="164"/>
      <c r="K28" s="164"/>
      <c r="L28" s="9"/>
      <c r="M28" s="9"/>
      <c r="N28" s="10"/>
      <c r="O28" s="9"/>
    </row>
    <row r="29" spans="4:16" x14ac:dyDescent="0.3">
      <c r="G29" s="9"/>
      <c r="H29" s="9"/>
      <c r="I29" s="9"/>
      <c r="J29" s="9"/>
      <c r="K29" s="9"/>
      <c r="L29" s="9"/>
      <c r="M29" s="9"/>
      <c r="N29" s="10"/>
      <c r="O29" s="9"/>
    </row>
    <row r="30" spans="4:16" x14ac:dyDescent="0.3">
      <c r="G30" s="9"/>
      <c r="H30" s="9"/>
      <c r="I30" s="9"/>
      <c r="J30" s="9"/>
      <c r="K30" s="9"/>
      <c r="L30" s="9"/>
      <c r="M30" s="9"/>
      <c r="N30" s="10"/>
      <c r="O30" s="9"/>
    </row>
    <row r="31" spans="4:16" x14ac:dyDescent="0.3">
      <c r="G31" s="34"/>
      <c r="H31" s="9"/>
      <c r="I31" s="9"/>
      <c r="J31" s="9"/>
      <c r="K31" s="9"/>
      <c r="L31" s="9"/>
      <c r="M31" s="9"/>
      <c r="N31" s="10"/>
      <c r="O31" s="9"/>
    </row>
    <row r="32" spans="4:16" x14ac:dyDescent="0.3">
      <c r="G32" s="34"/>
      <c r="H32" s="9"/>
      <c r="I32" s="9"/>
      <c r="J32" s="9"/>
      <c r="K32" s="9"/>
      <c r="L32" s="9"/>
      <c r="M32" s="9"/>
      <c r="N32" s="10"/>
      <c r="O32" s="9"/>
    </row>
    <row r="33" spans="7:15" x14ac:dyDescent="0.3">
      <c r="G33" s="34"/>
      <c r="H33" s="9"/>
      <c r="I33" s="9"/>
      <c r="J33" s="9"/>
      <c r="K33" s="9"/>
      <c r="L33" s="9"/>
      <c r="M33" s="9"/>
      <c r="N33" s="10"/>
      <c r="O33" s="9"/>
    </row>
    <row r="34" spans="7:15" x14ac:dyDescent="0.3">
      <c r="G34" s="34"/>
      <c r="H34" s="9"/>
      <c r="I34" s="9"/>
      <c r="J34" s="9"/>
      <c r="K34" s="9"/>
      <c r="L34" s="9"/>
      <c r="M34" s="9"/>
      <c r="N34" s="9"/>
      <c r="O34" s="9"/>
    </row>
    <row r="35" spans="7:15" x14ac:dyDescent="0.3">
      <c r="G35" s="66"/>
      <c r="H35" s="9"/>
      <c r="I35" s="9"/>
      <c r="J35" s="9"/>
      <c r="K35" s="9"/>
      <c r="L35" s="9"/>
      <c r="M35" s="9"/>
      <c r="N35" s="9"/>
      <c r="O35" s="9"/>
    </row>
    <row r="36" spans="7:15" x14ac:dyDescent="0.3">
      <c r="G36" s="82"/>
      <c r="H36" s="9"/>
      <c r="I36" s="9"/>
      <c r="J36" s="9"/>
      <c r="K36" s="9"/>
      <c r="L36" s="9"/>
      <c r="M36" s="9"/>
      <c r="N36" s="9"/>
      <c r="O36" s="9"/>
    </row>
    <row r="37" spans="7:15" x14ac:dyDescent="0.3">
      <c r="G37" s="9"/>
      <c r="H37" s="9"/>
      <c r="I37" s="9"/>
      <c r="J37" s="9"/>
      <c r="K37" s="9"/>
      <c r="L37" s="9"/>
      <c r="M37" s="9"/>
      <c r="N37" s="9"/>
      <c r="O37" s="9"/>
    </row>
    <row r="38" spans="7:15" x14ac:dyDescent="0.3">
      <c r="G38" s="9"/>
      <c r="H38" s="9"/>
      <c r="I38" s="9"/>
      <c r="J38" s="9"/>
      <c r="K38" s="9"/>
      <c r="L38" s="9"/>
      <c r="M38" s="9"/>
      <c r="N38" s="9"/>
      <c r="O38" s="9"/>
    </row>
    <row r="39" spans="7:15" x14ac:dyDescent="0.3">
      <c r="G39" s="10"/>
      <c r="H39" s="10"/>
      <c r="I39" s="10"/>
      <c r="J39" s="9"/>
      <c r="K39" s="9"/>
      <c r="L39" s="9"/>
      <c r="M39" s="9"/>
      <c r="N39" s="9"/>
      <c r="O39" s="9"/>
    </row>
    <row r="40" spans="7:15" x14ac:dyDescent="0.3">
      <c r="G40" s="10"/>
      <c r="H40" s="10"/>
      <c r="I40" s="10"/>
    </row>
    <row r="41" spans="7:15" x14ac:dyDescent="0.3">
      <c r="G41" s="10"/>
      <c r="H41" s="10"/>
      <c r="I41" s="10"/>
    </row>
    <row r="42" spans="7:15" x14ac:dyDescent="0.3">
      <c r="G42" s="10"/>
      <c r="H42" s="10"/>
      <c r="I42" s="10"/>
    </row>
    <row r="43" spans="7:15" x14ac:dyDescent="0.3">
      <c r="G43" s="10"/>
      <c r="H43" s="10"/>
      <c r="I43" s="10"/>
    </row>
    <row r="44" spans="7:15" x14ac:dyDescent="0.3">
      <c r="G44" s="10"/>
      <c r="H44" s="10"/>
      <c r="I44" s="10"/>
    </row>
    <row r="45" spans="7:15" x14ac:dyDescent="0.3">
      <c r="G45" s="10"/>
      <c r="H45" s="10"/>
      <c r="I45" s="10"/>
    </row>
    <row r="46" spans="7:15" x14ac:dyDescent="0.3">
      <c r="G46" s="10"/>
      <c r="H46" s="10"/>
      <c r="I46" s="10"/>
    </row>
  </sheetData>
  <mergeCells count="3">
    <mergeCell ref="E5:F8"/>
    <mergeCell ref="N5:P8"/>
    <mergeCell ref="G5:M7"/>
  </mergeCells>
  <pageMargins left="0.7" right="0.7" top="0.75" bottom="0.75" header="0.3" footer="0.3"/>
  <pageSetup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B8091-4853-4E86-82FF-B2C6139AEDAC}">
  <dimension ref="B2:R103"/>
  <sheetViews>
    <sheetView showGridLines="0" showZeros="0" zoomScale="55" zoomScaleNormal="55" workbookViewId="0">
      <selection activeCell="M20" sqref="M20"/>
    </sheetView>
  </sheetViews>
  <sheetFormatPr defaultColWidth="8.88671875" defaultRowHeight="21" outlineLevelRow="1" x14ac:dyDescent="0.4"/>
  <cols>
    <col min="1" max="1" width="8.88671875" style="90"/>
    <col min="2" max="4" width="19.77734375" style="89" customWidth="1"/>
    <col min="5" max="5" width="79.77734375" style="89" customWidth="1"/>
    <col min="6" max="15" width="19.77734375" style="89" customWidth="1"/>
    <col min="16" max="16" width="11.5546875" style="90" bestFit="1" customWidth="1"/>
    <col min="17" max="17" width="10.33203125" style="90" bestFit="1" customWidth="1"/>
    <col min="18" max="18" width="13.21875" style="90" bestFit="1" customWidth="1"/>
    <col min="19" max="16384" width="8.88671875" style="90"/>
  </cols>
  <sheetData>
    <row r="2" spans="2:16" ht="48.75" customHeight="1" x14ac:dyDescent="0.3">
      <c r="B2" s="200"/>
      <c r="C2" s="201"/>
      <c r="D2" s="201"/>
      <c r="E2" s="204" t="s">
        <v>383</v>
      </c>
      <c r="F2" s="204"/>
      <c r="G2" s="204"/>
      <c r="H2" s="204"/>
      <c r="I2" s="204"/>
      <c r="J2" s="204"/>
      <c r="K2" s="204"/>
      <c r="L2" s="204"/>
      <c r="M2" s="204"/>
      <c r="N2" s="206"/>
      <c r="O2" s="206"/>
    </row>
    <row r="3" spans="2:16" ht="48.75" customHeight="1" x14ac:dyDescent="0.3">
      <c r="B3" s="202"/>
      <c r="C3" s="203"/>
      <c r="D3" s="203"/>
      <c r="E3" s="205"/>
      <c r="F3" s="205"/>
      <c r="G3" s="205"/>
      <c r="H3" s="205"/>
      <c r="I3" s="205"/>
      <c r="J3" s="205"/>
      <c r="K3" s="205"/>
      <c r="L3" s="205"/>
      <c r="M3" s="205"/>
      <c r="N3" s="208"/>
      <c r="O3" s="208"/>
    </row>
    <row r="4" spans="2:16" ht="48.75" customHeight="1" x14ac:dyDescent="0.3">
      <c r="B4" s="202"/>
      <c r="C4" s="203"/>
      <c r="D4" s="203"/>
      <c r="E4" s="205"/>
      <c r="F4" s="205"/>
      <c r="G4" s="205"/>
      <c r="H4" s="205"/>
      <c r="I4" s="205"/>
      <c r="J4" s="205"/>
      <c r="K4" s="205"/>
      <c r="L4" s="205"/>
      <c r="M4" s="205"/>
      <c r="N4" s="208"/>
      <c r="O4" s="208"/>
    </row>
    <row r="5" spans="2:16" ht="48.75" customHeight="1" x14ac:dyDescent="0.3">
      <c r="B5" s="202"/>
      <c r="C5" s="203"/>
      <c r="D5" s="203"/>
      <c r="E5" s="210" t="s">
        <v>384</v>
      </c>
      <c r="F5" s="210"/>
      <c r="G5" s="210"/>
      <c r="H5" s="210"/>
      <c r="I5" s="210"/>
      <c r="J5" s="208" t="s">
        <v>350</v>
      </c>
      <c r="K5" s="208"/>
      <c r="L5" s="208"/>
      <c r="M5" s="11">
        <f>O44</f>
        <v>0</v>
      </c>
      <c r="N5" s="208"/>
      <c r="O5" s="208"/>
    </row>
    <row r="6" spans="2:16" ht="48.75" customHeight="1" x14ac:dyDescent="0.3">
      <c r="B6" s="211" t="s">
        <v>2</v>
      </c>
      <c r="C6" s="199" t="s">
        <v>3</v>
      </c>
      <c r="D6" s="199" t="s">
        <v>0</v>
      </c>
      <c r="E6" s="199" t="s">
        <v>4</v>
      </c>
      <c r="F6" s="199" t="s">
        <v>5</v>
      </c>
      <c r="G6" s="199" t="s">
        <v>6</v>
      </c>
      <c r="H6" s="199" t="s">
        <v>7</v>
      </c>
      <c r="I6" s="199" t="s">
        <v>11</v>
      </c>
      <c r="J6" s="199"/>
      <c r="K6" s="199" t="s">
        <v>86</v>
      </c>
      <c r="L6" s="199"/>
      <c r="M6" s="199" t="s">
        <v>12</v>
      </c>
      <c r="N6" s="199"/>
      <c r="O6" s="199" t="s">
        <v>10</v>
      </c>
    </row>
    <row r="7" spans="2:16" ht="48.75" customHeight="1" x14ac:dyDescent="0.3">
      <c r="B7" s="211"/>
      <c r="C7" s="199"/>
      <c r="D7" s="199"/>
      <c r="E7" s="199"/>
      <c r="F7" s="199"/>
      <c r="G7" s="199"/>
      <c r="H7" s="199"/>
      <c r="I7" s="85" t="s">
        <v>8</v>
      </c>
      <c r="J7" s="85" t="s">
        <v>9</v>
      </c>
      <c r="K7" s="85" t="s">
        <v>8</v>
      </c>
      <c r="L7" s="85" t="s">
        <v>9</v>
      </c>
      <c r="M7" s="85" t="s">
        <v>8</v>
      </c>
      <c r="N7" s="85" t="s">
        <v>9</v>
      </c>
      <c r="O7" s="199"/>
    </row>
    <row r="8" spans="2:16" ht="48.75" customHeight="1" x14ac:dyDescent="0.3">
      <c r="B8" s="91">
        <v>1</v>
      </c>
      <c r="C8" s="85">
        <v>2</v>
      </c>
      <c r="D8" s="85">
        <v>3</v>
      </c>
      <c r="E8" s="85">
        <v>4</v>
      </c>
      <c r="F8" s="85">
        <v>5</v>
      </c>
      <c r="G8" s="85">
        <v>6</v>
      </c>
      <c r="H8" s="85">
        <v>7</v>
      </c>
      <c r="I8" s="85">
        <v>8</v>
      </c>
      <c r="J8" s="85">
        <v>9</v>
      </c>
      <c r="K8" s="85">
        <v>10</v>
      </c>
      <c r="L8" s="85">
        <v>11</v>
      </c>
      <c r="M8" s="85">
        <v>12</v>
      </c>
      <c r="N8" s="85">
        <v>13</v>
      </c>
      <c r="O8" s="85">
        <v>14</v>
      </c>
    </row>
    <row r="9" spans="2:16" x14ac:dyDescent="0.3">
      <c r="B9" s="92"/>
      <c r="C9" s="86"/>
      <c r="D9" s="86"/>
      <c r="E9" s="93" t="s">
        <v>192</v>
      </c>
      <c r="F9" s="86" t="s">
        <v>40</v>
      </c>
      <c r="G9" s="86"/>
      <c r="H9" s="86"/>
      <c r="I9" s="94" t="str">
        <f>IFERROR(J9/H9,"")</f>
        <v/>
      </c>
      <c r="J9" s="94"/>
      <c r="K9" s="94"/>
      <c r="L9" s="94"/>
      <c r="M9" s="94"/>
      <c r="N9" s="94"/>
      <c r="O9" s="94"/>
    </row>
    <row r="10" spans="2:16" ht="42" outlineLevel="1" x14ac:dyDescent="0.4">
      <c r="B10" s="96"/>
      <c r="C10" s="70"/>
      <c r="D10" s="70"/>
      <c r="E10" s="14" t="s">
        <v>347</v>
      </c>
      <c r="F10" s="14" t="s">
        <v>42</v>
      </c>
      <c r="G10" s="71"/>
      <c r="H10" s="71">
        <f>100*0.5</f>
        <v>50</v>
      </c>
      <c r="I10" s="16"/>
      <c r="J10" s="72"/>
      <c r="K10" s="16"/>
      <c r="L10" s="72"/>
      <c r="M10" s="16"/>
      <c r="N10" s="72"/>
      <c r="O10" s="72"/>
      <c r="P10" s="97"/>
    </row>
    <row r="11" spans="2:16" ht="23.4" outlineLevel="1" x14ac:dyDescent="0.4">
      <c r="B11" s="96"/>
      <c r="C11" s="70"/>
      <c r="D11" s="70"/>
      <c r="E11" s="70" t="s">
        <v>13</v>
      </c>
      <c r="F11" s="70" t="s">
        <v>43</v>
      </c>
      <c r="G11" s="73">
        <v>1.05</v>
      </c>
      <c r="H11" s="73">
        <f>G11*H10</f>
        <v>52.5</v>
      </c>
      <c r="I11" s="16"/>
      <c r="J11" s="16"/>
      <c r="K11" s="16"/>
      <c r="L11" s="16"/>
      <c r="M11" s="16"/>
      <c r="N11" s="16"/>
      <c r="O11" s="16"/>
    </row>
    <row r="12" spans="2:16" ht="23.4" outlineLevel="1" x14ac:dyDescent="0.4">
      <c r="B12" s="96"/>
      <c r="C12" s="70"/>
      <c r="D12" s="70"/>
      <c r="E12" s="70" t="s">
        <v>50</v>
      </c>
      <c r="F12" s="70" t="s">
        <v>43</v>
      </c>
      <c r="G12" s="73">
        <v>0.2</v>
      </c>
      <c r="H12" s="73">
        <f>G12*H10</f>
        <v>10</v>
      </c>
      <c r="I12" s="16"/>
      <c r="J12" s="16"/>
      <c r="K12" s="16"/>
      <c r="L12" s="16"/>
      <c r="M12" s="16"/>
      <c r="N12" s="16"/>
      <c r="O12" s="16"/>
    </row>
    <row r="13" spans="2:16" outlineLevel="1" x14ac:dyDescent="0.4">
      <c r="B13" s="96"/>
      <c r="C13" s="70"/>
      <c r="D13" s="70"/>
      <c r="E13" s="70" t="s">
        <v>14</v>
      </c>
      <c r="F13" s="70" t="s">
        <v>15</v>
      </c>
      <c r="G13" s="73">
        <v>1.5</v>
      </c>
      <c r="H13" s="73">
        <f>G13*H10</f>
        <v>75</v>
      </c>
      <c r="I13" s="16"/>
      <c r="J13" s="16"/>
      <c r="K13" s="16"/>
      <c r="L13" s="16"/>
      <c r="M13" s="16"/>
      <c r="N13" s="16"/>
      <c r="O13" s="16"/>
    </row>
    <row r="14" spans="2:16" outlineLevel="1" x14ac:dyDescent="0.4">
      <c r="B14" s="96"/>
      <c r="C14" s="70"/>
      <c r="D14" s="70"/>
      <c r="E14" s="70"/>
      <c r="F14" s="70"/>
      <c r="G14" s="73"/>
      <c r="H14" s="73"/>
      <c r="I14" s="16"/>
      <c r="J14" s="16"/>
      <c r="K14" s="16"/>
      <c r="L14" s="16"/>
      <c r="M14" s="16"/>
      <c r="N14" s="16"/>
      <c r="O14" s="16"/>
    </row>
    <row r="15" spans="2:16" ht="23.4" outlineLevel="1" x14ac:dyDescent="0.4">
      <c r="B15" s="96"/>
      <c r="C15" s="70"/>
      <c r="D15" s="70"/>
      <c r="E15" s="14" t="s">
        <v>202</v>
      </c>
      <c r="F15" s="14" t="s">
        <v>42</v>
      </c>
      <c r="G15" s="71"/>
      <c r="H15" s="71">
        <f>335.16000000001*0.8</f>
        <v>268.128000000008</v>
      </c>
      <c r="I15" s="16"/>
      <c r="J15" s="72"/>
      <c r="K15" s="16"/>
      <c r="L15" s="72"/>
      <c r="M15" s="16"/>
      <c r="N15" s="72"/>
      <c r="O15" s="72"/>
      <c r="P15" s="97"/>
    </row>
    <row r="16" spans="2:16" ht="23.4" outlineLevel="1" x14ac:dyDescent="0.4">
      <c r="B16" s="96"/>
      <c r="C16" s="70"/>
      <c r="D16" s="70"/>
      <c r="E16" s="70" t="s">
        <v>13</v>
      </c>
      <c r="F16" s="70" t="s">
        <v>43</v>
      </c>
      <c r="G16" s="73">
        <v>1.1000000000000001</v>
      </c>
      <c r="H16" s="73">
        <f>G16*H15</f>
        <v>294.94080000000884</v>
      </c>
      <c r="I16" s="16"/>
      <c r="J16" s="16"/>
      <c r="K16" s="16"/>
      <c r="L16" s="16"/>
      <c r="M16" s="16"/>
      <c r="N16" s="16"/>
      <c r="O16" s="16"/>
    </row>
    <row r="17" spans="2:16" outlineLevel="1" x14ac:dyDescent="0.4">
      <c r="B17" s="96"/>
      <c r="C17" s="70"/>
      <c r="D17" s="70"/>
      <c r="E17" s="70" t="s">
        <v>14</v>
      </c>
      <c r="F17" s="70" t="s">
        <v>15</v>
      </c>
      <c r="G17" s="73">
        <v>1.8</v>
      </c>
      <c r="H17" s="73">
        <f>G17*H15</f>
        <v>482.63040000001439</v>
      </c>
      <c r="I17" s="16"/>
      <c r="J17" s="16"/>
      <c r="K17" s="16"/>
      <c r="L17" s="16"/>
      <c r="M17" s="16"/>
      <c r="N17" s="16"/>
      <c r="O17" s="16"/>
    </row>
    <row r="18" spans="2:16" outlineLevel="1" x14ac:dyDescent="0.4">
      <c r="B18" s="96"/>
      <c r="C18" s="70"/>
      <c r="D18" s="70"/>
      <c r="E18" s="70"/>
      <c r="F18" s="70"/>
      <c r="G18" s="73"/>
      <c r="H18" s="73"/>
      <c r="I18" s="16"/>
      <c r="J18" s="16"/>
      <c r="K18" s="16"/>
      <c r="L18" s="16"/>
      <c r="M18" s="16"/>
      <c r="N18" s="16"/>
      <c r="O18" s="16"/>
    </row>
    <row r="19" spans="2:16" ht="42" outlineLevel="1" x14ac:dyDescent="0.4">
      <c r="B19" s="96"/>
      <c r="C19" s="70"/>
      <c r="D19" s="70"/>
      <c r="E19" s="14" t="s">
        <v>348</v>
      </c>
      <c r="F19" s="14" t="s">
        <v>42</v>
      </c>
      <c r="G19" s="71"/>
      <c r="H19" s="71">
        <f>335.16000000001*0.2</f>
        <v>67.032000000002</v>
      </c>
      <c r="I19" s="16"/>
      <c r="J19" s="72"/>
      <c r="K19" s="16"/>
      <c r="L19" s="72"/>
      <c r="M19" s="16"/>
      <c r="N19" s="72"/>
      <c r="O19" s="72"/>
      <c r="P19" s="97"/>
    </row>
    <row r="20" spans="2:16" ht="23.4" outlineLevel="1" x14ac:dyDescent="0.4">
      <c r="B20" s="96"/>
      <c r="C20" s="70"/>
      <c r="D20" s="70"/>
      <c r="E20" s="70" t="s">
        <v>13</v>
      </c>
      <c r="F20" s="70" t="s">
        <v>43</v>
      </c>
      <c r="G20" s="73">
        <v>1.1000000000000001</v>
      </c>
      <c r="H20" s="73">
        <f>G20*H19</f>
        <v>73.735200000002209</v>
      </c>
      <c r="I20" s="16"/>
      <c r="J20" s="16"/>
      <c r="K20" s="16"/>
      <c r="L20" s="16"/>
      <c r="M20" s="16"/>
      <c r="N20" s="16"/>
      <c r="O20" s="16"/>
    </row>
    <row r="21" spans="2:16" ht="23.4" outlineLevel="1" x14ac:dyDescent="0.4">
      <c r="B21" s="96"/>
      <c r="C21" s="70"/>
      <c r="D21" s="70"/>
      <c r="E21" s="70" t="s">
        <v>50</v>
      </c>
      <c r="F21" s="70" t="s">
        <v>43</v>
      </c>
      <c r="G21" s="73">
        <v>1</v>
      </c>
      <c r="H21" s="73">
        <f>G21*H19</f>
        <v>67.032000000002</v>
      </c>
      <c r="I21" s="16"/>
      <c r="J21" s="16"/>
      <c r="K21" s="16"/>
      <c r="L21" s="16"/>
      <c r="M21" s="16"/>
      <c r="N21" s="16"/>
      <c r="O21" s="16"/>
    </row>
    <row r="22" spans="2:16" outlineLevel="1" x14ac:dyDescent="0.4">
      <c r="B22" s="96"/>
      <c r="C22" s="70"/>
      <c r="D22" s="70"/>
      <c r="E22" s="70"/>
      <c r="F22" s="70"/>
      <c r="G22" s="73"/>
      <c r="H22" s="73"/>
      <c r="I22" s="16"/>
      <c r="J22" s="16"/>
      <c r="K22" s="16"/>
      <c r="L22" s="16"/>
      <c r="M22" s="16"/>
      <c r="N22" s="16"/>
      <c r="O22" s="16"/>
    </row>
    <row r="23" spans="2:16" ht="23.4" outlineLevel="1" x14ac:dyDescent="0.4">
      <c r="B23" s="96"/>
      <c r="C23" s="70"/>
      <c r="D23" s="70"/>
      <c r="E23" s="14" t="s">
        <v>209</v>
      </c>
      <c r="F23" s="14" t="s">
        <v>42</v>
      </c>
      <c r="G23" s="71"/>
      <c r="H23" s="71">
        <f>H19</f>
        <v>67.032000000002</v>
      </c>
      <c r="I23" s="16"/>
      <c r="J23" s="72"/>
      <c r="K23" s="16"/>
      <c r="L23" s="72"/>
      <c r="M23" s="16"/>
      <c r="N23" s="72"/>
      <c r="O23" s="72"/>
      <c r="P23" s="97"/>
    </row>
    <row r="24" spans="2:16" outlineLevel="1" x14ac:dyDescent="0.4">
      <c r="B24" s="96"/>
      <c r="C24" s="70"/>
      <c r="D24" s="70"/>
      <c r="E24" s="70" t="s">
        <v>13</v>
      </c>
      <c r="F24" s="70" t="s">
        <v>77</v>
      </c>
      <c r="G24" s="73">
        <f>1/500</f>
        <v>2E-3</v>
      </c>
      <c r="H24" s="73">
        <f>G24*H23</f>
        <v>0.13406400000000401</v>
      </c>
      <c r="I24" s="16"/>
      <c r="J24" s="16"/>
      <c r="K24" s="16"/>
      <c r="L24" s="16"/>
      <c r="M24" s="16"/>
      <c r="N24" s="16"/>
      <c r="O24" s="16"/>
    </row>
    <row r="25" spans="2:16" outlineLevel="1" x14ac:dyDescent="0.4">
      <c r="B25" s="96"/>
      <c r="C25" s="70"/>
      <c r="D25" s="70"/>
      <c r="E25" s="70" t="s">
        <v>50</v>
      </c>
      <c r="F25" s="70" t="s">
        <v>77</v>
      </c>
      <c r="G25" s="73">
        <f>1/500</f>
        <v>2E-3</v>
      </c>
      <c r="H25" s="73">
        <f>G25*H23</f>
        <v>0.13406400000000401</v>
      </c>
      <c r="I25" s="16"/>
      <c r="J25" s="16"/>
      <c r="K25" s="16"/>
      <c r="L25" s="16"/>
      <c r="M25" s="16"/>
      <c r="N25" s="16"/>
      <c r="O25" s="16"/>
    </row>
    <row r="26" spans="2:16" outlineLevel="1" x14ac:dyDescent="0.4">
      <c r="B26" s="96"/>
      <c r="C26" s="70"/>
      <c r="D26" s="70"/>
      <c r="E26" s="70" t="s">
        <v>72</v>
      </c>
      <c r="F26" s="70" t="s">
        <v>77</v>
      </c>
      <c r="G26" s="73">
        <f>1/200</f>
        <v>5.0000000000000001E-3</v>
      </c>
      <c r="H26" s="73">
        <f>G26*H23</f>
        <v>0.33516000000001001</v>
      </c>
      <c r="I26" s="16"/>
      <c r="J26" s="16"/>
      <c r="K26" s="16"/>
      <c r="L26" s="16"/>
      <c r="M26" s="16"/>
      <c r="N26" s="16"/>
      <c r="O26" s="16"/>
    </row>
    <row r="27" spans="2:16" outlineLevel="1" x14ac:dyDescent="0.4">
      <c r="B27" s="96"/>
      <c r="C27" s="70"/>
      <c r="D27" s="70"/>
      <c r="E27" s="70"/>
      <c r="F27" s="70"/>
      <c r="G27" s="73"/>
      <c r="H27" s="73"/>
      <c r="I27" s="16"/>
      <c r="J27" s="16"/>
      <c r="K27" s="16"/>
      <c r="L27" s="16"/>
      <c r="M27" s="16"/>
      <c r="N27" s="16"/>
      <c r="O27" s="16"/>
    </row>
    <row r="28" spans="2:16" ht="42" outlineLevel="1" x14ac:dyDescent="0.4">
      <c r="B28" s="96"/>
      <c r="C28" s="70"/>
      <c r="D28" s="70"/>
      <c r="E28" s="14" t="s">
        <v>349</v>
      </c>
      <c r="F28" s="14" t="s">
        <v>42</v>
      </c>
      <c r="G28" s="71"/>
      <c r="H28" s="71">
        <v>42.5</v>
      </c>
      <c r="I28" s="16"/>
      <c r="J28" s="72"/>
      <c r="K28" s="16"/>
      <c r="L28" s="72"/>
      <c r="M28" s="16"/>
      <c r="N28" s="72"/>
      <c r="O28" s="72"/>
      <c r="P28" s="97"/>
    </row>
    <row r="29" spans="2:16" ht="23.4" outlineLevel="1" x14ac:dyDescent="0.4">
      <c r="B29" s="96"/>
      <c r="C29" s="70"/>
      <c r="D29" s="70"/>
      <c r="E29" s="70" t="s">
        <v>73</v>
      </c>
      <c r="F29" s="70" t="s">
        <v>43</v>
      </c>
      <c r="G29" s="73">
        <v>1.1000000000000001</v>
      </c>
      <c r="H29" s="73">
        <f>G29*H28</f>
        <v>46.750000000000007</v>
      </c>
      <c r="I29" s="16"/>
      <c r="J29" s="16"/>
      <c r="K29" s="16"/>
      <c r="L29" s="16"/>
      <c r="M29" s="16"/>
      <c r="N29" s="16"/>
      <c r="O29" s="16"/>
    </row>
    <row r="30" spans="2:16" outlineLevel="1" x14ac:dyDescent="0.4">
      <c r="B30" s="96"/>
      <c r="C30" s="70"/>
      <c r="D30" s="70"/>
      <c r="E30" s="70" t="s">
        <v>50</v>
      </c>
      <c r="F30" s="70" t="s">
        <v>77</v>
      </c>
      <c r="G30" s="73">
        <f>1/200</f>
        <v>5.0000000000000001E-3</v>
      </c>
      <c r="H30" s="73">
        <f>G30*H28</f>
        <v>0.21249999999999999</v>
      </c>
      <c r="I30" s="16"/>
      <c r="J30" s="16"/>
      <c r="K30" s="16"/>
      <c r="L30" s="16"/>
      <c r="M30" s="16"/>
      <c r="N30" s="16"/>
      <c r="O30" s="16"/>
    </row>
    <row r="31" spans="2:16" outlineLevel="1" x14ac:dyDescent="0.4">
      <c r="B31" s="96"/>
      <c r="C31" s="70"/>
      <c r="D31" s="70"/>
      <c r="E31" s="70" t="s">
        <v>13</v>
      </c>
      <c r="F31" s="70" t="s">
        <v>77</v>
      </c>
      <c r="G31" s="73">
        <f>1/200</f>
        <v>5.0000000000000001E-3</v>
      </c>
      <c r="H31" s="73">
        <f>G31*H28</f>
        <v>0.21249999999999999</v>
      </c>
      <c r="I31" s="16"/>
      <c r="J31" s="16"/>
      <c r="K31" s="16"/>
      <c r="L31" s="16"/>
      <c r="M31" s="16"/>
      <c r="N31" s="16"/>
      <c r="O31" s="16"/>
    </row>
    <row r="32" spans="2:16" outlineLevel="1" x14ac:dyDescent="0.4">
      <c r="B32" s="96"/>
      <c r="C32" s="70"/>
      <c r="D32" s="70"/>
      <c r="E32" s="70" t="s">
        <v>72</v>
      </c>
      <c r="F32" s="70" t="s">
        <v>77</v>
      </c>
      <c r="G32" s="73">
        <f>1/200</f>
        <v>5.0000000000000001E-3</v>
      </c>
      <c r="H32" s="73">
        <f>G32*H28</f>
        <v>0.21249999999999999</v>
      </c>
      <c r="I32" s="16"/>
      <c r="J32" s="16"/>
      <c r="K32" s="16"/>
      <c r="L32" s="16"/>
      <c r="M32" s="16"/>
      <c r="N32" s="16"/>
      <c r="O32" s="16"/>
    </row>
    <row r="33" spans="2:16" outlineLevel="1" x14ac:dyDescent="0.4">
      <c r="B33" s="96"/>
      <c r="C33" s="70"/>
      <c r="D33" s="70"/>
      <c r="E33" s="70"/>
      <c r="F33" s="70"/>
      <c r="G33" s="73"/>
      <c r="H33" s="73"/>
      <c r="I33" s="16"/>
      <c r="J33" s="16"/>
      <c r="K33" s="16"/>
      <c r="L33" s="16"/>
      <c r="M33" s="16"/>
      <c r="N33" s="16"/>
      <c r="O33" s="16"/>
    </row>
    <row r="34" spans="2:16" x14ac:dyDescent="0.4">
      <c r="B34" s="98"/>
      <c r="C34" s="87"/>
      <c r="D34" s="87"/>
      <c r="E34" s="85" t="s">
        <v>30</v>
      </c>
      <c r="F34" s="87"/>
      <c r="G34" s="99"/>
      <c r="H34" s="99"/>
      <c r="I34" s="99"/>
      <c r="J34" s="99">
        <f>SUBTOTAL(9,J9:J33)</f>
        <v>0</v>
      </c>
      <c r="K34" s="99"/>
      <c r="L34" s="99">
        <f>SUBTOTAL(9,L9:L33)</f>
        <v>0</v>
      </c>
      <c r="M34" s="99"/>
      <c r="N34" s="99">
        <f>SUBTOTAL(9,N9:N33)</f>
        <v>0</v>
      </c>
      <c r="O34" s="99">
        <f>SUM(O10:O33)</f>
        <v>0</v>
      </c>
    </row>
    <row r="35" spans="2:16" x14ac:dyDescent="0.4">
      <c r="B35" s="96"/>
      <c r="C35" s="70"/>
      <c r="D35" s="70"/>
      <c r="E35" s="84" t="s">
        <v>31</v>
      </c>
      <c r="F35" s="100"/>
      <c r="G35" s="16"/>
      <c r="H35" s="16"/>
      <c r="I35" s="16"/>
      <c r="J35" s="16">
        <f>J34*F35</f>
        <v>0</v>
      </c>
      <c r="K35" s="16"/>
      <c r="L35" s="16"/>
      <c r="M35" s="16"/>
      <c r="N35" s="16"/>
      <c r="O35" s="16">
        <f>J34*F35</f>
        <v>0</v>
      </c>
    </row>
    <row r="36" spans="2:16" x14ac:dyDescent="0.4">
      <c r="B36" s="98"/>
      <c r="C36" s="87"/>
      <c r="D36" s="87"/>
      <c r="E36" s="85" t="s">
        <v>37</v>
      </c>
      <c r="F36" s="85"/>
      <c r="G36" s="99"/>
      <c r="H36" s="99"/>
      <c r="I36" s="99"/>
      <c r="J36" s="99">
        <f>SUM(J34:J35)</f>
        <v>0</v>
      </c>
      <c r="K36" s="99"/>
      <c r="L36" s="99">
        <f>SUM(L34:L35)</f>
        <v>0</v>
      </c>
      <c r="M36" s="99"/>
      <c r="N36" s="99">
        <f>SUM(N34:N35)</f>
        <v>0</v>
      </c>
      <c r="O36" s="99">
        <f>SUM(O34:O35)</f>
        <v>0</v>
      </c>
    </row>
    <row r="37" spans="2:16" x14ac:dyDescent="0.4">
      <c r="B37" s="96"/>
      <c r="C37" s="70"/>
      <c r="D37" s="70"/>
      <c r="E37" s="84" t="s">
        <v>35</v>
      </c>
      <c r="F37" s="100">
        <v>0</v>
      </c>
      <c r="G37" s="16"/>
      <c r="H37" s="16"/>
      <c r="I37" s="16"/>
      <c r="J37" s="16">
        <f>J36*$F$37</f>
        <v>0</v>
      </c>
      <c r="K37" s="16"/>
      <c r="L37" s="16">
        <f>L36*$F$37</f>
        <v>0</v>
      </c>
      <c r="M37" s="16"/>
      <c r="N37" s="16">
        <f>N36*$F$37</f>
        <v>0</v>
      </c>
      <c r="O37" s="16">
        <f>O36*F37</f>
        <v>0</v>
      </c>
    </row>
    <row r="38" spans="2:16" x14ac:dyDescent="0.4">
      <c r="B38" s="98"/>
      <c r="C38" s="87"/>
      <c r="D38" s="87"/>
      <c r="E38" s="85" t="s">
        <v>37</v>
      </c>
      <c r="F38" s="85"/>
      <c r="G38" s="99"/>
      <c r="H38" s="99"/>
      <c r="I38" s="99"/>
      <c r="J38" s="99">
        <f>SUM(J36:J37)</f>
        <v>0</v>
      </c>
      <c r="K38" s="99"/>
      <c r="L38" s="99">
        <f>SUM(L36:L37)</f>
        <v>0</v>
      </c>
      <c r="M38" s="99"/>
      <c r="N38" s="99">
        <f>SUM(N36:N37)</f>
        <v>0</v>
      </c>
      <c r="O38" s="99">
        <f>SUM(O36:O37)</f>
        <v>0</v>
      </c>
    </row>
    <row r="39" spans="2:16" x14ac:dyDescent="0.4">
      <c r="B39" s="96"/>
      <c r="C39" s="70"/>
      <c r="D39" s="70"/>
      <c r="E39" s="84" t="s">
        <v>32</v>
      </c>
      <c r="F39" s="100"/>
      <c r="G39" s="16"/>
      <c r="H39" s="16"/>
      <c r="I39" s="16"/>
      <c r="J39" s="16">
        <f>J38*$F$39</f>
        <v>0</v>
      </c>
      <c r="K39" s="16"/>
      <c r="L39" s="16">
        <f>L38*$F$39</f>
        <v>0</v>
      </c>
      <c r="M39" s="16"/>
      <c r="N39" s="16">
        <f>N38*$F$39</f>
        <v>0</v>
      </c>
      <c r="O39" s="16">
        <f>O38*$F$39</f>
        <v>0</v>
      </c>
    </row>
    <row r="40" spans="2:16" x14ac:dyDescent="0.4">
      <c r="B40" s="98"/>
      <c r="C40" s="87"/>
      <c r="D40" s="87"/>
      <c r="E40" s="85" t="s">
        <v>37</v>
      </c>
      <c r="F40" s="85"/>
      <c r="G40" s="99"/>
      <c r="H40" s="99"/>
      <c r="I40" s="99"/>
      <c r="J40" s="99">
        <f>SUM(J38:J39)</f>
        <v>0</v>
      </c>
      <c r="K40" s="99"/>
      <c r="L40" s="99">
        <f>SUM(L38:L39)</f>
        <v>0</v>
      </c>
      <c r="M40" s="99"/>
      <c r="N40" s="99">
        <f>SUM(N38:N39)</f>
        <v>0</v>
      </c>
      <c r="O40" s="99">
        <f>SUM(O38:O39)</f>
        <v>0</v>
      </c>
    </row>
    <row r="41" spans="2:16" x14ac:dyDescent="0.4">
      <c r="B41" s="96"/>
      <c r="C41" s="70"/>
      <c r="D41" s="70"/>
      <c r="E41" s="84" t="s">
        <v>33</v>
      </c>
      <c r="F41" s="100"/>
      <c r="G41" s="16"/>
      <c r="H41" s="16"/>
      <c r="I41" s="16"/>
      <c r="J41" s="16">
        <f>J40*$F$41</f>
        <v>0</v>
      </c>
      <c r="K41" s="16"/>
      <c r="L41" s="16">
        <f>L40*$F$41</f>
        <v>0</v>
      </c>
      <c r="M41" s="16"/>
      <c r="N41" s="16">
        <f>N40*$F$41</f>
        <v>0</v>
      </c>
      <c r="O41" s="16">
        <f>O40*$F$41</f>
        <v>0</v>
      </c>
    </row>
    <row r="42" spans="2:16" x14ac:dyDescent="0.4">
      <c r="B42" s="98"/>
      <c r="C42" s="87"/>
      <c r="D42" s="87"/>
      <c r="E42" s="85" t="s">
        <v>37</v>
      </c>
      <c r="F42" s="85"/>
      <c r="G42" s="99"/>
      <c r="H42" s="99"/>
      <c r="I42" s="99"/>
      <c r="J42" s="99">
        <f>SUM(J40:J41)</f>
        <v>0</v>
      </c>
      <c r="K42" s="99"/>
      <c r="L42" s="99">
        <f>SUM(L40:L41)</f>
        <v>0</v>
      </c>
      <c r="M42" s="99"/>
      <c r="N42" s="99">
        <f>SUM(N40:N41)</f>
        <v>0</v>
      </c>
      <c r="O42" s="99">
        <f>SUM(O40:O41)</f>
        <v>0</v>
      </c>
    </row>
    <row r="43" spans="2:16" x14ac:dyDescent="0.4">
      <c r="B43" s="96"/>
      <c r="C43" s="70"/>
      <c r="D43" s="70"/>
      <c r="E43" s="84" t="s">
        <v>34</v>
      </c>
      <c r="F43" s="100">
        <v>0.18</v>
      </c>
      <c r="G43" s="16"/>
      <c r="H43" s="16"/>
      <c r="I43" s="16"/>
      <c r="J43" s="16">
        <f>J42*$F$43</f>
        <v>0</v>
      </c>
      <c r="K43" s="16"/>
      <c r="L43" s="16">
        <f>L42*$F$43</f>
        <v>0</v>
      </c>
      <c r="M43" s="16"/>
      <c r="N43" s="16">
        <f>N42*$F$43</f>
        <v>0</v>
      </c>
      <c r="O43" s="16">
        <f>O42*$F$43</f>
        <v>0</v>
      </c>
    </row>
    <row r="44" spans="2:16" x14ac:dyDescent="0.4">
      <c r="B44" s="101"/>
      <c r="C44" s="88"/>
      <c r="D44" s="88"/>
      <c r="E44" s="102" t="s">
        <v>36</v>
      </c>
      <c r="F44" s="88"/>
      <c r="G44" s="103"/>
      <c r="H44" s="103"/>
      <c r="I44" s="103"/>
      <c r="J44" s="103">
        <f>SUM(J42:J43)</f>
        <v>0</v>
      </c>
      <c r="K44" s="103"/>
      <c r="L44" s="103">
        <f>SUM(L42:L43)</f>
        <v>0</v>
      </c>
      <c r="M44" s="103"/>
      <c r="N44" s="103">
        <f>SUM(N42:N43)</f>
        <v>0</v>
      </c>
      <c r="O44" s="103">
        <f>SUM(O42:O43)</f>
        <v>0</v>
      </c>
      <c r="P44" s="104">
        <f>O44-N44-L44-J44</f>
        <v>0</v>
      </c>
    </row>
    <row r="45" spans="2:16" ht="48.75" customHeight="1" x14ac:dyDescent="0.4"/>
    <row r="46" spans="2:16" ht="48.75" customHeight="1" x14ac:dyDescent="0.4">
      <c r="N46" s="105"/>
      <c r="O46" s="106"/>
    </row>
    <row r="47" spans="2:16" ht="48.75" customHeight="1" x14ac:dyDescent="0.4">
      <c r="O47" s="107"/>
    </row>
    <row r="48" spans="2:16" ht="48.75" customHeight="1" x14ac:dyDescent="0.4"/>
    <row r="49" spans="15:18" ht="48.75" customHeight="1" x14ac:dyDescent="0.4"/>
    <row r="50" spans="15:18" ht="48.75" customHeight="1" x14ac:dyDescent="0.4">
      <c r="O50" s="106"/>
    </row>
    <row r="51" spans="15:18" ht="48.75" customHeight="1" x14ac:dyDescent="0.4"/>
    <row r="52" spans="15:18" ht="48.75" customHeight="1" x14ac:dyDescent="0.4"/>
    <row r="53" spans="15:18" ht="48.75" customHeight="1" x14ac:dyDescent="0.4"/>
    <row r="54" spans="15:18" ht="48.75" customHeight="1" x14ac:dyDescent="0.4"/>
    <row r="55" spans="15:18" s="89" customFormat="1" ht="48.75" customHeight="1" x14ac:dyDescent="0.4">
      <c r="P55" s="90"/>
      <c r="Q55" s="90"/>
      <c r="R55" s="90"/>
    </row>
    <row r="56" spans="15:18" s="89" customFormat="1" ht="48.75" customHeight="1" x14ac:dyDescent="0.4"/>
    <row r="57" spans="15:18" s="89" customFormat="1" ht="48.75" customHeight="1" x14ac:dyDescent="0.4"/>
    <row r="58" spans="15:18" s="89" customFormat="1" ht="48.75" customHeight="1" x14ac:dyDescent="0.4"/>
    <row r="59" spans="15:18" s="89" customFormat="1" ht="48.75" customHeight="1" x14ac:dyDescent="0.4"/>
    <row r="60" spans="15:18" s="89" customFormat="1" ht="48.75" customHeight="1" x14ac:dyDescent="0.4"/>
    <row r="61" spans="15:18" s="89" customFormat="1" ht="48.75" customHeight="1" x14ac:dyDescent="0.4"/>
    <row r="62" spans="15:18" s="89" customFormat="1" ht="48.75" customHeight="1" x14ac:dyDescent="0.4"/>
    <row r="63" spans="15:18" s="89" customFormat="1" ht="48.75" customHeight="1" x14ac:dyDescent="0.4"/>
    <row r="64" spans="15:18" s="89" customFormat="1" ht="48.75" customHeight="1" x14ac:dyDescent="0.4"/>
    <row r="65" s="89" customFormat="1" ht="48.75" customHeight="1" x14ac:dyDescent="0.4"/>
    <row r="66" s="89" customFormat="1" ht="48.75" customHeight="1" x14ac:dyDescent="0.4"/>
    <row r="67" s="89" customFormat="1" ht="48.75" customHeight="1" x14ac:dyDescent="0.4"/>
    <row r="68" s="89" customFormat="1" ht="48.75" customHeight="1" x14ac:dyDescent="0.4"/>
    <row r="69" s="89" customFormat="1" ht="48.75" customHeight="1" x14ac:dyDescent="0.4"/>
    <row r="70" s="89" customFormat="1" ht="48.75" customHeight="1" x14ac:dyDescent="0.4"/>
    <row r="71" s="89" customFormat="1" ht="48.75" customHeight="1" x14ac:dyDescent="0.4"/>
    <row r="72" s="89" customFormat="1" ht="48.75" customHeight="1" x14ac:dyDescent="0.4"/>
    <row r="73" s="89" customFormat="1" ht="48.75" customHeight="1" x14ac:dyDescent="0.4"/>
    <row r="74" s="89" customFormat="1" ht="48.75" customHeight="1" x14ac:dyDescent="0.4"/>
    <row r="75" s="89" customFormat="1" ht="48.75" customHeight="1" x14ac:dyDescent="0.4"/>
    <row r="76" s="89" customFormat="1" ht="48.75" customHeight="1" x14ac:dyDescent="0.4"/>
    <row r="77" s="89" customFormat="1" ht="48.75" customHeight="1" x14ac:dyDescent="0.4"/>
    <row r="78" s="89" customFormat="1" ht="48.75" customHeight="1" x14ac:dyDescent="0.4"/>
    <row r="79" s="89" customFormat="1" ht="48.75" customHeight="1" x14ac:dyDescent="0.4"/>
    <row r="80" s="89" customFormat="1" ht="48.75" customHeight="1" x14ac:dyDescent="0.4"/>
    <row r="81" s="89" customFormat="1" ht="48.75" customHeight="1" x14ac:dyDescent="0.4"/>
    <row r="82" s="89" customFormat="1" ht="48.75" customHeight="1" x14ac:dyDescent="0.4"/>
    <row r="83" s="89" customFormat="1" ht="48.75" customHeight="1" x14ac:dyDescent="0.4"/>
    <row r="84" s="89" customFormat="1" ht="48.75" customHeight="1" x14ac:dyDescent="0.4"/>
    <row r="85" s="89" customFormat="1" ht="48.75" customHeight="1" x14ac:dyDescent="0.4"/>
    <row r="86" s="89" customFormat="1" ht="48.75" customHeight="1" x14ac:dyDescent="0.4"/>
    <row r="87" s="89" customFormat="1" ht="48.75" customHeight="1" x14ac:dyDescent="0.4"/>
    <row r="88" s="89" customFormat="1" ht="48.75" customHeight="1" x14ac:dyDescent="0.4"/>
    <row r="89" s="89" customFormat="1" ht="48.75" customHeight="1" x14ac:dyDescent="0.4"/>
    <row r="90" s="89" customFormat="1" ht="48.75" customHeight="1" x14ac:dyDescent="0.4"/>
    <row r="91" s="89" customFormat="1" ht="48.75" customHeight="1" x14ac:dyDescent="0.4"/>
    <row r="92" s="89" customFormat="1" ht="48.75" customHeight="1" x14ac:dyDescent="0.4"/>
    <row r="93" s="89" customFormat="1" ht="48.75" customHeight="1" x14ac:dyDescent="0.4"/>
    <row r="94" s="89" customFormat="1" ht="48.75" customHeight="1" x14ac:dyDescent="0.4"/>
    <row r="95" s="89" customFormat="1" ht="48.75" customHeight="1" x14ac:dyDescent="0.4"/>
    <row r="96" s="89" customFormat="1" ht="48.75" customHeight="1" x14ac:dyDescent="0.4"/>
    <row r="97" s="89" customFormat="1" ht="48.75" customHeight="1" x14ac:dyDescent="0.4"/>
    <row r="98" s="89" customFormat="1" ht="48.75" customHeight="1" x14ac:dyDescent="0.4"/>
    <row r="99" s="89" customFormat="1" ht="48.75" customHeight="1" x14ac:dyDescent="0.4"/>
    <row r="100" s="89" customFormat="1" ht="48.75" customHeight="1" x14ac:dyDescent="0.4"/>
    <row r="101" s="89" customFormat="1" ht="48.75" customHeight="1" x14ac:dyDescent="0.4"/>
    <row r="102" s="89" customFormat="1" ht="48.75" customHeight="1" x14ac:dyDescent="0.4"/>
    <row r="103" s="89" customFormat="1" ht="48.75" customHeight="1" x14ac:dyDescent="0.4"/>
  </sheetData>
  <autoFilter ref="B8:O44" xr:uid="{361D4AB0-0706-4BFB-AC63-002C191578BD}"/>
  <mergeCells count="16">
    <mergeCell ref="B6:B7"/>
    <mergeCell ref="C6:C7"/>
    <mergeCell ref="D6:D7"/>
    <mergeCell ref="E6:E7"/>
    <mergeCell ref="F6:F7"/>
    <mergeCell ref="B2:D5"/>
    <mergeCell ref="E2:M4"/>
    <mergeCell ref="N2:O5"/>
    <mergeCell ref="E5:I5"/>
    <mergeCell ref="J5:L5"/>
    <mergeCell ref="G6:G7"/>
    <mergeCell ref="H6:H7"/>
    <mergeCell ref="I6:J6"/>
    <mergeCell ref="K6:L6"/>
    <mergeCell ref="M6:N6"/>
    <mergeCell ref="O6:O7"/>
  </mergeCells>
  <dataValidations count="1">
    <dataValidation type="list" allowBlank="1" showInputMessage="1" showErrorMessage="1" sqref="E1:E1048576" xr:uid="{A19D57D7-6371-47B5-B244-AE6D5FF7667E}">
      <formula1>UNIT_PRICES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560-4D46-44AA-840E-EB59A8658F89}">
  <dimension ref="B2:S270"/>
  <sheetViews>
    <sheetView showGridLines="0" showZeros="0" zoomScale="55" zoomScaleNormal="55" workbookViewId="0">
      <selection activeCell="N191" sqref="N191"/>
    </sheetView>
  </sheetViews>
  <sheetFormatPr defaultColWidth="8.88671875" defaultRowHeight="21" outlineLevelRow="1" x14ac:dyDescent="0.3"/>
  <cols>
    <col min="1" max="1" width="8.88671875" style="133"/>
    <col min="2" max="4" width="19.77734375" style="126" customWidth="1"/>
    <col min="5" max="5" width="79.77734375" style="126" customWidth="1"/>
    <col min="6" max="16" width="19.77734375" style="126" customWidth="1"/>
    <col min="17" max="17" width="11.5546875" style="133" bestFit="1" customWidth="1"/>
    <col min="18" max="18" width="10.33203125" style="133" bestFit="1" customWidth="1"/>
    <col min="19" max="19" width="13.21875" style="133" bestFit="1" customWidth="1"/>
    <col min="20" max="16384" width="8.88671875" style="133"/>
  </cols>
  <sheetData>
    <row r="2" spans="2:18" ht="48.75" customHeight="1" x14ac:dyDescent="0.3">
      <c r="B2" s="212"/>
      <c r="C2" s="206"/>
      <c r="D2" s="206"/>
      <c r="E2" s="204" t="s">
        <v>383</v>
      </c>
      <c r="F2" s="204"/>
      <c r="G2" s="204"/>
      <c r="H2" s="204"/>
      <c r="I2" s="204"/>
      <c r="J2" s="204"/>
      <c r="K2" s="204"/>
      <c r="L2" s="204"/>
      <c r="M2" s="204"/>
      <c r="N2" s="206"/>
      <c r="O2" s="206"/>
      <c r="P2" s="207"/>
    </row>
    <row r="3" spans="2:18" ht="48.75" customHeight="1" x14ac:dyDescent="0.3">
      <c r="B3" s="213"/>
      <c r="C3" s="208"/>
      <c r="D3" s="208"/>
      <c r="E3" s="205"/>
      <c r="F3" s="205"/>
      <c r="G3" s="205"/>
      <c r="H3" s="205"/>
      <c r="I3" s="205"/>
      <c r="J3" s="205"/>
      <c r="K3" s="205"/>
      <c r="L3" s="205"/>
      <c r="M3" s="205"/>
      <c r="N3" s="208"/>
      <c r="O3" s="208"/>
      <c r="P3" s="209"/>
    </row>
    <row r="4" spans="2:18" ht="48.75" customHeight="1" x14ac:dyDescent="0.3">
      <c r="B4" s="213"/>
      <c r="C4" s="208"/>
      <c r="D4" s="208"/>
      <c r="E4" s="205"/>
      <c r="F4" s="205"/>
      <c r="G4" s="205"/>
      <c r="H4" s="205"/>
      <c r="I4" s="205"/>
      <c r="J4" s="205"/>
      <c r="K4" s="205"/>
      <c r="L4" s="205"/>
      <c r="M4" s="205"/>
      <c r="N4" s="208"/>
      <c r="O4" s="208"/>
      <c r="P4" s="209"/>
    </row>
    <row r="5" spans="2:18" ht="48.75" customHeight="1" x14ac:dyDescent="0.3">
      <c r="B5" s="213"/>
      <c r="C5" s="208"/>
      <c r="D5" s="208"/>
      <c r="E5" s="210" t="s">
        <v>388</v>
      </c>
      <c r="F5" s="210"/>
      <c r="G5" s="210"/>
      <c r="H5" s="210"/>
      <c r="I5" s="210"/>
      <c r="J5" s="208" t="s">
        <v>350</v>
      </c>
      <c r="K5" s="208"/>
      <c r="L5" s="208"/>
      <c r="M5" s="11">
        <f>O218</f>
        <v>0</v>
      </c>
      <c r="N5" s="208"/>
      <c r="O5" s="208"/>
      <c r="P5" s="209"/>
    </row>
    <row r="6" spans="2:18" ht="48.75" customHeight="1" x14ac:dyDescent="0.3">
      <c r="B6" s="211" t="s">
        <v>2</v>
      </c>
      <c r="C6" s="199" t="s">
        <v>3</v>
      </c>
      <c r="D6" s="199" t="s">
        <v>0</v>
      </c>
      <c r="E6" s="199" t="s">
        <v>4</v>
      </c>
      <c r="F6" s="199" t="s">
        <v>5</v>
      </c>
      <c r="G6" s="199" t="s">
        <v>6</v>
      </c>
      <c r="H6" s="199" t="s">
        <v>7</v>
      </c>
      <c r="I6" s="199" t="s">
        <v>11</v>
      </c>
      <c r="J6" s="199"/>
      <c r="K6" s="199" t="s">
        <v>86</v>
      </c>
      <c r="L6" s="199"/>
      <c r="M6" s="199" t="s">
        <v>12</v>
      </c>
      <c r="N6" s="199"/>
      <c r="O6" s="199" t="s">
        <v>10</v>
      </c>
      <c r="P6" s="198" t="s">
        <v>38</v>
      </c>
    </row>
    <row r="7" spans="2:18" ht="48.75" customHeight="1" x14ac:dyDescent="0.3">
      <c r="B7" s="211"/>
      <c r="C7" s="199"/>
      <c r="D7" s="199"/>
      <c r="E7" s="199"/>
      <c r="F7" s="199"/>
      <c r="G7" s="199"/>
      <c r="H7" s="199"/>
      <c r="I7" s="85" t="s">
        <v>8</v>
      </c>
      <c r="J7" s="85" t="s">
        <v>9</v>
      </c>
      <c r="K7" s="85" t="s">
        <v>8</v>
      </c>
      <c r="L7" s="85" t="s">
        <v>9</v>
      </c>
      <c r="M7" s="85" t="s">
        <v>8</v>
      </c>
      <c r="N7" s="85" t="s">
        <v>9</v>
      </c>
      <c r="O7" s="199"/>
      <c r="P7" s="198"/>
    </row>
    <row r="8" spans="2:18" ht="48.75" customHeight="1" x14ac:dyDescent="0.3">
      <c r="B8" s="91">
        <v>1</v>
      </c>
      <c r="C8" s="85">
        <v>2</v>
      </c>
      <c r="D8" s="85">
        <v>3</v>
      </c>
      <c r="E8" s="85">
        <v>4</v>
      </c>
      <c r="F8" s="85">
        <v>5</v>
      </c>
      <c r="G8" s="85">
        <v>6</v>
      </c>
      <c r="H8" s="85">
        <v>7</v>
      </c>
      <c r="I8" s="85">
        <v>8</v>
      </c>
      <c r="J8" s="85">
        <v>9</v>
      </c>
      <c r="K8" s="85">
        <v>10</v>
      </c>
      <c r="L8" s="85">
        <v>11</v>
      </c>
      <c r="M8" s="85">
        <v>12</v>
      </c>
      <c r="N8" s="85">
        <v>13</v>
      </c>
      <c r="O8" s="85">
        <v>14</v>
      </c>
      <c r="P8" s="83">
        <v>15</v>
      </c>
    </row>
    <row r="9" spans="2:18" x14ac:dyDescent="0.3">
      <c r="B9" s="92"/>
      <c r="C9" s="86"/>
      <c r="D9" s="86"/>
      <c r="E9" s="93" t="s">
        <v>190</v>
      </c>
      <c r="F9" s="86" t="s">
        <v>40</v>
      </c>
      <c r="G9" s="86"/>
      <c r="H9" s="86"/>
      <c r="I9" s="94"/>
      <c r="J9" s="94"/>
      <c r="K9" s="94"/>
      <c r="L9" s="94"/>
      <c r="M9" s="94"/>
      <c r="N9" s="94"/>
      <c r="O9" s="94">
        <f>SUBTOTAL(9,O10:O207)</f>
        <v>0</v>
      </c>
      <c r="P9" s="95"/>
      <c r="R9" s="134"/>
    </row>
    <row r="10" spans="2:18" customFormat="1" ht="23.4" outlineLevel="1" x14ac:dyDescent="0.4">
      <c r="B10" s="26"/>
      <c r="C10" s="147" t="s">
        <v>387</v>
      </c>
      <c r="D10" s="18"/>
      <c r="E10" s="14" t="s">
        <v>191</v>
      </c>
      <c r="F10" s="14" t="s">
        <v>42</v>
      </c>
      <c r="G10" s="71"/>
      <c r="H10" s="71">
        <f>85*0.1</f>
        <v>8.5</v>
      </c>
      <c r="I10" s="16"/>
      <c r="J10" s="17">
        <f>SUBTOTAL(9,J12:J14)</f>
        <v>0</v>
      </c>
      <c r="K10" s="16"/>
      <c r="L10" s="17">
        <f>SUBTOTAL(9,L12:L14)</f>
        <v>0</v>
      </c>
      <c r="M10" s="16"/>
      <c r="N10" s="17">
        <f>SUBTOTAL(9,N12:N14)</f>
        <v>0</v>
      </c>
      <c r="O10" s="72">
        <f>SUBTOTAL(9,O12:O14)</f>
        <v>0</v>
      </c>
      <c r="P10" s="27">
        <f>O10/H10</f>
        <v>0</v>
      </c>
    </row>
    <row r="11" spans="2:18" customFormat="1" ht="23.4" outlineLevel="1" x14ac:dyDescent="0.4">
      <c r="B11" s="26"/>
      <c r="C11" s="18"/>
      <c r="D11" s="18"/>
      <c r="E11" s="70" t="s">
        <v>171</v>
      </c>
      <c r="F11" s="18" t="s">
        <v>45</v>
      </c>
      <c r="G11" s="73">
        <v>2</v>
      </c>
      <c r="H11" s="73">
        <f>85*G11</f>
        <v>170</v>
      </c>
      <c r="I11" s="16"/>
      <c r="J11" s="16">
        <f>I11*H11</f>
        <v>0</v>
      </c>
      <c r="K11" s="16"/>
      <c r="L11" s="16">
        <f>K11*H11</f>
        <v>0</v>
      </c>
      <c r="M11" s="16"/>
      <c r="N11" s="16">
        <f>M11*H11</f>
        <v>0</v>
      </c>
      <c r="O11" s="16">
        <f>N11+L11+J11</f>
        <v>0</v>
      </c>
      <c r="P11" s="28"/>
    </row>
    <row r="12" spans="2:18" customFormat="1" ht="23.4" outlineLevel="1" x14ac:dyDescent="0.4">
      <c r="B12" s="26"/>
      <c r="C12" s="18"/>
      <c r="D12" s="18"/>
      <c r="E12" s="70" t="s">
        <v>29</v>
      </c>
      <c r="F12" s="70" t="s">
        <v>43</v>
      </c>
      <c r="G12" s="73">
        <v>1.0149999999999999</v>
      </c>
      <c r="H12" s="73">
        <f>G12*H10</f>
        <v>8.6274999999999995</v>
      </c>
      <c r="I12" s="16"/>
      <c r="J12" s="16">
        <f>I12*H12</f>
        <v>0</v>
      </c>
      <c r="K12" s="16"/>
      <c r="L12" s="16">
        <f>K12*H12</f>
        <v>0</v>
      </c>
      <c r="M12" s="16"/>
      <c r="N12" s="16">
        <f>M12*H12</f>
        <v>0</v>
      </c>
      <c r="O12" s="16">
        <f>N12+L12+J12</f>
        <v>0</v>
      </c>
      <c r="P12" s="28"/>
    </row>
    <row r="13" spans="2:18" customFormat="1" ht="23.4" outlineLevel="1" x14ac:dyDescent="0.4">
      <c r="B13" s="26"/>
      <c r="C13" s="18"/>
      <c r="D13" s="18"/>
      <c r="E13" s="70" t="s">
        <v>16</v>
      </c>
      <c r="F13" s="70" t="s">
        <v>43</v>
      </c>
      <c r="G13" s="73">
        <v>1.0149999999999999</v>
      </c>
      <c r="H13" s="73">
        <f>G13*H10</f>
        <v>8.6274999999999995</v>
      </c>
      <c r="I13" s="16"/>
      <c r="J13" s="16">
        <f>I13*H13</f>
        <v>0</v>
      </c>
      <c r="K13" s="16"/>
      <c r="L13" s="16">
        <f>K13*H13</f>
        <v>0</v>
      </c>
      <c r="M13" s="16"/>
      <c r="N13" s="16">
        <f>M13*H13</f>
        <v>0</v>
      </c>
      <c r="O13" s="16">
        <f>N13+L13+J13</f>
        <v>0</v>
      </c>
      <c r="P13" s="28"/>
    </row>
    <row r="14" spans="2:18" customFormat="1" ht="23.4" outlineLevel="1" x14ac:dyDescent="0.4">
      <c r="B14" s="26"/>
      <c r="C14" s="18"/>
      <c r="D14" s="18"/>
      <c r="E14" s="70" t="s">
        <v>17</v>
      </c>
      <c r="F14" s="70" t="s">
        <v>45</v>
      </c>
      <c r="G14" s="73" t="s">
        <v>188</v>
      </c>
      <c r="H14" s="73">
        <v>85</v>
      </c>
      <c r="I14" s="16"/>
      <c r="J14" s="16">
        <f>I14*H14</f>
        <v>0</v>
      </c>
      <c r="K14" s="16"/>
      <c r="L14" s="16">
        <f>K14*H14</f>
        <v>0</v>
      </c>
      <c r="M14" s="16"/>
      <c r="N14" s="16">
        <f>M14*H14</f>
        <v>0</v>
      </c>
      <c r="O14" s="16">
        <f>N14+L14+J14</f>
        <v>0</v>
      </c>
      <c r="P14" s="28"/>
    </row>
    <row r="15" spans="2:18" customFormat="1" outlineLevel="1" x14ac:dyDescent="0.4">
      <c r="B15" s="26"/>
      <c r="C15" s="18"/>
      <c r="D15" s="18"/>
      <c r="E15" s="70"/>
      <c r="F15" s="70"/>
      <c r="G15" s="73"/>
      <c r="H15" s="73"/>
      <c r="I15" s="16"/>
      <c r="J15" s="16">
        <f>I15*H15</f>
        <v>0</v>
      </c>
      <c r="K15" s="16"/>
      <c r="L15" s="16">
        <f>K15*H15</f>
        <v>0</v>
      </c>
      <c r="M15" s="16"/>
      <c r="N15" s="16">
        <f>M15*H15</f>
        <v>0</v>
      </c>
      <c r="O15" s="16">
        <f>N15+L15+J15</f>
        <v>0</v>
      </c>
      <c r="P15" s="28"/>
    </row>
    <row r="16" spans="2:18" customFormat="1" ht="42" outlineLevel="1" x14ac:dyDescent="0.4">
      <c r="B16" s="26"/>
      <c r="C16" s="18" t="s">
        <v>389</v>
      </c>
      <c r="D16" s="18"/>
      <c r="E16" s="14" t="s">
        <v>390</v>
      </c>
      <c r="F16" s="14" t="s">
        <v>44</v>
      </c>
      <c r="G16" s="71"/>
      <c r="H16" s="71">
        <f>115+37*0.5+(87-65)</f>
        <v>155.5</v>
      </c>
      <c r="I16" s="16"/>
      <c r="J16" s="72">
        <f>SUBTOTAL(9,J17:J21)</f>
        <v>0</v>
      </c>
      <c r="K16" s="16"/>
      <c r="L16" s="72">
        <f>SUBTOTAL(9,L17:L21)</f>
        <v>0</v>
      </c>
      <c r="M16" s="16"/>
      <c r="N16" s="72">
        <f>SUBTOTAL(9,N17:N21)</f>
        <v>0</v>
      </c>
      <c r="O16" s="72">
        <f>SUBTOTAL(9,O17:O21)</f>
        <v>0</v>
      </c>
      <c r="P16" s="27">
        <f>O16/H16</f>
        <v>0</v>
      </c>
    </row>
    <row r="17" spans="2:16" customFormat="1" outlineLevel="1" x14ac:dyDescent="0.4">
      <c r="B17" s="26"/>
      <c r="C17" s="18"/>
      <c r="D17" s="18"/>
      <c r="E17" s="70" t="s">
        <v>140</v>
      </c>
      <c r="F17" s="70" t="s">
        <v>20</v>
      </c>
      <c r="G17" s="73">
        <v>2</v>
      </c>
      <c r="H17" s="73">
        <f>G17*H16</f>
        <v>311</v>
      </c>
      <c r="I17" s="16"/>
      <c r="J17" s="16">
        <f t="shared" ref="J17:J22" si="0">I17*H17</f>
        <v>0</v>
      </c>
      <c r="K17" s="16"/>
      <c r="L17" s="16">
        <f t="shared" ref="L17:L22" si="1">K17*H17</f>
        <v>0</v>
      </c>
      <c r="M17" s="16"/>
      <c r="N17" s="16">
        <f t="shared" ref="N17:N22" si="2">M17*H17</f>
        <v>0</v>
      </c>
      <c r="O17" s="16">
        <f t="shared" ref="O17:O22" si="3">N17+L17+J17</f>
        <v>0</v>
      </c>
      <c r="P17" s="28"/>
    </row>
    <row r="18" spans="2:16" customFormat="1" outlineLevel="1" x14ac:dyDescent="0.4">
      <c r="B18" s="26"/>
      <c r="C18" s="18"/>
      <c r="D18" s="18"/>
      <c r="E18" s="70" t="s">
        <v>68</v>
      </c>
      <c r="F18" s="70" t="s">
        <v>1</v>
      </c>
      <c r="G18" s="73">
        <v>0.02</v>
      </c>
      <c r="H18" s="73">
        <f>G18*H16</f>
        <v>3.11</v>
      </c>
      <c r="I18" s="16"/>
      <c r="J18" s="16">
        <f t="shared" si="0"/>
        <v>0</v>
      </c>
      <c r="K18" s="16"/>
      <c r="L18" s="16">
        <f t="shared" si="1"/>
        <v>0</v>
      </c>
      <c r="M18" s="16"/>
      <c r="N18" s="16">
        <f t="shared" si="2"/>
        <v>0</v>
      </c>
      <c r="O18" s="16">
        <f t="shared" si="3"/>
        <v>0</v>
      </c>
      <c r="P18" s="28"/>
    </row>
    <row r="19" spans="2:16" customFormat="1" outlineLevel="1" x14ac:dyDescent="0.4">
      <c r="B19" s="26"/>
      <c r="C19" s="18"/>
      <c r="D19" s="18"/>
      <c r="E19" s="70" t="s">
        <v>141</v>
      </c>
      <c r="F19" s="70" t="s">
        <v>1</v>
      </c>
      <c r="G19" s="73">
        <v>0.02</v>
      </c>
      <c r="H19" s="73">
        <f>G19*H16</f>
        <v>3.11</v>
      </c>
      <c r="I19" s="16"/>
      <c r="J19" s="16">
        <f t="shared" si="0"/>
        <v>0</v>
      </c>
      <c r="K19" s="16"/>
      <c r="L19" s="16">
        <f t="shared" si="1"/>
        <v>0</v>
      </c>
      <c r="M19" s="16"/>
      <c r="N19" s="16">
        <f t="shared" si="2"/>
        <v>0</v>
      </c>
      <c r="O19" s="16">
        <f t="shared" si="3"/>
        <v>0</v>
      </c>
      <c r="P19" s="28"/>
    </row>
    <row r="20" spans="2:16" customFormat="1" outlineLevel="1" x14ac:dyDescent="0.4">
      <c r="B20" s="26"/>
      <c r="C20" s="18"/>
      <c r="D20" s="18"/>
      <c r="E20" s="70" t="s">
        <v>47</v>
      </c>
      <c r="F20" s="70" t="s">
        <v>20</v>
      </c>
      <c r="G20" s="73">
        <f>10/40</f>
        <v>0.25</v>
      </c>
      <c r="H20" s="73">
        <f>G20*H16</f>
        <v>38.875</v>
      </c>
      <c r="I20" s="16"/>
      <c r="J20" s="16">
        <f t="shared" si="0"/>
        <v>0</v>
      </c>
      <c r="K20" s="16"/>
      <c r="L20" s="16">
        <f t="shared" si="1"/>
        <v>0</v>
      </c>
      <c r="M20" s="16"/>
      <c r="N20" s="16">
        <f t="shared" si="2"/>
        <v>0</v>
      </c>
      <c r="O20" s="16">
        <f t="shared" si="3"/>
        <v>0</v>
      </c>
      <c r="P20" s="28"/>
    </row>
    <row r="21" spans="2:16" customFormat="1" ht="23.4" outlineLevel="1" x14ac:dyDescent="0.4">
      <c r="B21" s="26"/>
      <c r="C21" s="18"/>
      <c r="D21" s="18"/>
      <c r="E21" s="70" t="s">
        <v>48</v>
      </c>
      <c r="F21" s="70" t="s">
        <v>45</v>
      </c>
      <c r="G21" s="73">
        <v>1</v>
      </c>
      <c r="H21" s="73">
        <f>G21*H16</f>
        <v>155.5</v>
      </c>
      <c r="I21" s="16"/>
      <c r="J21" s="16">
        <f t="shared" si="0"/>
        <v>0</v>
      </c>
      <c r="K21" s="16"/>
      <c r="L21" s="16">
        <f t="shared" si="1"/>
        <v>0</v>
      </c>
      <c r="M21" s="16"/>
      <c r="N21" s="16">
        <f t="shared" si="2"/>
        <v>0</v>
      </c>
      <c r="O21" s="16">
        <f t="shared" si="3"/>
        <v>0</v>
      </c>
      <c r="P21" s="28"/>
    </row>
    <row r="22" spans="2:16" customFormat="1" outlineLevel="1" x14ac:dyDescent="0.4">
      <c r="B22" s="26"/>
      <c r="C22" s="18"/>
      <c r="D22" s="18"/>
      <c r="E22" s="70"/>
      <c r="F22" s="70"/>
      <c r="G22" s="73"/>
      <c r="H22" s="73"/>
      <c r="I22" s="16"/>
      <c r="J22" s="16">
        <f t="shared" si="0"/>
        <v>0</v>
      </c>
      <c r="K22" s="16"/>
      <c r="L22" s="16">
        <f t="shared" si="1"/>
        <v>0</v>
      </c>
      <c r="M22" s="16"/>
      <c r="N22" s="16">
        <f t="shared" si="2"/>
        <v>0</v>
      </c>
      <c r="O22" s="16">
        <f t="shared" si="3"/>
        <v>0</v>
      </c>
      <c r="P22" s="28"/>
    </row>
    <row r="23" spans="2:16" customFormat="1" ht="63" outlineLevel="1" x14ac:dyDescent="0.4">
      <c r="B23" s="26"/>
      <c r="C23" s="18"/>
      <c r="D23" s="18"/>
      <c r="E23" s="14" t="s">
        <v>351</v>
      </c>
      <c r="F23" s="14" t="s">
        <v>44</v>
      </c>
      <c r="G23" s="71"/>
      <c r="H23" s="71">
        <f>H16</f>
        <v>155.5</v>
      </c>
      <c r="I23" s="16"/>
      <c r="J23" s="72">
        <f>SUBTOTAL(9,J24:J32)</f>
        <v>0</v>
      </c>
      <c r="K23" s="16"/>
      <c r="L23" s="72">
        <f>SUBTOTAL(9,L24:L32)</f>
        <v>0</v>
      </c>
      <c r="M23" s="16"/>
      <c r="N23" s="72">
        <f>SUBTOTAL(9,N24:N32)</f>
        <v>0</v>
      </c>
      <c r="O23" s="72">
        <f>SUBTOTAL(9,O24:O32)</f>
        <v>0</v>
      </c>
      <c r="P23" s="27">
        <f>O23/H23</f>
        <v>0</v>
      </c>
    </row>
    <row r="24" spans="2:16" customFormat="1" ht="44.4" outlineLevel="1" x14ac:dyDescent="0.4">
      <c r="B24" s="26"/>
      <c r="C24" s="18"/>
      <c r="D24" s="18"/>
      <c r="E24" s="70" t="s">
        <v>274</v>
      </c>
      <c r="F24" s="70" t="s">
        <v>45</v>
      </c>
      <c r="G24" s="73">
        <v>1.3</v>
      </c>
      <c r="H24" s="73">
        <f>G24*H23</f>
        <v>202.15</v>
      </c>
      <c r="I24" s="16"/>
      <c r="J24" s="16">
        <f t="shared" ref="J24:J33" si="4">I24*H24</f>
        <v>0</v>
      </c>
      <c r="K24" s="16"/>
      <c r="L24" s="16">
        <f t="shared" ref="L24:L33" si="5">K24*H24</f>
        <v>0</v>
      </c>
      <c r="M24" s="16"/>
      <c r="N24" s="16">
        <f t="shared" ref="N24:N33" si="6">M24*H24</f>
        <v>0</v>
      </c>
      <c r="O24" s="16">
        <f t="shared" ref="O24:O33" si="7">N24+L24+J24</f>
        <v>0</v>
      </c>
      <c r="P24" s="28"/>
    </row>
    <row r="25" spans="2:16" customFormat="1" outlineLevel="1" x14ac:dyDescent="0.4">
      <c r="B25" s="26"/>
      <c r="C25" s="18"/>
      <c r="D25" s="18"/>
      <c r="E25" s="70" t="s">
        <v>275</v>
      </c>
      <c r="F25" s="70" t="s">
        <v>41</v>
      </c>
      <c r="G25" s="73">
        <v>2</v>
      </c>
      <c r="H25" s="73">
        <f>G25*H23</f>
        <v>311</v>
      </c>
      <c r="I25" s="16"/>
      <c r="J25" s="16">
        <f t="shared" si="4"/>
        <v>0</v>
      </c>
      <c r="K25" s="16"/>
      <c r="L25" s="16">
        <f t="shared" si="5"/>
        <v>0</v>
      </c>
      <c r="M25" s="16"/>
      <c r="N25" s="16">
        <f t="shared" si="6"/>
        <v>0</v>
      </c>
      <c r="O25" s="16">
        <f t="shared" si="7"/>
        <v>0</v>
      </c>
      <c r="P25" s="28"/>
    </row>
    <row r="26" spans="2:16" customFormat="1" ht="42" outlineLevel="1" x14ac:dyDescent="0.4">
      <c r="B26" s="26"/>
      <c r="C26" s="18"/>
      <c r="D26" s="18"/>
      <c r="E26" s="70" t="s">
        <v>277</v>
      </c>
      <c r="F26" s="70" t="s">
        <v>41</v>
      </c>
      <c r="G26" s="73">
        <v>2</v>
      </c>
      <c r="H26" s="73">
        <f>G26*H23</f>
        <v>311</v>
      </c>
      <c r="I26" s="16"/>
      <c r="J26" s="16">
        <f t="shared" si="4"/>
        <v>0</v>
      </c>
      <c r="K26" s="16"/>
      <c r="L26" s="16">
        <f t="shared" si="5"/>
        <v>0</v>
      </c>
      <c r="M26" s="16"/>
      <c r="N26" s="16">
        <f t="shared" si="6"/>
        <v>0</v>
      </c>
      <c r="O26" s="16">
        <f t="shared" si="7"/>
        <v>0</v>
      </c>
      <c r="P26" s="28"/>
    </row>
    <row r="27" spans="2:16" customFormat="1" ht="23.4" outlineLevel="1" x14ac:dyDescent="0.4">
      <c r="B27" s="26"/>
      <c r="C27" s="18"/>
      <c r="D27" s="18"/>
      <c r="E27" s="70" t="s">
        <v>225</v>
      </c>
      <c r="F27" s="70" t="s">
        <v>45</v>
      </c>
      <c r="G27" s="73">
        <v>1.1000000000000001</v>
      </c>
      <c r="H27" s="73">
        <f>G27*H23</f>
        <v>171.05</v>
      </c>
      <c r="I27" s="16"/>
      <c r="J27" s="16">
        <f t="shared" si="4"/>
        <v>0</v>
      </c>
      <c r="K27" s="16"/>
      <c r="L27" s="16">
        <f t="shared" si="5"/>
        <v>0</v>
      </c>
      <c r="M27" s="16"/>
      <c r="N27" s="16">
        <f t="shared" si="6"/>
        <v>0</v>
      </c>
      <c r="O27" s="16">
        <f t="shared" si="7"/>
        <v>0</v>
      </c>
      <c r="P27" s="28"/>
    </row>
    <row r="28" spans="2:16" customFormat="1" outlineLevel="1" x14ac:dyDescent="0.4">
      <c r="B28" s="26"/>
      <c r="C28" s="18"/>
      <c r="D28" s="18"/>
      <c r="E28" s="70" t="s">
        <v>104</v>
      </c>
      <c r="F28" s="70" t="s">
        <v>20</v>
      </c>
      <c r="G28" s="73">
        <v>0.1</v>
      </c>
      <c r="H28" s="73">
        <f>G28*H23</f>
        <v>15.55</v>
      </c>
      <c r="I28" s="16"/>
      <c r="J28" s="16">
        <f t="shared" si="4"/>
        <v>0</v>
      </c>
      <c r="K28" s="16"/>
      <c r="L28" s="16">
        <f t="shared" si="5"/>
        <v>0</v>
      </c>
      <c r="M28" s="16"/>
      <c r="N28" s="16">
        <f t="shared" si="6"/>
        <v>0</v>
      </c>
      <c r="O28" s="16">
        <f t="shared" si="7"/>
        <v>0</v>
      </c>
      <c r="P28" s="28"/>
    </row>
    <row r="29" spans="2:16" customFormat="1" outlineLevel="1" x14ac:dyDescent="0.4">
      <c r="B29" s="26"/>
      <c r="C29" s="18"/>
      <c r="D29" s="18"/>
      <c r="E29" s="70" t="s">
        <v>49</v>
      </c>
      <c r="F29" s="70" t="s">
        <v>20</v>
      </c>
      <c r="G29" s="73">
        <v>2</v>
      </c>
      <c r="H29" s="73">
        <f>G29*H23</f>
        <v>311</v>
      </c>
      <c r="I29" s="16"/>
      <c r="J29" s="16">
        <f t="shared" si="4"/>
        <v>0</v>
      </c>
      <c r="K29" s="16"/>
      <c r="L29" s="16">
        <f t="shared" si="5"/>
        <v>0</v>
      </c>
      <c r="M29" s="16"/>
      <c r="N29" s="16">
        <f t="shared" si="6"/>
        <v>0</v>
      </c>
      <c r="O29" s="16">
        <f t="shared" si="7"/>
        <v>0</v>
      </c>
      <c r="P29" s="28"/>
    </row>
    <row r="30" spans="2:16" customFormat="1" outlineLevel="1" x14ac:dyDescent="0.4">
      <c r="B30" s="26"/>
      <c r="C30" s="18"/>
      <c r="D30" s="18"/>
      <c r="E30" s="70" t="s">
        <v>68</v>
      </c>
      <c r="F30" s="70" t="s">
        <v>1</v>
      </c>
      <c r="G30" s="73">
        <v>0.1</v>
      </c>
      <c r="H30" s="73">
        <f>G30*H23</f>
        <v>15.55</v>
      </c>
      <c r="I30" s="16"/>
      <c r="J30" s="16">
        <f t="shared" si="4"/>
        <v>0</v>
      </c>
      <c r="K30" s="16"/>
      <c r="L30" s="16">
        <f t="shared" si="5"/>
        <v>0</v>
      </c>
      <c r="M30" s="16"/>
      <c r="N30" s="16">
        <f t="shared" si="6"/>
        <v>0</v>
      </c>
      <c r="O30" s="16">
        <f t="shared" si="7"/>
        <v>0</v>
      </c>
      <c r="P30" s="28"/>
    </row>
    <row r="31" spans="2:16" customFormat="1" outlineLevel="1" x14ac:dyDescent="0.4">
      <c r="B31" s="26"/>
      <c r="C31" s="18"/>
      <c r="D31" s="18"/>
      <c r="E31" s="70" t="s">
        <v>141</v>
      </c>
      <c r="F31" s="70" t="s">
        <v>1</v>
      </c>
      <c r="G31" s="73">
        <v>0.1</v>
      </c>
      <c r="H31" s="73">
        <f>G31*H23</f>
        <v>15.55</v>
      </c>
      <c r="I31" s="16"/>
      <c r="J31" s="16">
        <f t="shared" si="4"/>
        <v>0</v>
      </c>
      <c r="K31" s="16"/>
      <c r="L31" s="16">
        <f t="shared" si="5"/>
        <v>0</v>
      </c>
      <c r="M31" s="16"/>
      <c r="N31" s="16">
        <f t="shared" si="6"/>
        <v>0</v>
      </c>
      <c r="O31" s="16">
        <f t="shared" si="7"/>
        <v>0</v>
      </c>
      <c r="P31" s="28"/>
    </row>
    <row r="32" spans="2:16" customFormat="1" ht="23.4" outlineLevel="1" x14ac:dyDescent="0.4">
      <c r="B32" s="26"/>
      <c r="C32" s="18"/>
      <c r="D32" s="18"/>
      <c r="E32" s="70" t="s">
        <v>69</v>
      </c>
      <c r="F32" s="70" t="s">
        <v>45</v>
      </c>
      <c r="G32" s="73">
        <v>1</v>
      </c>
      <c r="H32" s="73">
        <f>G32*H23</f>
        <v>155.5</v>
      </c>
      <c r="I32" s="16"/>
      <c r="J32" s="16">
        <f t="shared" si="4"/>
        <v>0</v>
      </c>
      <c r="K32" s="16"/>
      <c r="L32" s="16">
        <f t="shared" si="5"/>
        <v>0</v>
      </c>
      <c r="M32" s="16"/>
      <c r="N32" s="16">
        <f t="shared" si="6"/>
        <v>0</v>
      </c>
      <c r="O32" s="16">
        <f t="shared" si="7"/>
        <v>0</v>
      </c>
      <c r="P32" s="28"/>
    </row>
    <row r="33" spans="2:18" customFormat="1" outlineLevel="1" x14ac:dyDescent="0.4">
      <c r="B33" s="26"/>
      <c r="C33" s="18"/>
      <c r="D33" s="18"/>
      <c r="E33" s="70"/>
      <c r="F33" s="70"/>
      <c r="G33" s="73"/>
      <c r="H33" s="73"/>
      <c r="I33" s="16"/>
      <c r="J33" s="16">
        <f t="shared" si="4"/>
        <v>0</v>
      </c>
      <c r="K33" s="16"/>
      <c r="L33" s="16">
        <f t="shared" si="5"/>
        <v>0</v>
      </c>
      <c r="M33" s="16"/>
      <c r="N33" s="16">
        <f t="shared" si="6"/>
        <v>0</v>
      </c>
      <c r="O33" s="16">
        <f t="shared" si="7"/>
        <v>0</v>
      </c>
      <c r="P33" s="28"/>
    </row>
    <row r="34" spans="2:18" ht="23.4" outlineLevel="1" x14ac:dyDescent="0.3">
      <c r="B34" s="135"/>
      <c r="C34" s="147" t="s">
        <v>385</v>
      </c>
      <c r="D34" s="115"/>
      <c r="E34" s="112" t="s">
        <v>386</v>
      </c>
      <c r="F34" s="112" t="s">
        <v>42</v>
      </c>
      <c r="G34" s="130"/>
      <c r="H34" s="130">
        <v>43</v>
      </c>
      <c r="I34" s="11"/>
      <c r="J34" s="131">
        <f>SUBTOTAL(9,J35:J40)</f>
        <v>0</v>
      </c>
      <c r="K34" s="11"/>
      <c r="L34" s="131">
        <f>SUBTOTAL(9,L35:L40)</f>
        <v>0</v>
      </c>
      <c r="M34" s="11"/>
      <c r="N34" s="131">
        <f>SUBTOTAL(9,N35:N40)</f>
        <v>0</v>
      </c>
      <c r="O34" s="131">
        <f>SUBTOTAL(9,O35:O40)</f>
        <v>0</v>
      </c>
      <c r="P34" s="136">
        <f>O34/H34</f>
        <v>0</v>
      </c>
      <c r="R34" s="148"/>
    </row>
    <row r="35" spans="2:18" ht="23.4" outlineLevel="1" x14ac:dyDescent="0.3">
      <c r="B35" s="135"/>
      <c r="C35" s="115"/>
      <c r="D35" s="115"/>
      <c r="E35" s="115" t="s">
        <v>144</v>
      </c>
      <c r="F35" s="115" t="s">
        <v>43</v>
      </c>
      <c r="G35" s="132">
        <v>1.0149999999999999</v>
      </c>
      <c r="H35" s="132">
        <f>G35*H34</f>
        <v>43.644999999999996</v>
      </c>
      <c r="I35" s="11"/>
      <c r="J35" s="11">
        <f t="shared" ref="J35:J41" si="8">I35*H35</f>
        <v>0</v>
      </c>
      <c r="K35" s="11"/>
      <c r="L35" s="11">
        <f t="shared" ref="L35:L41" si="9">K35*H35</f>
        <v>0</v>
      </c>
      <c r="M35" s="11"/>
      <c r="N35" s="11">
        <f t="shared" ref="N35:N41" si="10">M35*H35</f>
        <v>0</v>
      </c>
      <c r="O35" s="11">
        <f t="shared" ref="O35:O41" si="11">N35+L35+J35</f>
        <v>0</v>
      </c>
      <c r="P35" s="137"/>
    </row>
    <row r="36" spans="2:18" outlineLevel="1" x14ac:dyDescent="0.3">
      <c r="B36" s="135"/>
      <c r="C36" s="115"/>
      <c r="D36" s="115"/>
      <c r="E36" s="115" t="s">
        <v>278</v>
      </c>
      <c r="F36" s="115" t="s">
        <v>15</v>
      </c>
      <c r="G36" s="132" t="s">
        <v>188</v>
      </c>
      <c r="H36" s="132">
        <v>2.94</v>
      </c>
      <c r="I36" s="11"/>
      <c r="J36" s="11">
        <f t="shared" si="8"/>
        <v>0</v>
      </c>
      <c r="K36" s="11"/>
      <c r="L36" s="11">
        <f t="shared" si="9"/>
        <v>0</v>
      </c>
      <c r="M36" s="11"/>
      <c r="N36" s="11">
        <f t="shared" si="10"/>
        <v>0</v>
      </c>
      <c r="O36" s="11">
        <f t="shared" si="11"/>
        <v>0</v>
      </c>
      <c r="P36" s="137"/>
    </row>
    <row r="37" spans="2:18" outlineLevel="1" x14ac:dyDescent="0.3">
      <c r="B37" s="135"/>
      <c r="C37" s="115"/>
      <c r="D37" s="115"/>
      <c r="E37" s="115" t="s">
        <v>279</v>
      </c>
      <c r="F37" s="115" t="s">
        <v>15</v>
      </c>
      <c r="G37" s="132" t="s">
        <v>188</v>
      </c>
      <c r="H37" s="132">
        <v>0.14799999999999999</v>
      </c>
      <c r="I37" s="11"/>
      <c r="J37" s="11">
        <f t="shared" si="8"/>
        <v>0</v>
      </c>
      <c r="K37" s="11"/>
      <c r="L37" s="11">
        <f t="shared" si="9"/>
        <v>0</v>
      </c>
      <c r="M37" s="11"/>
      <c r="N37" s="11">
        <f t="shared" si="10"/>
        <v>0</v>
      </c>
      <c r="O37" s="11">
        <f t="shared" si="11"/>
        <v>0</v>
      </c>
      <c r="P37" s="137"/>
    </row>
    <row r="38" spans="2:18" outlineLevel="1" x14ac:dyDescent="0.3">
      <c r="B38" s="135"/>
      <c r="C38" s="115"/>
      <c r="D38" s="115"/>
      <c r="E38" s="115" t="s">
        <v>139</v>
      </c>
      <c r="F38" s="115" t="s">
        <v>15</v>
      </c>
      <c r="G38" s="132" t="s">
        <v>188</v>
      </c>
      <c r="H38" s="132">
        <v>0.504</v>
      </c>
      <c r="I38" s="11"/>
      <c r="J38" s="11">
        <f t="shared" si="8"/>
        <v>0</v>
      </c>
      <c r="K38" s="11"/>
      <c r="L38" s="11">
        <f t="shared" si="9"/>
        <v>0</v>
      </c>
      <c r="M38" s="11"/>
      <c r="N38" s="11">
        <f t="shared" si="10"/>
        <v>0</v>
      </c>
      <c r="O38" s="11">
        <f t="shared" si="11"/>
        <v>0</v>
      </c>
      <c r="P38" s="137"/>
    </row>
    <row r="39" spans="2:18" ht="23.4" outlineLevel="1" x14ac:dyDescent="0.3">
      <c r="B39" s="135"/>
      <c r="C39" s="115"/>
      <c r="D39" s="115"/>
      <c r="E39" s="115" t="s">
        <v>16</v>
      </c>
      <c r="F39" s="115" t="s">
        <v>43</v>
      </c>
      <c r="G39" s="132">
        <v>1.0149999999999999</v>
      </c>
      <c r="H39" s="132">
        <f>G39*H34</f>
        <v>43.644999999999996</v>
      </c>
      <c r="I39" s="11"/>
      <c r="J39" s="11">
        <f t="shared" si="8"/>
        <v>0</v>
      </c>
      <c r="K39" s="11"/>
      <c r="L39" s="11">
        <f t="shared" si="9"/>
        <v>0</v>
      </c>
      <c r="M39" s="11"/>
      <c r="N39" s="11">
        <f t="shared" si="10"/>
        <v>0</v>
      </c>
      <c r="O39" s="11">
        <f t="shared" si="11"/>
        <v>0</v>
      </c>
      <c r="P39" s="137"/>
    </row>
    <row r="40" spans="2:18" ht="23.4" outlineLevel="1" x14ac:dyDescent="0.3">
      <c r="B40" s="135"/>
      <c r="C40" s="115"/>
      <c r="D40" s="115"/>
      <c r="E40" s="115" t="s">
        <v>25</v>
      </c>
      <c r="F40" s="115" t="s">
        <v>45</v>
      </c>
      <c r="G40" s="132" t="s">
        <v>188</v>
      </c>
      <c r="H40" s="132">
        <v>85.4</v>
      </c>
      <c r="I40" s="11"/>
      <c r="J40" s="11">
        <f t="shared" si="8"/>
        <v>0</v>
      </c>
      <c r="K40" s="11"/>
      <c r="L40" s="11">
        <f t="shared" si="9"/>
        <v>0</v>
      </c>
      <c r="M40" s="11"/>
      <c r="N40" s="11">
        <f t="shared" si="10"/>
        <v>0</v>
      </c>
      <c r="O40" s="11">
        <f t="shared" si="11"/>
        <v>0</v>
      </c>
      <c r="P40" s="137"/>
    </row>
    <row r="41" spans="2:18" outlineLevel="1" x14ac:dyDescent="0.3">
      <c r="B41" s="135"/>
      <c r="C41" s="115"/>
      <c r="D41" s="115"/>
      <c r="E41" s="115"/>
      <c r="F41" s="115"/>
      <c r="G41" s="132"/>
      <c r="H41" s="132"/>
      <c r="I41" s="11"/>
      <c r="J41" s="11">
        <f t="shared" si="8"/>
        <v>0</v>
      </c>
      <c r="K41" s="11"/>
      <c r="L41" s="11">
        <f t="shared" si="9"/>
        <v>0</v>
      </c>
      <c r="M41" s="11"/>
      <c r="N41" s="11">
        <f t="shared" si="10"/>
        <v>0</v>
      </c>
      <c r="O41" s="11">
        <f t="shared" si="11"/>
        <v>0</v>
      </c>
      <c r="P41" s="137"/>
    </row>
    <row r="42" spans="2:18" ht="23.4" outlineLevel="1" x14ac:dyDescent="0.4">
      <c r="B42" s="135"/>
      <c r="C42" s="147" t="s">
        <v>385</v>
      </c>
      <c r="D42" s="115"/>
      <c r="E42" s="14" t="s">
        <v>201</v>
      </c>
      <c r="F42" s="14" t="s">
        <v>42</v>
      </c>
      <c r="G42" s="71"/>
      <c r="H42" s="71">
        <v>15</v>
      </c>
      <c r="I42" s="11"/>
      <c r="J42" s="131">
        <f>SUBTOTAL(9,J43:J48)</f>
        <v>0</v>
      </c>
      <c r="K42" s="11"/>
      <c r="L42" s="131">
        <f>SUBTOTAL(9,L43:L48)</f>
        <v>0</v>
      </c>
      <c r="M42" s="11"/>
      <c r="N42" s="131">
        <f>SUBTOTAL(9,N43:N48)</f>
        <v>0</v>
      </c>
      <c r="O42" s="131">
        <f>SUBTOTAL(9,O43:O48)</f>
        <v>0</v>
      </c>
      <c r="P42" s="136">
        <f>O42/H42</f>
        <v>0</v>
      </c>
      <c r="R42" s="148"/>
    </row>
    <row r="43" spans="2:18" ht="23.4" outlineLevel="1" x14ac:dyDescent="0.4">
      <c r="B43" s="135"/>
      <c r="C43" s="115"/>
      <c r="D43" s="115"/>
      <c r="E43" s="115" t="s">
        <v>144</v>
      </c>
      <c r="F43" s="70" t="s">
        <v>43</v>
      </c>
      <c r="G43" s="73">
        <v>1.0149999999999999</v>
      </c>
      <c r="H43" s="73">
        <f>G43*H42</f>
        <v>15.224999999999998</v>
      </c>
      <c r="I43" s="11"/>
      <c r="J43" s="11">
        <f t="shared" ref="J43:J49" si="12">I43*H43</f>
        <v>0</v>
      </c>
      <c r="K43" s="11"/>
      <c r="L43" s="11">
        <f t="shared" ref="L43:L49" si="13">K43*H43</f>
        <v>0</v>
      </c>
      <c r="M43" s="11"/>
      <c r="N43" s="11">
        <f t="shared" ref="N43:N49" si="14">M43*H43</f>
        <v>0</v>
      </c>
      <c r="O43" s="11">
        <f t="shared" ref="O43:O49" si="15">N43+L43+J43</f>
        <v>0</v>
      </c>
      <c r="P43" s="137"/>
    </row>
    <row r="44" spans="2:18" outlineLevel="1" x14ac:dyDescent="0.4">
      <c r="B44" s="135"/>
      <c r="C44" s="115"/>
      <c r="D44" s="115"/>
      <c r="E44" s="70" t="s">
        <v>278</v>
      </c>
      <c r="F44" s="70" t="s">
        <v>15</v>
      </c>
      <c r="G44" s="19" t="s">
        <v>188</v>
      </c>
      <c r="H44" s="73"/>
      <c r="I44" s="11"/>
      <c r="J44" s="11">
        <f t="shared" si="12"/>
        <v>0</v>
      </c>
      <c r="K44" s="11"/>
      <c r="L44" s="11">
        <f t="shared" si="13"/>
        <v>0</v>
      </c>
      <c r="M44" s="11"/>
      <c r="N44" s="11">
        <f t="shared" si="14"/>
        <v>0</v>
      </c>
      <c r="O44" s="11">
        <f t="shared" si="15"/>
        <v>0</v>
      </c>
      <c r="P44" s="137"/>
    </row>
    <row r="45" spans="2:18" outlineLevel="1" x14ac:dyDescent="0.4">
      <c r="B45" s="135"/>
      <c r="C45" s="115"/>
      <c r="D45" s="115"/>
      <c r="E45" s="70" t="s">
        <v>279</v>
      </c>
      <c r="F45" s="70" t="s">
        <v>15</v>
      </c>
      <c r="G45" s="19" t="s">
        <v>188</v>
      </c>
      <c r="H45" s="73">
        <v>0.66500000000000004</v>
      </c>
      <c r="I45" s="11"/>
      <c r="J45" s="11">
        <f t="shared" si="12"/>
        <v>0</v>
      </c>
      <c r="K45" s="11"/>
      <c r="L45" s="11">
        <f t="shared" si="13"/>
        <v>0</v>
      </c>
      <c r="M45" s="11"/>
      <c r="N45" s="11">
        <f t="shared" si="14"/>
        <v>0</v>
      </c>
      <c r="O45" s="11">
        <f t="shared" si="15"/>
        <v>0</v>
      </c>
      <c r="P45" s="137"/>
    </row>
    <row r="46" spans="2:18" outlineLevel="1" x14ac:dyDescent="0.4">
      <c r="B46" s="135"/>
      <c r="C46" s="115"/>
      <c r="D46" s="115"/>
      <c r="E46" s="70" t="s">
        <v>139</v>
      </c>
      <c r="F46" s="70" t="s">
        <v>15</v>
      </c>
      <c r="G46" s="19" t="s">
        <v>188</v>
      </c>
      <c r="H46" s="73">
        <v>5.1999999999999998E-2</v>
      </c>
      <c r="I46" s="11"/>
      <c r="J46" s="11">
        <f t="shared" si="12"/>
        <v>0</v>
      </c>
      <c r="K46" s="11"/>
      <c r="L46" s="11">
        <f t="shared" si="13"/>
        <v>0</v>
      </c>
      <c r="M46" s="11"/>
      <c r="N46" s="11">
        <f t="shared" si="14"/>
        <v>0</v>
      </c>
      <c r="O46" s="11">
        <f t="shared" si="15"/>
        <v>0</v>
      </c>
      <c r="P46" s="137"/>
    </row>
    <row r="47" spans="2:18" ht="23.4" outlineLevel="1" x14ac:dyDescent="0.4">
      <c r="B47" s="135"/>
      <c r="C47" s="115"/>
      <c r="D47" s="115"/>
      <c r="E47" s="70" t="s">
        <v>16</v>
      </c>
      <c r="F47" s="70" t="s">
        <v>43</v>
      </c>
      <c r="G47" s="73">
        <v>1.0149999999999999</v>
      </c>
      <c r="H47" s="73">
        <f>G47*H42</f>
        <v>15.224999999999998</v>
      </c>
      <c r="I47" s="11"/>
      <c r="J47" s="11">
        <f t="shared" si="12"/>
        <v>0</v>
      </c>
      <c r="K47" s="11"/>
      <c r="L47" s="11">
        <f t="shared" si="13"/>
        <v>0</v>
      </c>
      <c r="M47" s="11"/>
      <c r="N47" s="11">
        <f t="shared" si="14"/>
        <v>0</v>
      </c>
      <c r="O47" s="11">
        <f t="shared" si="15"/>
        <v>0</v>
      </c>
      <c r="P47" s="137"/>
    </row>
    <row r="48" spans="2:18" ht="23.4" outlineLevel="1" x14ac:dyDescent="0.4">
      <c r="B48" s="135"/>
      <c r="C48" s="115"/>
      <c r="D48" s="115"/>
      <c r="E48" s="70" t="s">
        <v>26</v>
      </c>
      <c r="F48" s="18" t="s">
        <v>45</v>
      </c>
      <c r="G48" s="19" t="s">
        <v>188</v>
      </c>
      <c r="H48" s="73">
        <v>115.5</v>
      </c>
      <c r="I48" s="11"/>
      <c r="J48" s="11">
        <f t="shared" si="12"/>
        <v>0</v>
      </c>
      <c r="K48" s="11"/>
      <c r="L48" s="11">
        <f t="shared" si="13"/>
        <v>0</v>
      </c>
      <c r="M48" s="11"/>
      <c r="N48" s="11">
        <f t="shared" si="14"/>
        <v>0</v>
      </c>
      <c r="O48" s="11">
        <f t="shared" si="15"/>
        <v>0</v>
      </c>
      <c r="P48" s="137"/>
    </row>
    <row r="49" spans="2:16" outlineLevel="1" x14ac:dyDescent="0.3">
      <c r="B49" s="135"/>
      <c r="C49" s="115"/>
      <c r="D49" s="115"/>
      <c r="E49" s="115"/>
      <c r="F49" s="115"/>
      <c r="G49" s="132"/>
      <c r="H49" s="132"/>
      <c r="I49" s="11"/>
      <c r="J49" s="11">
        <f t="shared" si="12"/>
        <v>0</v>
      </c>
      <c r="K49" s="11"/>
      <c r="L49" s="11">
        <f t="shared" si="13"/>
        <v>0</v>
      </c>
      <c r="M49" s="11"/>
      <c r="N49" s="11">
        <f t="shared" si="14"/>
        <v>0</v>
      </c>
      <c r="O49" s="11">
        <f t="shared" si="15"/>
        <v>0</v>
      </c>
      <c r="P49" s="137"/>
    </row>
    <row r="50" spans="2:16" ht="23.4" outlineLevel="1" x14ac:dyDescent="0.3">
      <c r="B50" s="135"/>
      <c r="C50" s="147" t="s">
        <v>385</v>
      </c>
      <c r="D50" s="115"/>
      <c r="E50" s="112" t="s">
        <v>391</v>
      </c>
      <c r="F50" s="112" t="s">
        <v>42</v>
      </c>
      <c r="G50" s="130"/>
      <c r="H50" s="130">
        <v>3.6</v>
      </c>
      <c r="I50" s="11"/>
      <c r="J50" s="131">
        <f>SUBTOTAL(9,J51:J54)</f>
        <v>0</v>
      </c>
      <c r="K50" s="11"/>
      <c r="L50" s="131">
        <f>SUBTOTAL(9,L51:L54)</f>
        <v>0</v>
      </c>
      <c r="M50" s="11"/>
      <c r="N50" s="131">
        <f>SUBTOTAL(9,N51:N54)</f>
        <v>0</v>
      </c>
      <c r="O50" s="131">
        <f>SUBTOTAL(9,O51:O54)</f>
        <v>0</v>
      </c>
      <c r="P50" s="136">
        <f>O50/H50</f>
        <v>0</v>
      </c>
    </row>
    <row r="51" spans="2:16" ht="23.4" outlineLevel="1" x14ac:dyDescent="0.3">
      <c r="B51" s="135"/>
      <c r="C51" s="115"/>
      <c r="D51" s="115"/>
      <c r="E51" s="115" t="s">
        <v>18</v>
      </c>
      <c r="F51" s="115" t="s">
        <v>43</v>
      </c>
      <c r="G51" s="132">
        <v>1.0149999999999999</v>
      </c>
      <c r="H51" s="132">
        <f>G51*H50</f>
        <v>3.6539999999999999</v>
      </c>
      <c r="I51" s="11"/>
      <c r="J51" s="11">
        <f>I51*H51</f>
        <v>0</v>
      </c>
      <c r="K51" s="11"/>
      <c r="L51" s="11">
        <f>K51*H51</f>
        <v>0</v>
      </c>
      <c r="M51" s="11"/>
      <c r="N51" s="11">
        <f>M51*H51</f>
        <v>0</v>
      </c>
      <c r="O51" s="11">
        <f>N51+L51+J51</f>
        <v>0</v>
      </c>
      <c r="P51" s="137"/>
    </row>
    <row r="52" spans="2:16" s="152" customFormat="1" outlineLevel="1" x14ac:dyDescent="0.3">
      <c r="B52" s="149"/>
      <c r="C52" s="150"/>
      <c r="D52" s="150"/>
      <c r="E52" s="153" t="s">
        <v>278</v>
      </c>
      <c r="F52" s="153" t="s">
        <v>15</v>
      </c>
      <c r="G52" s="154" t="s">
        <v>188</v>
      </c>
      <c r="H52" s="154">
        <f>863/1000</f>
        <v>0.86299999999999999</v>
      </c>
      <c r="I52" s="155"/>
      <c r="J52" s="155">
        <f>I52*H52</f>
        <v>0</v>
      </c>
      <c r="K52" s="155"/>
      <c r="L52" s="155">
        <f>K52*H52</f>
        <v>0</v>
      </c>
      <c r="M52" s="155"/>
      <c r="N52" s="155">
        <f>M52*H52</f>
        <v>0</v>
      </c>
      <c r="O52" s="155">
        <f>N52+L52+J52</f>
        <v>0</v>
      </c>
      <c r="P52" s="151"/>
    </row>
    <row r="53" spans="2:16" outlineLevel="1" x14ac:dyDescent="0.3">
      <c r="B53" s="135"/>
      <c r="C53" s="115"/>
      <c r="D53" s="115"/>
      <c r="E53" s="115" t="s">
        <v>139</v>
      </c>
      <c r="F53" s="115" t="s">
        <v>15</v>
      </c>
      <c r="G53" s="132" t="s">
        <v>188</v>
      </c>
      <c r="H53" s="132">
        <f>(142+104)/1000</f>
        <v>0.246</v>
      </c>
      <c r="I53" s="11"/>
      <c r="J53" s="11">
        <f>I53*H53</f>
        <v>0</v>
      </c>
      <c r="K53" s="11"/>
      <c r="L53" s="11">
        <f>K53*H53</f>
        <v>0</v>
      </c>
      <c r="M53" s="11"/>
      <c r="N53" s="11">
        <f>M53*H53</f>
        <v>0</v>
      </c>
      <c r="O53" s="11">
        <f>N53+L53+J53</f>
        <v>0</v>
      </c>
      <c r="P53" s="137"/>
    </row>
    <row r="54" spans="2:16" ht="23.4" outlineLevel="1" x14ac:dyDescent="0.3">
      <c r="B54" s="135"/>
      <c r="C54" s="115"/>
      <c r="D54" s="115"/>
      <c r="E54" s="115" t="s">
        <v>16</v>
      </c>
      <c r="F54" s="115" t="s">
        <v>43</v>
      </c>
      <c r="G54" s="132">
        <v>1.0149999999999999</v>
      </c>
      <c r="H54" s="132">
        <f>G54*H50</f>
        <v>3.6539999999999999</v>
      </c>
      <c r="I54" s="11"/>
      <c r="J54" s="11">
        <f>I54*H54</f>
        <v>0</v>
      </c>
      <c r="K54" s="11"/>
      <c r="L54" s="11">
        <f>K54*H54</f>
        <v>0</v>
      </c>
      <c r="M54" s="11"/>
      <c r="N54" s="11">
        <f>M54*H54</f>
        <v>0</v>
      </c>
      <c r="O54" s="11">
        <f>N54+L54+J54</f>
        <v>0</v>
      </c>
      <c r="P54" s="137"/>
    </row>
    <row r="55" spans="2:16" outlineLevel="1" x14ac:dyDescent="0.3">
      <c r="B55" s="135"/>
      <c r="C55" s="115"/>
      <c r="D55" s="115"/>
      <c r="E55" s="115"/>
      <c r="F55" s="115"/>
      <c r="G55" s="132"/>
      <c r="H55" s="132"/>
      <c r="I55" s="11"/>
      <c r="J55" s="11">
        <f>I55*H55</f>
        <v>0</v>
      </c>
      <c r="K55" s="11"/>
      <c r="L55" s="11">
        <f>K55*H55</f>
        <v>0</v>
      </c>
      <c r="M55" s="11"/>
      <c r="N55" s="11">
        <f>M55*H55</f>
        <v>0</v>
      </c>
      <c r="O55" s="11">
        <f>N55+L55+J55</f>
        <v>0</v>
      </c>
      <c r="P55" s="137"/>
    </row>
    <row r="56" spans="2:16" customFormat="1" ht="23.4" outlineLevel="1" x14ac:dyDescent="0.4">
      <c r="B56" s="26"/>
      <c r="C56" s="147" t="s">
        <v>385</v>
      </c>
      <c r="D56" s="18"/>
      <c r="E56" s="14" t="s">
        <v>379</v>
      </c>
      <c r="F56" s="14" t="s">
        <v>42</v>
      </c>
      <c r="G56" s="71"/>
      <c r="H56" s="71">
        <v>2.6666666666666665</v>
      </c>
      <c r="I56" s="16"/>
      <c r="J56" s="72">
        <f>SUBTOTAL(9,J57:J62)</f>
        <v>0</v>
      </c>
      <c r="K56" s="16"/>
      <c r="L56" s="72">
        <f>SUBTOTAL(9,L57:L62)</f>
        <v>0</v>
      </c>
      <c r="M56" s="16"/>
      <c r="N56" s="72">
        <f>SUBTOTAL(9,N57:N62)</f>
        <v>0</v>
      </c>
      <c r="O56" s="72">
        <f>SUBTOTAL(9,O57:O62)</f>
        <v>0</v>
      </c>
      <c r="P56" s="27">
        <f>O56/H56</f>
        <v>0</v>
      </c>
    </row>
    <row r="57" spans="2:16" customFormat="1" ht="23.4" outlineLevel="1" x14ac:dyDescent="0.4">
      <c r="B57" s="26"/>
      <c r="C57" s="18"/>
      <c r="D57" s="18"/>
      <c r="E57" s="70" t="s">
        <v>145</v>
      </c>
      <c r="F57" s="70" t="s">
        <v>43</v>
      </c>
      <c r="G57" s="73">
        <v>1.0149999999999999</v>
      </c>
      <c r="H57" s="73">
        <f>G57*H56</f>
        <v>2.7066666666666661</v>
      </c>
      <c r="I57" s="11"/>
      <c r="J57" s="16">
        <f t="shared" ref="J57:J62" si="16">I57*H57</f>
        <v>0</v>
      </c>
      <c r="K57" s="11"/>
      <c r="L57" s="16">
        <f t="shared" ref="L57:L62" si="17">K57*H57</f>
        <v>0</v>
      </c>
      <c r="M57" s="11"/>
      <c r="N57" s="16">
        <f t="shared" ref="N57:N62" si="18">M57*H57</f>
        <v>0</v>
      </c>
      <c r="O57" s="16">
        <f t="shared" ref="O57:O62" si="19">N57+L57+J57</f>
        <v>0</v>
      </c>
      <c r="P57" s="28"/>
    </row>
    <row r="58" spans="2:16" customFormat="1" outlineLevel="1" x14ac:dyDescent="0.4">
      <c r="B58" s="26"/>
      <c r="C58" s="18"/>
      <c r="D58" s="150"/>
      <c r="E58" s="70" t="s">
        <v>278</v>
      </c>
      <c r="F58" s="70" t="s">
        <v>15</v>
      </c>
      <c r="G58" s="19" t="s">
        <v>188</v>
      </c>
      <c r="H58" s="73">
        <f>(532)/1000/3</f>
        <v>0.17733333333333334</v>
      </c>
      <c r="I58" s="11"/>
      <c r="J58" s="16">
        <f t="shared" si="16"/>
        <v>0</v>
      </c>
      <c r="K58" s="11"/>
      <c r="L58" s="16">
        <f t="shared" si="17"/>
        <v>0</v>
      </c>
      <c r="M58" s="11"/>
      <c r="N58" s="16">
        <f t="shared" si="18"/>
        <v>0</v>
      </c>
      <c r="O58" s="16">
        <f t="shared" si="19"/>
        <v>0</v>
      </c>
      <c r="P58" s="28"/>
    </row>
    <row r="59" spans="2:16" customFormat="1" outlineLevel="1" x14ac:dyDescent="0.4">
      <c r="B59" s="26"/>
      <c r="C59" s="18"/>
      <c r="D59" s="18"/>
      <c r="E59" s="70" t="s">
        <v>279</v>
      </c>
      <c r="F59" s="70" t="s">
        <v>15</v>
      </c>
      <c r="G59" s="19" t="s">
        <v>188</v>
      </c>
      <c r="H59" s="73">
        <v>0.14899999999999999</v>
      </c>
      <c r="I59" s="11"/>
      <c r="J59" s="16">
        <f t="shared" si="16"/>
        <v>0</v>
      </c>
      <c r="K59" s="11"/>
      <c r="L59" s="16">
        <f t="shared" si="17"/>
        <v>0</v>
      </c>
      <c r="M59" s="11"/>
      <c r="N59" s="16">
        <f t="shared" si="18"/>
        <v>0</v>
      </c>
      <c r="O59" s="16">
        <f t="shared" si="19"/>
        <v>0</v>
      </c>
      <c r="P59" s="28"/>
    </row>
    <row r="60" spans="2:16" customFormat="1" outlineLevel="1" x14ac:dyDescent="0.4">
      <c r="B60" s="26"/>
      <c r="C60" s="18"/>
      <c r="D60" s="18"/>
      <c r="E60" s="70" t="s">
        <v>139</v>
      </c>
      <c r="F60" s="70" t="s">
        <v>15</v>
      </c>
      <c r="G60" s="19" t="s">
        <v>188</v>
      </c>
      <c r="H60" s="73">
        <v>8.3333333333333332E-3</v>
      </c>
      <c r="I60" s="11"/>
      <c r="J60" s="16">
        <f t="shared" si="16"/>
        <v>0</v>
      </c>
      <c r="K60" s="11"/>
      <c r="L60" s="16">
        <f t="shared" si="17"/>
        <v>0</v>
      </c>
      <c r="M60" s="11"/>
      <c r="N60" s="16">
        <f t="shared" si="18"/>
        <v>0</v>
      </c>
      <c r="O60" s="16">
        <f t="shared" si="19"/>
        <v>0</v>
      </c>
      <c r="P60" s="28"/>
    </row>
    <row r="61" spans="2:16" customFormat="1" ht="23.4" outlineLevel="1" x14ac:dyDescent="0.4">
      <c r="B61" s="26"/>
      <c r="C61" s="18"/>
      <c r="D61" s="18"/>
      <c r="E61" s="70" t="s">
        <v>16</v>
      </c>
      <c r="F61" s="70" t="s">
        <v>43</v>
      </c>
      <c r="G61" s="73">
        <v>1.0149999999999999</v>
      </c>
      <c r="H61" s="73">
        <f>G61*H56</f>
        <v>2.7066666666666661</v>
      </c>
      <c r="I61" s="11"/>
      <c r="J61" s="16">
        <f t="shared" si="16"/>
        <v>0</v>
      </c>
      <c r="K61" s="11"/>
      <c r="L61" s="16">
        <f t="shared" si="17"/>
        <v>0</v>
      </c>
      <c r="M61" s="11"/>
      <c r="N61" s="16">
        <f t="shared" si="18"/>
        <v>0</v>
      </c>
      <c r="O61" s="16">
        <f t="shared" si="19"/>
        <v>0</v>
      </c>
      <c r="P61" s="28"/>
    </row>
    <row r="62" spans="2:16" customFormat="1" outlineLevel="1" x14ac:dyDescent="0.4">
      <c r="B62" s="26"/>
      <c r="C62" s="18"/>
      <c r="D62" s="18"/>
      <c r="E62" s="70" t="s">
        <v>27</v>
      </c>
      <c r="F62" s="70" t="s">
        <v>28</v>
      </c>
      <c r="G62" s="73" t="s">
        <v>188</v>
      </c>
      <c r="H62" s="73">
        <v>20</v>
      </c>
      <c r="I62" s="11"/>
      <c r="J62" s="16">
        <f t="shared" si="16"/>
        <v>0</v>
      </c>
      <c r="K62" s="11"/>
      <c r="L62" s="16">
        <f t="shared" si="17"/>
        <v>0</v>
      </c>
      <c r="M62" s="11"/>
      <c r="N62" s="16">
        <f t="shared" si="18"/>
        <v>0</v>
      </c>
      <c r="O62" s="16">
        <f t="shared" si="19"/>
        <v>0</v>
      </c>
      <c r="P62" s="28"/>
    </row>
    <row r="63" spans="2:16" outlineLevel="1" x14ac:dyDescent="0.3">
      <c r="B63" s="135"/>
      <c r="C63" s="115"/>
      <c r="D63" s="115"/>
      <c r="E63" s="115"/>
      <c r="F63" s="115"/>
      <c r="G63" s="132"/>
      <c r="H63" s="132"/>
      <c r="I63" s="11"/>
      <c r="J63" s="11"/>
      <c r="K63" s="11"/>
      <c r="L63" s="11"/>
      <c r="M63" s="11"/>
      <c r="N63" s="11"/>
      <c r="O63" s="11"/>
      <c r="P63" s="137"/>
    </row>
    <row r="64" spans="2:16" ht="23.4" outlineLevel="1" x14ac:dyDescent="0.3">
      <c r="B64" s="135"/>
      <c r="C64" s="147" t="s">
        <v>378</v>
      </c>
      <c r="D64" s="115"/>
      <c r="E64" s="112" t="s">
        <v>142</v>
      </c>
      <c r="F64" s="112" t="s">
        <v>42</v>
      </c>
      <c r="G64" s="130"/>
      <c r="H64" s="130">
        <v>16.2</v>
      </c>
      <c r="I64" s="11"/>
      <c r="J64" s="131">
        <f>SUBTOTAL(9,J65:J69)</f>
        <v>0</v>
      </c>
      <c r="K64" s="11"/>
      <c r="L64" s="131">
        <f>SUBTOTAL(9,L65:L69)</f>
        <v>0</v>
      </c>
      <c r="M64" s="11"/>
      <c r="N64" s="131">
        <f>SUBTOTAL(9,N65:N69)</f>
        <v>0</v>
      </c>
      <c r="O64" s="131">
        <f>SUBTOTAL(9,O65:O69)</f>
        <v>0</v>
      </c>
      <c r="P64" s="136">
        <f>O64/H64</f>
        <v>0</v>
      </c>
    </row>
    <row r="65" spans="2:16" ht="23.4" outlineLevel="1" x14ac:dyDescent="0.3">
      <c r="B65" s="135"/>
      <c r="C65" s="115"/>
      <c r="D65" s="115"/>
      <c r="E65" s="115" t="s">
        <v>18</v>
      </c>
      <c r="F65" s="115" t="s">
        <v>43</v>
      </c>
      <c r="G65" s="132">
        <v>1.0149999999999999</v>
      </c>
      <c r="H65" s="132">
        <f>G65*H64</f>
        <v>16.442999999999998</v>
      </c>
      <c r="I65" s="11"/>
      <c r="J65" s="11">
        <f>I65*H65</f>
        <v>0</v>
      </c>
      <c r="K65" s="11"/>
      <c r="L65" s="11">
        <f>K65*H65</f>
        <v>0</v>
      </c>
      <c r="M65" s="11"/>
      <c r="N65" s="11">
        <f>M65*H65</f>
        <v>0</v>
      </c>
      <c r="O65" s="11">
        <f>N65+L65+J65</f>
        <v>0</v>
      </c>
      <c r="P65" s="137"/>
    </row>
    <row r="66" spans="2:16" outlineLevel="1" x14ac:dyDescent="0.3">
      <c r="B66" s="135"/>
      <c r="C66" s="115"/>
      <c r="D66" s="115"/>
      <c r="E66" s="115" t="s">
        <v>279</v>
      </c>
      <c r="F66" s="115" t="s">
        <v>15</v>
      </c>
      <c r="G66" s="132" t="s">
        <v>188</v>
      </c>
      <c r="H66" s="132">
        <f>(1223+170+99+96)/1000</f>
        <v>1.5880000000000001</v>
      </c>
      <c r="I66" s="11"/>
      <c r="J66" s="11">
        <f>I66*H66</f>
        <v>0</v>
      </c>
      <c r="K66" s="11"/>
      <c r="L66" s="11">
        <f>K66*H66</f>
        <v>0</v>
      </c>
      <c r="M66" s="11"/>
      <c r="N66" s="11">
        <f>M66*H66</f>
        <v>0</v>
      </c>
      <c r="O66" s="11">
        <f>N66+L66+J66</f>
        <v>0</v>
      </c>
      <c r="P66" s="137"/>
    </row>
    <row r="67" spans="2:16" outlineLevel="1" x14ac:dyDescent="0.3">
      <c r="B67" s="135"/>
      <c r="C67" s="115"/>
      <c r="D67" s="115"/>
      <c r="E67" s="115" t="s">
        <v>139</v>
      </c>
      <c r="F67" s="115" t="s">
        <v>15</v>
      </c>
      <c r="G67" s="132" t="s">
        <v>188</v>
      </c>
      <c r="H67" s="132">
        <f>67/1000</f>
        <v>6.7000000000000004E-2</v>
      </c>
      <c r="I67" s="11"/>
      <c r="J67" s="11">
        <f>I67*H67</f>
        <v>0</v>
      </c>
      <c r="K67" s="11"/>
      <c r="L67" s="11">
        <f>K67*H67</f>
        <v>0</v>
      </c>
      <c r="M67" s="11"/>
      <c r="N67" s="11">
        <f>M67*H67</f>
        <v>0</v>
      </c>
      <c r="O67" s="11">
        <f>N67+L67+J67</f>
        <v>0</v>
      </c>
      <c r="P67" s="137"/>
    </row>
    <row r="68" spans="2:16" ht="23.4" outlineLevel="1" x14ac:dyDescent="0.3">
      <c r="B68" s="135"/>
      <c r="C68" s="115"/>
      <c r="D68" s="115"/>
      <c r="E68" s="115" t="s">
        <v>16</v>
      </c>
      <c r="F68" s="115" t="s">
        <v>43</v>
      </c>
      <c r="G68" s="132">
        <v>1.0149999999999999</v>
      </c>
      <c r="H68" s="132">
        <f>G68*H64</f>
        <v>16.442999999999998</v>
      </c>
      <c r="I68" s="11"/>
      <c r="J68" s="11">
        <f>I68*H68</f>
        <v>0</v>
      </c>
      <c r="K68" s="11"/>
      <c r="L68" s="11">
        <f>K68*H68</f>
        <v>0</v>
      </c>
      <c r="M68" s="11"/>
      <c r="N68" s="11">
        <f>M68*H68</f>
        <v>0</v>
      </c>
      <c r="O68" s="11">
        <f>N68+L68+J68</f>
        <v>0</v>
      </c>
      <c r="P68" s="137"/>
    </row>
    <row r="69" spans="2:16" ht="23.4" outlineLevel="1" x14ac:dyDescent="0.3">
      <c r="B69" s="135"/>
      <c r="C69" s="115"/>
      <c r="D69" s="115"/>
      <c r="E69" s="115" t="s">
        <v>25</v>
      </c>
      <c r="F69" s="115" t="s">
        <v>45</v>
      </c>
      <c r="G69" s="132" t="s">
        <v>188</v>
      </c>
      <c r="H69" s="132">
        <v>98</v>
      </c>
      <c r="I69" s="11"/>
      <c r="J69" s="11">
        <f>I69*H69</f>
        <v>0</v>
      </c>
      <c r="K69" s="11"/>
      <c r="L69" s="11">
        <f>K69*H69</f>
        <v>0</v>
      </c>
      <c r="M69" s="11"/>
      <c r="N69" s="11">
        <f>M69*H69</f>
        <v>0</v>
      </c>
      <c r="O69" s="11">
        <f>N69+L69+J69</f>
        <v>0</v>
      </c>
      <c r="P69" s="137"/>
    </row>
    <row r="70" spans="2:16" outlineLevel="1" x14ac:dyDescent="0.3">
      <c r="B70" s="135"/>
      <c r="C70" s="115"/>
      <c r="D70" s="115"/>
      <c r="E70" s="115"/>
      <c r="F70" s="115"/>
      <c r="G70" s="132"/>
      <c r="H70" s="132"/>
      <c r="I70" s="11"/>
      <c r="J70" s="11"/>
      <c r="K70" s="11"/>
      <c r="L70" s="11"/>
      <c r="M70" s="11"/>
      <c r="N70" s="11"/>
      <c r="O70" s="11"/>
      <c r="P70" s="137"/>
    </row>
    <row r="71" spans="2:16" s="162" customFormat="1" ht="23.4" outlineLevel="1" x14ac:dyDescent="0.3">
      <c r="B71" s="156"/>
      <c r="C71" s="157" t="s">
        <v>378</v>
      </c>
      <c r="D71" s="153"/>
      <c r="E71" s="158" t="s">
        <v>391</v>
      </c>
      <c r="F71" s="158" t="s">
        <v>392</v>
      </c>
      <c r="G71" s="159"/>
      <c r="H71" s="159">
        <v>3.6</v>
      </c>
      <c r="I71" s="155"/>
      <c r="J71" s="160">
        <f>SUBTOTAL(9,J72:J75)</f>
        <v>0</v>
      </c>
      <c r="K71" s="155"/>
      <c r="L71" s="160">
        <f>SUBTOTAL(9,L72:L75)</f>
        <v>0</v>
      </c>
      <c r="M71" s="155"/>
      <c r="N71" s="160">
        <f>SUBTOTAL(9,N72:N75)</f>
        <v>0</v>
      </c>
      <c r="O71" s="160">
        <f>SUBTOTAL(9,O72:O75)</f>
        <v>0</v>
      </c>
      <c r="P71" s="161">
        <f>O71/H71</f>
        <v>0</v>
      </c>
    </row>
    <row r="72" spans="2:16" s="162" customFormat="1" ht="23.4" outlineLevel="1" x14ac:dyDescent="0.3">
      <c r="B72" s="156"/>
      <c r="C72" s="153"/>
      <c r="D72" s="153"/>
      <c r="E72" s="153" t="s">
        <v>18</v>
      </c>
      <c r="F72" s="153" t="s">
        <v>393</v>
      </c>
      <c r="G72" s="154">
        <v>1.0149999999999999</v>
      </c>
      <c r="H72" s="154">
        <f>G72*H71</f>
        <v>3.6539999999999999</v>
      </c>
      <c r="I72" s="155"/>
      <c r="J72" s="155">
        <f>I72*H72</f>
        <v>0</v>
      </c>
      <c r="K72" s="155"/>
      <c r="L72" s="155">
        <f>K72*H72</f>
        <v>0</v>
      </c>
      <c r="M72" s="155"/>
      <c r="N72" s="155">
        <f>M72*H72</f>
        <v>0</v>
      </c>
      <c r="O72" s="155">
        <f>N72+L72+J72</f>
        <v>0</v>
      </c>
      <c r="P72" s="163"/>
    </row>
    <row r="73" spans="2:16" s="162" customFormat="1" outlineLevel="1" x14ac:dyDescent="0.3">
      <c r="B73" s="156"/>
      <c r="C73" s="153"/>
      <c r="D73" s="153"/>
      <c r="E73" s="153" t="s">
        <v>278</v>
      </c>
      <c r="F73" s="153" t="s">
        <v>15</v>
      </c>
      <c r="G73" s="154" t="s">
        <v>188</v>
      </c>
      <c r="H73" s="154">
        <v>0.82399999999999995</v>
      </c>
      <c r="I73" s="155"/>
      <c r="J73" s="155">
        <f>I73*H73</f>
        <v>0</v>
      </c>
      <c r="K73" s="155"/>
      <c r="L73" s="155">
        <f>K73*H73</f>
        <v>0</v>
      </c>
      <c r="M73" s="155"/>
      <c r="N73" s="155">
        <f>M73*H73</f>
        <v>0</v>
      </c>
      <c r="O73" s="155">
        <f>N73+L73+J73</f>
        <v>0</v>
      </c>
      <c r="P73" s="163"/>
    </row>
    <row r="74" spans="2:16" s="162" customFormat="1" outlineLevel="1" x14ac:dyDescent="0.3">
      <c r="B74" s="156"/>
      <c r="C74" s="153"/>
      <c r="D74" s="153"/>
      <c r="E74" s="153" t="s">
        <v>139</v>
      </c>
      <c r="F74" s="153" t="s">
        <v>15</v>
      </c>
      <c r="G74" s="154" t="s">
        <v>188</v>
      </c>
      <c r="H74" s="154">
        <v>0.246</v>
      </c>
      <c r="I74" s="155"/>
      <c r="J74" s="155">
        <f>I74*H74</f>
        <v>0</v>
      </c>
      <c r="K74" s="155"/>
      <c r="L74" s="155">
        <f>K74*H74</f>
        <v>0</v>
      </c>
      <c r="M74" s="155"/>
      <c r="N74" s="155">
        <f>M74*H74</f>
        <v>0</v>
      </c>
      <c r="O74" s="155">
        <f>N74+L74+J74</f>
        <v>0</v>
      </c>
      <c r="P74" s="163"/>
    </row>
    <row r="75" spans="2:16" s="162" customFormat="1" ht="23.4" outlineLevel="1" x14ac:dyDescent="0.3">
      <c r="B75" s="156"/>
      <c r="C75" s="153"/>
      <c r="D75" s="153"/>
      <c r="E75" s="153" t="s">
        <v>16</v>
      </c>
      <c r="F75" s="153" t="s">
        <v>393</v>
      </c>
      <c r="G75" s="154">
        <v>1.0149999999999999</v>
      </c>
      <c r="H75" s="154">
        <f>G75*H71</f>
        <v>3.6539999999999999</v>
      </c>
      <c r="I75" s="155"/>
      <c r="J75" s="155">
        <f>I75*H75</f>
        <v>0</v>
      </c>
      <c r="K75" s="155"/>
      <c r="L75" s="155">
        <f>K75*H75</f>
        <v>0</v>
      </c>
      <c r="M75" s="155"/>
      <c r="N75" s="155">
        <f>M75*H75</f>
        <v>0</v>
      </c>
      <c r="O75" s="155">
        <f>N75+L75+J75</f>
        <v>0</v>
      </c>
      <c r="P75" s="163"/>
    </row>
    <row r="76" spans="2:16" s="162" customFormat="1" outlineLevel="1" x14ac:dyDescent="0.3">
      <c r="B76" s="156"/>
      <c r="C76" s="153"/>
      <c r="D76" s="153"/>
      <c r="E76" s="153"/>
      <c r="F76" s="153"/>
      <c r="G76" s="154"/>
      <c r="H76" s="154"/>
      <c r="I76" s="155"/>
      <c r="J76" s="155">
        <f>I76*H76</f>
        <v>0</v>
      </c>
      <c r="K76" s="155"/>
      <c r="L76" s="155">
        <f>K76*H76</f>
        <v>0</v>
      </c>
      <c r="M76" s="155"/>
      <c r="N76" s="155">
        <f>M76*H76</f>
        <v>0</v>
      </c>
      <c r="O76" s="155">
        <f>N76+L76+J76</f>
        <v>0</v>
      </c>
      <c r="P76" s="163"/>
    </row>
    <row r="77" spans="2:16" ht="23.4" outlineLevel="1" x14ac:dyDescent="0.3">
      <c r="B77" s="135"/>
      <c r="C77" s="157" t="s">
        <v>378</v>
      </c>
      <c r="D77" s="115"/>
      <c r="E77" s="112" t="s">
        <v>143</v>
      </c>
      <c r="F77" s="112" t="s">
        <v>42</v>
      </c>
      <c r="G77" s="130"/>
      <c r="H77" s="130">
        <v>3.46</v>
      </c>
      <c r="I77" s="11"/>
      <c r="J77" s="131">
        <f>SUBTOTAL(9,J78:J82)</f>
        <v>0</v>
      </c>
      <c r="K77" s="11"/>
      <c r="L77" s="131">
        <f>SUBTOTAL(9,L78:L82)</f>
        <v>0</v>
      </c>
      <c r="M77" s="11"/>
      <c r="N77" s="131">
        <f>SUBTOTAL(9,N78:N82)</f>
        <v>0</v>
      </c>
      <c r="O77" s="131">
        <f>SUBTOTAL(9,O78:O82)</f>
        <v>0</v>
      </c>
      <c r="P77" s="136">
        <f>O77/H77</f>
        <v>0</v>
      </c>
    </row>
    <row r="78" spans="2:16" ht="23.4" outlineLevel="1" x14ac:dyDescent="0.3">
      <c r="B78" s="135"/>
      <c r="C78" s="115"/>
      <c r="D78" s="115"/>
      <c r="E78" s="115" t="s">
        <v>18</v>
      </c>
      <c r="F78" s="115" t="s">
        <v>43</v>
      </c>
      <c r="G78" s="132">
        <v>1.0149999999999999</v>
      </c>
      <c r="H78" s="132">
        <f>G78*H77</f>
        <v>3.5118999999999998</v>
      </c>
      <c r="I78" s="11"/>
      <c r="J78" s="11">
        <f t="shared" ref="J78:J83" si="20">I78*H78</f>
        <v>0</v>
      </c>
      <c r="K78" s="11"/>
      <c r="L78" s="11">
        <f t="shared" ref="L78:L83" si="21">K78*H78</f>
        <v>0</v>
      </c>
      <c r="M78" s="11"/>
      <c r="N78" s="11">
        <f t="shared" ref="N78:N83" si="22">M78*H78</f>
        <v>0</v>
      </c>
      <c r="O78" s="11">
        <f t="shared" ref="O78:O83" si="23">N78+L78+J78</f>
        <v>0</v>
      </c>
      <c r="P78" s="137"/>
    </row>
    <row r="79" spans="2:16" outlineLevel="1" x14ac:dyDescent="0.3">
      <c r="B79" s="135"/>
      <c r="C79" s="115"/>
      <c r="D79" s="115"/>
      <c r="E79" s="115" t="s">
        <v>278</v>
      </c>
      <c r="F79" s="115" t="s">
        <v>15</v>
      </c>
      <c r="G79" s="132" t="s">
        <v>188</v>
      </c>
      <c r="H79" s="132">
        <v>0.65880000000000005</v>
      </c>
      <c r="I79" s="11"/>
      <c r="J79" s="11">
        <f t="shared" si="20"/>
        <v>0</v>
      </c>
      <c r="K79" s="11"/>
      <c r="L79" s="11">
        <f t="shared" si="21"/>
        <v>0</v>
      </c>
      <c r="M79" s="11"/>
      <c r="N79" s="11">
        <f t="shared" si="22"/>
        <v>0</v>
      </c>
      <c r="O79" s="11">
        <f t="shared" si="23"/>
        <v>0</v>
      </c>
      <c r="P79" s="137"/>
    </row>
    <row r="80" spans="2:16" outlineLevel="1" x14ac:dyDescent="0.3">
      <c r="B80" s="135"/>
      <c r="C80" s="115"/>
      <c r="D80" s="115"/>
      <c r="E80" s="115" t="s">
        <v>279</v>
      </c>
      <c r="F80" s="115" t="s">
        <v>15</v>
      </c>
      <c r="G80" s="132" t="s">
        <v>188</v>
      </c>
      <c r="H80" s="132"/>
      <c r="I80" s="11"/>
      <c r="J80" s="11">
        <f t="shared" si="20"/>
        <v>0</v>
      </c>
      <c r="K80" s="11"/>
      <c r="L80" s="11">
        <f t="shared" si="21"/>
        <v>0</v>
      </c>
      <c r="M80" s="11"/>
      <c r="N80" s="11">
        <f t="shared" si="22"/>
        <v>0</v>
      </c>
      <c r="O80" s="11">
        <f t="shared" si="23"/>
        <v>0</v>
      </c>
      <c r="P80" s="137"/>
    </row>
    <row r="81" spans="2:16" outlineLevel="1" x14ac:dyDescent="0.3">
      <c r="B81" s="135"/>
      <c r="C81" s="115"/>
      <c r="D81" s="115"/>
      <c r="E81" s="115" t="s">
        <v>139</v>
      </c>
      <c r="F81" s="115" t="s">
        <v>15</v>
      </c>
      <c r="G81" s="132" t="s">
        <v>188</v>
      </c>
      <c r="H81" s="132">
        <v>0.15260000000000001</v>
      </c>
      <c r="I81" s="11"/>
      <c r="J81" s="11">
        <f t="shared" si="20"/>
        <v>0</v>
      </c>
      <c r="K81" s="11"/>
      <c r="L81" s="11">
        <f t="shared" si="21"/>
        <v>0</v>
      </c>
      <c r="M81" s="11"/>
      <c r="N81" s="11">
        <f t="shared" si="22"/>
        <v>0</v>
      </c>
      <c r="O81" s="11">
        <f t="shared" si="23"/>
        <v>0</v>
      </c>
      <c r="P81" s="137"/>
    </row>
    <row r="82" spans="2:16" ht="23.4" outlineLevel="1" x14ac:dyDescent="0.3">
      <c r="B82" s="135"/>
      <c r="C82" s="115"/>
      <c r="D82" s="115"/>
      <c r="E82" s="115" t="s">
        <v>16</v>
      </c>
      <c r="F82" s="115" t="s">
        <v>43</v>
      </c>
      <c r="G82" s="132">
        <v>1.0149999999999999</v>
      </c>
      <c r="H82" s="132">
        <f>G82*H77</f>
        <v>3.5118999999999998</v>
      </c>
      <c r="I82" s="11"/>
      <c r="J82" s="11">
        <f t="shared" si="20"/>
        <v>0</v>
      </c>
      <c r="K82" s="11"/>
      <c r="L82" s="11">
        <f t="shared" si="21"/>
        <v>0</v>
      </c>
      <c r="M82" s="11"/>
      <c r="N82" s="11">
        <f t="shared" si="22"/>
        <v>0</v>
      </c>
      <c r="O82" s="11">
        <f t="shared" si="23"/>
        <v>0</v>
      </c>
      <c r="P82" s="137"/>
    </row>
    <row r="83" spans="2:16" outlineLevel="1" x14ac:dyDescent="0.3">
      <c r="B83" s="135"/>
      <c r="C83" s="115"/>
      <c r="D83" s="115"/>
      <c r="E83" s="115"/>
      <c r="F83" s="115"/>
      <c r="G83" s="132"/>
      <c r="H83" s="132"/>
      <c r="I83" s="11"/>
      <c r="J83" s="11">
        <f t="shared" si="20"/>
        <v>0</v>
      </c>
      <c r="K83" s="11"/>
      <c r="L83" s="11">
        <f t="shared" si="21"/>
        <v>0</v>
      </c>
      <c r="M83" s="11"/>
      <c r="N83" s="11">
        <f t="shared" si="22"/>
        <v>0</v>
      </c>
      <c r="O83" s="11">
        <f t="shared" si="23"/>
        <v>0</v>
      </c>
      <c r="P83" s="137"/>
    </row>
    <row r="84" spans="2:16" customFormat="1" ht="23.4" outlineLevel="1" x14ac:dyDescent="0.4">
      <c r="B84" s="26"/>
      <c r="C84" s="157" t="s">
        <v>378</v>
      </c>
      <c r="D84" s="18"/>
      <c r="E84" s="14" t="s">
        <v>379</v>
      </c>
      <c r="F84" s="14" t="s">
        <v>42</v>
      </c>
      <c r="G84" s="71"/>
      <c r="H84" s="71">
        <v>2.6666666666666665</v>
      </c>
      <c r="I84" s="16"/>
      <c r="J84" s="72">
        <f>SUBTOTAL(9,J85:J90)</f>
        <v>0</v>
      </c>
      <c r="K84" s="16"/>
      <c r="L84" s="72">
        <f>SUBTOTAL(9,L85:L90)</f>
        <v>0</v>
      </c>
      <c r="M84" s="16"/>
      <c r="N84" s="72">
        <f>SUBTOTAL(9,N85:N90)</f>
        <v>0</v>
      </c>
      <c r="O84" s="72">
        <f>SUBTOTAL(9,O85:O90)</f>
        <v>0</v>
      </c>
      <c r="P84" s="27">
        <f>O84/H84</f>
        <v>0</v>
      </c>
    </row>
    <row r="85" spans="2:16" customFormat="1" ht="23.4" outlineLevel="1" x14ac:dyDescent="0.4">
      <c r="B85" s="26"/>
      <c r="C85" s="18"/>
      <c r="D85" s="18"/>
      <c r="E85" s="70" t="s">
        <v>145</v>
      </c>
      <c r="F85" s="70" t="s">
        <v>43</v>
      </c>
      <c r="G85" s="73">
        <v>1.0149999999999999</v>
      </c>
      <c r="H85" s="73">
        <f>G85*H84</f>
        <v>2.7066666666666661</v>
      </c>
      <c r="I85" s="11"/>
      <c r="J85" s="16">
        <f t="shared" ref="J85:J90" si="24">I85*H85</f>
        <v>0</v>
      </c>
      <c r="K85" s="11"/>
      <c r="L85" s="16">
        <f t="shared" ref="L85:L90" si="25">K85*H85</f>
        <v>0</v>
      </c>
      <c r="M85" s="11"/>
      <c r="N85" s="16">
        <f t="shared" ref="N85:N90" si="26">M85*H85</f>
        <v>0</v>
      </c>
      <c r="O85" s="16">
        <f t="shared" ref="O85:O90" si="27">N85+L85+J85</f>
        <v>0</v>
      </c>
      <c r="P85" s="28"/>
    </row>
    <row r="86" spans="2:16" customFormat="1" outlineLevel="1" x14ac:dyDescent="0.4">
      <c r="B86" s="26"/>
      <c r="C86" s="18"/>
      <c r="D86" s="150"/>
      <c r="E86" s="70" t="s">
        <v>278</v>
      </c>
      <c r="F86" s="70" t="s">
        <v>15</v>
      </c>
      <c r="G86" s="19" t="s">
        <v>188</v>
      </c>
      <c r="H86" s="73">
        <f>(532)/1000/3</f>
        <v>0.17733333333333334</v>
      </c>
      <c r="I86" s="11"/>
      <c r="J86" s="16">
        <f t="shared" si="24"/>
        <v>0</v>
      </c>
      <c r="K86" s="11"/>
      <c r="L86" s="16">
        <f t="shared" si="25"/>
        <v>0</v>
      </c>
      <c r="M86" s="11"/>
      <c r="N86" s="16">
        <f t="shared" si="26"/>
        <v>0</v>
      </c>
      <c r="O86" s="16">
        <f t="shared" si="27"/>
        <v>0</v>
      </c>
      <c r="P86" s="28"/>
    </row>
    <row r="87" spans="2:16" customFormat="1" outlineLevel="1" x14ac:dyDescent="0.4">
      <c r="B87" s="26"/>
      <c r="C87" s="18"/>
      <c r="D87" s="18"/>
      <c r="E87" s="70" t="s">
        <v>279</v>
      </c>
      <c r="F87" s="70" t="s">
        <v>15</v>
      </c>
      <c r="G87" s="19" t="s">
        <v>188</v>
      </c>
      <c r="H87" s="73">
        <v>0.14899999999999999</v>
      </c>
      <c r="I87" s="11"/>
      <c r="J87" s="16">
        <f t="shared" si="24"/>
        <v>0</v>
      </c>
      <c r="K87" s="11"/>
      <c r="L87" s="16">
        <f t="shared" si="25"/>
        <v>0</v>
      </c>
      <c r="M87" s="11"/>
      <c r="N87" s="16">
        <f t="shared" si="26"/>
        <v>0</v>
      </c>
      <c r="O87" s="16">
        <f t="shared" si="27"/>
        <v>0</v>
      </c>
      <c r="P87" s="28"/>
    </row>
    <row r="88" spans="2:16" customFormat="1" outlineLevel="1" x14ac:dyDescent="0.4">
      <c r="B88" s="26"/>
      <c r="C88" s="18"/>
      <c r="D88" s="18"/>
      <c r="E88" s="70" t="s">
        <v>139</v>
      </c>
      <c r="F88" s="70" t="s">
        <v>15</v>
      </c>
      <c r="G88" s="19" t="s">
        <v>188</v>
      </c>
      <c r="H88" s="73">
        <v>8.3333333333333332E-3</v>
      </c>
      <c r="I88" s="11"/>
      <c r="J88" s="16">
        <f t="shared" si="24"/>
        <v>0</v>
      </c>
      <c r="K88" s="11"/>
      <c r="L88" s="16">
        <f t="shared" si="25"/>
        <v>0</v>
      </c>
      <c r="M88" s="11"/>
      <c r="N88" s="16">
        <f t="shared" si="26"/>
        <v>0</v>
      </c>
      <c r="O88" s="16">
        <f t="shared" si="27"/>
        <v>0</v>
      </c>
      <c r="P88" s="28"/>
    </row>
    <row r="89" spans="2:16" customFormat="1" ht="23.4" outlineLevel="1" x14ac:dyDescent="0.4">
      <c r="B89" s="26"/>
      <c r="C89" s="18"/>
      <c r="D89" s="18"/>
      <c r="E89" s="70" t="s">
        <v>16</v>
      </c>
      <c r="F89" s="70" t="s">
        <v>43</v>
      </c>
      <c r="G89" s="73">
        <v>1.0149999999999999</v>
      </c>
      <c r="H89" s="73">
        <f>G89*H84</f>
        <v>2.7066666666666661</v>
      </c>
      <c r="I89" s="11"/>
      <c r="J89" s="16">
        <f t="shared" si="24"/>
        <v>0</v>
      </c>
      <c r="K89" s="11"/>
      <c r="L89" s="16">
        <f t="shared" si="25"/>
        <v>0</v>
      </c>
      <c r="M89" s="11"/>
      <c r="N89" s="16">
        <f t="shared" si="26"/>
        <v>0</v>
      </c>
      <c r="O89" s="16">
        <f t="shared" si="27"/>
        <v>0</v>
      </c>
      <c r="P89" s="28"/>
    </row>
    <row r="90" spans="2:16" customFormat="1" outlineLevel="1" x14ac:dyDescent="0.4">
      <c r="B90" s="26"/>
      <c r="C90" s="18"/>
      <c r="D90" s="18"/>
      <c r="E90" s="70" t="s">
        <v>27</v>
      </c>
      <c r="F90" s="70" t="s">
        <v>28</v>
      </c>
      <c r="G90" s="73" t="s">
        <v>188</v>
      </c>
      <c r="H90" s="73">
        <v>20</v>
      </c>
      <c r="I90" s="11"/>
      <c r="J90" s="16">
        <f t="shared" si="24"/>
        <v>0</v>
      </c>
      <c r="K90" s="11"/>
      <c r="L90" s="16">
        <f t="shared" si="25"/>
        <v>0</v>
      </c>
      <c r="M90" s="11"/>
      <c r="N90" s="16">
        <f t="shared" si="26"/>
        <v>0</v>
      </c>
      <c r="O90" s="16">
        <f t="shared" si="27"/>
        <v>0</v>
      </c>
      <c r="P90" s="28"/>
    </row>
    <row r="91" spans="2:16" outlineLevel="1" x14ac:dyDescent="0.3">
      <c r="B91" s="135"/>
      <c r="C91" s="115"/>
      <c r="D91" s="115"/>
      <c r="E91" s="115"/>
      <c r="F91" s="115"/>
      <c r="G91" s="132"/>
      <c r="H91" s="132"/>
      <c r="I91" s="11"/>
      <c r="J91" s="11"/>
      <c r="K91" s="11"/>
      <c r="L91" s="11"/>
      <c r="M91" s="11"/>
      <c r="N91" s="11"/>
      <c r="O91" s="11"/>
      <c r="P91" s="137"/>
    </row>
    <row r="92" spans="2:16" ht="23.4" outlineLevel="1" x14ac:dyDescent="0.3">
      <c r="B92" s="135"/>
      <c r="C92" s="147" t="s">
        <v>352</v>
      </c>
      <c r="D92" s="115"/>
      <c r="E92" s="112" t="s">
        <v>142</v>
      </c>
      <c r="F92" s="112" t="s">
        <v>42</v>
      </c>
      <c r="G92" s="130"/>
      <c r="H92" s="130">
        <v>16.239999999999998</v>
      </c>
      <c r="I92" s="11"/>
      <c r="J92" s="131">
        <f>SUBTOTAL(9,J93:J97)</f>
        <v>0</v>
      </c>
      <c r="K92" s="11"/>
      <c r="L92" s="131">
        <f>SUBTOTAL(9,L93:L97)</f>
        <v>0</v>
      </c>
      <c r="M92" s="11"/>
      <c r="N92" s="131">
        <f>SUBTOTAL(9,N93:N97)</f>
        <v>0</v>
      </c>
      <c r="O92" s="131">
        <f>SUBTOTAL(9,O93:O97)</f>
        <v>0</v>
      </c>
      <c r="P92" s="136">
        <f>O92/H92</f>
        <v>0</v>
      </c>
    </row>
    <row r="93" spans="2:16" ht="23.4" outlineLevel="1" x14ac:dyDescent="0.3">
      <c r="B93" s="135"/>
      <c r="C93" s="115"/>
      <c r="D93" s="115"/>
      <c r="E93" s="115" t="s">
        <v>18</v>
      </c>
      <c r="F93" s="115" t="s">
        <v>43</v>
      </c>
      <c r="G93" s="132">
        <v>1.0149999999999999</v>
      </c>
      <c r="H93" s="132">
        <f>G93*H92</f>
        <v>16.483599999999996</v>
      </c>
      <c r="I93" s="11"/>
      <c r="J93" s="11">
        <f t="shared" ref="J93:J98" si="28">I93*H93</f>
        <v>0</v>
      </c>
      <c r="K93" s="11"/>
      <c r="L93" s="11">
        <f t="shared" ref="L93:L98" si="29">K93*H93</f>
        <v>0</v>
      </c>
      <c r="M93" s="11"/>
      <c r="N93" s="11">
        <f t="shared" ref="N93:N98" si="30">M93*H93</f>
        <v>0</v>
      </c>
      <c r="O93" s="11">
        <f t="shared" ref="O93:O98" si="31">N93+L93+J93</f>
        <v>0</v>
      </c>
      <c r="P93" s="137"/>
    </row>
    <row r="94" spans="2:16" outlineLevel="1" x14ac:dyDescent="0.3">
      <c r="B94" s="135"/>
      <c r="C94" s="115"/>
      <c r="D94" s="115"/>
      <c r="E94" s="115" t="s">
        <v>279</v>
      </c>
      <c r="F94" s="115" t="s">
        <v>15</v>
      </c>
      <c r="G94" s="132" t="s">
        <v>188</v>
      </c>
      <c r="H94" s="132">
        <f>(1223+170+99+96)/1000</f>
        <v>1.5880000000000001</v>
      </c>
      <c r="I94" s="11"/>
      <c r="J94" s="11">
        <f t="shared" si="28"/>
        <v>0</v>
      </c>
      <c r="K94" s="11"/>
      <c r="L94" s="11">
        <f t="shared" si="29"/>
        <v>0</v>
      </c>
      <c r="M94" s="11"/>
      <c r="N94" s="11">
        <f t="shared" si="30"/>
        <v>0</v>
      </c>
      <c r="O94" s="11">
        <f t="shared" si="31"/>
        <v>0</v>
      </c>
      <c r="P94" s="137"/>
    </row>
    <row r="95" spans="2:16" outlineLevel="1" x14ac:dyDescent="0.3">
      <c r="B95" s="135"/>
      <c r="C95" s="115"/>
      <c r="D95" s="115"/>
      <c r="E95" s="115" t="s">
        <v>139</v>
      </c>
      <c r="F95" s="115" t="s">
        <v>15</v>
      </c>
      <c r="G95" s="132" t="s">
        <v>188</v>
      </c>
      <c r="H95" s="132">
        <f>67/1000</f>
        <v>6.7000000000000004E-2</v>
      </c>
      <c r="I95" s="11"/>
      <c r="J95" s="11">
        <f t="shared" si="28"/>
        <v>0</v>
      </c>
      <c r="K95" s="11"/>
      <c r="L95" s="11">
        <f t="shared" si="29"/>
        <v>0</v>
      </c>
      <c r="M95" s="11"/>
      <c r="N95" s="11">
        <f t="shared" si="30"/>
        <v>0</v>
      </c>
      <c r="O95" s="11">
        <f t="shared" si="31"/>
        <v>0</v>
      </c>
      <c r="P95" s="137"/>
    </row>
    <row r="96" spans="2:16" ht="23.4" outlineLevel="1" x14ac:dyDescent="0.3">
      <c r="B96" s="135"/>
      <c r="C96" s="115"/>
      <c r="D96" s="115"/>
      <c r="E96" s="115" t="s">
        <v>16</v>
      </c>
      <c r="F96" s="115" t="s">
        <v>43</v>
      </c>
      <c r="G96" s="132">
        <v>1.0149999999999999</v>
      </c>
      <c r="H96" s="132">
        <f>G96*H92</f>
        <v>16.483599999999996</v>
      </c>
      <c r="I96" s="11"/>
      <c r="J96" s="11">
        <f t="shared" si="28"/>
        <v>0</v>
      </c>
      <c r="K96" s="11"/>
      <c r="L96" s="11">
        <f t="shared" si="29"/>
        <v>0</v>
      </c>
      <c r="M96" s="11"/>
      <c r="N96" s="11">
        <f t="shared" si="30"/>
        <v>0</v>
      </c>
      <c r="O96" s="11">
        <f t="shared" si="31"/>
        <v>0</v>
      </c>
      <c r="P96" s="137"/>
    </row>
    <row r="97" spans="2:18" ht="23.4" outlineLevel="1" x14ac:dyDescent="0.3">
      <c r="B97" s="135"/>
      <c r="C97" s="115"/>
      <c r="D97" s="115"/>
      <c r="E97" s="115" t="s">
        <v>25</v>
      </c>
      <c r="F97" s="115" t="s">
        <v>45</v>
      </c>
      <c r="G97" s="132" t="s">
        <v>188</v>
      </c>
      <c r="H97" s="132">
        <v>98</v>
      </c>
      <c r="I97" s="11"/>
      <c r="J97" s="11">
        <f t="shared" si="28"/>
        <v>0</v>
      </c>
      <c r="K97" s="11"/>
      <c r="L97" s="11">
        <f t="shared" si="29"/>
        <v>0</v>
      </c>
      <c r="M97" s="11"/>
      <c r="N97" s="11">
        <f t="shared" si="30"/>
        <v>0</v>
      </c>
      <c r="O97" s="11">
        <f t="shared" si="31"/>
        <v>0</v>
      </c>
      <c r="P97" s="137"/>
    </row>
    <row r="98" spans="2:18" outlineLevel="1" x14ac:dyDescent="0.3">
      <c r="B98" s="135"/>
      <c r="C98" s="115"/>
      <c r="D98" s="115"/>
      <c r="E98" s="115"/>
      <c r="F98" s="115"/>
      <c r="G98" s="132"/>
      <c r="H98" s="132"/>
      <c r="I98" s="11"/>
      <c r="J98" s="11">
        <f t="shared" si="28"/>
        <v>0</v>
      </c>
      <c r="K98" s="11"/>
      <c r="L98" s="11">
        <f t="shared" si="29"/>
        <v>0</v>
      </c>
      <c r="M98" s="11"/>
      <c r="N98" s="11">
        <f t="shared" si="30"/>
        <v>0</v>
      </c>
      <c r="O98" s="11">
        <f t="shared" si="31"/>
        <v>0</v>
      </c>
      <c r="P98" s="137"/>
    </row>
    <row r="99" spans="2:18" ht="23.4" outlineLevel="1" x14ac:dyDescent="0.4">
      <c r="B99" s="135"/>
      <c r="C99" s="147" t="s">
        <v>352</v>
      </c>
      <c r="D99" s="115"/>
      <c r="E99" s="14" t="s">
        <v>201</v>
      </c>
      <c r="F99" s="14" t="s">
        <v>42</v>
      </c>
      <c r="G99" s="71"/>
      <c r="H99" s="71">
        <v>2</v>
      </c>
      <c r="I99" s="11"/>
      <c r="J99" s="131">
        <f>SUBTOTAL(9,J100:J105)</f>
        <v>0</v>
      </c>
      <c r="K99" s="11"/>
      <c r="L99" s="131">
        <f>SUBTOTAL(9,L100:L105)</f>
        <v>0</v>
      </c>
      <c r="M99" s="11"/>
      <c r="N99" s="131">
        <f>SUBTOTAL(9,N100:N105)</f>
        <v>0</v>
      </c>
      <c r="O99" s="131">
        <f>SUBTOTAL(9,O100:O105)</f>
        <v>0</v>
      </c>
      <c r="P99" s="136">
        <f>O99/H99</f>
        <v>0</v>
      </c>
      <c r="R99" s="148"/>
    </row>
    <row r="100" spans="2:18" ht="23.4" outlineLevel="1" x14ac:dyDescent="0.4">
      <c r="B100" s="135"/>
      <c r="C100" s="115"/>
      <c r="D100" s="115"/>
      <c r="E100" s="115" t="s">
        <v>18</v>
      </c>
      <c r="F100" s="70" t="s">
        <v>43</v>
      </c>
      <c r="G100" s="73">
        <v>1.0149999999999999</v>
      </c>
      <c r="H100" s="73">
        <f>G100*H99</f>
        <v>2.0299999999999998</v>
      </c>
      <c r="I100" s="11"/>
      <c r="J100" s="11">
        <f t="shared" ref="J100:J106" si="32">I100*H100</f>
        <v>0</v>
      </c>
      <c r="K100" s="11"/>
      <c r="L100" s="11">
        <f t="shared" ref="L100:L106" si="33">K100*H100</f>
        <v>0</v>
      </c>
      <c r="M100" s="11"/>
      <c r="N100" s="11">
        <f t="shared" ref="N100:N106" si="34">M100*H100</f>
        <v>0</v>
      </c>
      <c r="O100" s="11">
        <f t="shared" ref="O100:O106" si="35">N100+L100+J100</f>
        <v>0</v>
      </c>
      <c r="P100" s="137"/>
    </row>
    <row r="101" spans="2:18" outlineLevel="1" x14ac:dyDescent="0.4">
      <c r="B101" s="135"/>
      <c r="C101" s="115"/>
      <c r="D101" s="115"/>
      <c r="E101" s="70" t="s">
        <v>278</v>
      </c>
      <c r="F101" s="70" t="s">
        <v>15</v>
      </c>
      <c r="G101" s="19" t="s">
        <v>188</v>
      </c>
      <c r="H101" s="73"/>
      <c r="I101" s="11"/>
      <c r="J101" s="11">
        <f t="shared" si="32"/>
        <v>0</v>
      </c>
      <c r="K101" s="11"/>
      <c r="L101" s="11">
        <f t="shared" si="33"/>
        <v>0</v>
      </c>
      <c r="M101" s="11"/>
      <c r="N101" s="11">
        <f t="shared" si="34"/>
        <v>0</v>
      </c>
      <c r="O101" s="11">
        <f t="shared" si="35"/>
        <v>0</v>
      </c>
      <c r="P101" s="137"/>
    </row>
    <row r="102" spans="2:18" outlineLevel="1" x14ac:dyDescent="0.4">
      <c r="B102" s="135"/>
      <c r="C102" s="115"/>
      <c r="D102" s="115"/>
      <c r="E102" s="70" t="s">
        <v>279</v>
      </c>
      <c r="F102" s="70" t="s">
        <v>15</v>
      </c>
      <c r="G102" s="19" t="s">
        <v>188</v>
      </c>
      <c r="H102" s="73">
        <v>0.17899999999999999</v>
      </c>
      <c r="I102" s="11"/>
      <c r="J102" s="11">
        <f t="shared" si="32"/>
        <v>0</v>
      </c>
      <c r="K102" s="11"/>
      <c r="L102" s="11">
        <f t="shared" si="33"/>
        <v>0</v>
      </c>
      <c r="M102" s="11"/>
      <c r="N102" s="11">
        <f t="shared" si="34"/>
        <v>0</v>
      </c>
      <c r="O102" s="11">
        <f t="shared" si="35"/>
        <v>0</v>
      </c>
      <c r="P102" s="137"/>
    </row>
    <row r="103" spans="2:18" outlineLevel="1" x14ac:dyDescent="0.4">
      <c r="B103" s="135"/>
      <c r="C103" s="115"/>
      <c r="D103" s="115"/>
      <c r="E103" s="70" t="s">
        <v>139</v>
      </c>
      <c r="F103" s="70" t="s">
        <v>15</v>
      </c>
      <c r="G103" s="19" t="s">
        <v>188</v>
      </c>
      <c r="H103" s="73">
        <v>3.4000000000000002E-2</v>
      </c>
      <c r="I103" s="11"/>
      <c r="J103" s="11">
        <f t="shared" si="32"/>
        <v>0</v>
      </c>
      <c r="K103" s="11"/>
      <c r="L103" s="11">
        <f t="shared" si="33"/>
        <v>0</v>
      </c>
      <c r="M103" s="11"/>
      <c r="N103" s="11">
        <f t="shared" si="34"/>
        <v>0</v>
      </c>
      <c r="O103" s="11">
        <f t="shared" si="35"/>
        <v>0</v>
      </c>
      <c r="P103" s="137"/>
    </row>
    <row r="104" spans="2:18" ht="23.4" outlineLevel="1" x14ac:dyDescent="0.4">
      <c r="B104" s="135"/>
      <c r="C104" s="115"/>
      <c r="D104" s="115"/>
      <c r="E104" s="70" t="s">
        <v>16</v>
      </c>
      <c r="F104" s="70" t="s">
        <v>43</v>
      </c>
      <c r="G104" s="73">
        <v>1.0149999999999999</v>
      </c>
      <c r="H104" s="73">
        <f>G104*H99</f>
        <v>2.0299999999999998</v>
      </c>
      <c r="I104" s="11"/>
      <c r="J104" s="11">
        <f t="shared" si="32"/>
        <v>0</v>
      </c>
      <c r="K104" s="11"/>
      <c r="L104" s="11">
        <f t="shared" si="33"/>
        <v>0</v>
      </c>
      <c r="M104" s="11"/>
      <c r="N104" s="11">
        <f t="shared" si="34"/>
        <v>0</v>
      </c>
      <c r="O104" s="11">
        <f t="shared" si="35"/>
        <v>0</v>
      </c>
      <c r="P104" s="137"/>
    </row>
    <row r="105" spans="2:18" ht="23.4" outlineLevel="1" x14ac:dyDescent="0.4">
      <c r="B105" s="135"/>
      <c r="C105" s="115"/>
      <c r="D105" s="115"/>
      <c r="E105" s="70" t="s">
        <v>26</v>
      </c>
      <c r="F105" s="18" t="s">
        <v>45</v>
      </c>
      <c r="G105" s="19" t="s">
        <v>188</v>
      </c>
      <c r="H105" s="73">
        <v>8.9100000000000019</v>
      </c>
      <c r="I105" s="11"/>
      <c r="J105" s="11">
        <f t="shared" si="32"/>
        <v>0</v>
      </c>
      <c r="K105" s="11"/>
      <c r="L105" s="11">
        <f t="shared" si="33"/>
        <v>0</v>
      </c>
      <c r="M105" s="11"/>
      <c r="N105" s="11">
        <f t="shared" si="34"/>
        <v>0</v>
      </c>
      <c r="O105" s="11">
        <f t="shared" si="35"/>
        <v>0</v>
      </c>
      <c r="P105" s="137"/>
    </row>
    <row r="106" spans="2:18" outlineLevel="1" x14ac:dyDescent="0.3">
      <c r="B106" s="135"/>
      <c r="C106" s="115"/>
      <c r="D106" s="115"/>
      <c r="E106" s="115"/>
      <c r="F106" s="115"/>
      <c r="G106" s="132"/>
      <c r="H106" s="132"/>
      <c r="I106" s="11"/>
      <c r="J106" s="11">
        <f t="shared" si="32"/>
        <v>0</v>
      </c>
      <c r="K106" s="11"/>
      <c r="L106" s="11">
        <f t="shared" si="33"/>
        <v>0</v>
      </c>
      <c r="M106" s="11"/>
      <c r="N106" s="11">
        <f t="shared" si="34"/>
        <v>0</v>
      </c>
      <c r="O106" s="11">
        <f t="shared" si="35"/>
        <v>0</v>
      </c>
      <c r="P106" s="137"/>
    </row>
    <row r="107" spans="2:18" ht="23.4" outlineLevel="1" x14ac:dyDescent="0.3">
      <c r="B107" s="135"/>
      <c r="C107" s="147" t="s">
        <v>352</v>
      </c>
      <c r="D107" s="115"/>
      <c r="E107" s="112" t="s">
        <v>391</v>
      </c>
      <c r="F107" s="112" t="s">
        <v>42</v>
      </c>
      <c r="G107" s="130"/>
      <c r="H107" s="130">
        <v>3.6</v>
      </c>
      <c r="I107" s="11"/>
      <c r="J107" s="131">
        <f>SUBTOTAL(9,J108:J111)</f>
        <v>0</v>
      </c>
      <c r="K107" s="11"/>
      <c r="L107" s="131">
        <f>SUBTOTAL(9,L108:L111)</f>
        <v>0</v>
      </c>
      <c r="M107" s="11"/>
      <c r="N107" s="131">
        <f>SUBTOTAL(9,N108:N111)</f>
        <v>0</v>
      </c>
      <c r="O107" s="131">
        <f>SUBTOTAL(9,O108:O111)</f>
        <v>0</v>
      </c>
      <c r="P107" s="136">
        <f>O107/H107</f>
        <v>0</v>
      </c>
    </row>
    <row r="108" spans="2:18" ht="23.4" outlineLevel="1" x14ac:dyDescent="0.3">
      <c r="B108" s="135"/>
      <c r="C108" s="115"/>
      <c r="D108" s="115"/>
      <c r="E108" s="115" t="s">
        <v>18</v>
      </c>
      <c r="F108" s="115" t="s">
        <v>43</v>
      </c>
      <c r="G108" s="132">
        <v>1.0149999999999999</v>
      </c>
      <c r="H108" s="132">
        <f>G108*H107</f>
        <v>3.6539999999999999</v>
      </c>
      <c r="I108" s="11"/>
      <c r="J108" s="11">
        <f>I108*H108</f>
        <v>0</v>
      </c>
      <c r="K108" s="11"/>
      <c r="L108" s="11">
        <f>K108*H108</f>
        <v>0</v>
      </c>
      <c r="M108" s="11"/>
      <c r="N108" s="11">
        <f>M108*H108</f>
        <v>0</v>
      </c>
      <c r="O108" s="11">
        <f>N108+L108+J108</f>
        <v>0</v>
      </c>
      <c r="P108" s="137"/>
    </row>
    <row r="109" spans="2:18" s="152" customFormat="1" outlineLevel="1" x14ac:dyDescent="0.3">
      <c r="B109" s="149"/>
      <c r="C109" s="150"/>
      <c r="D109" s="153"/>
      <c r="E109" s="153" t="s">
        <v>278</v>
      </c>
      <c r="F109" s="153" t="s">
        <v>15</v>
      </c>
      <c r="G109" s="154" t="s">
        <v>188</v>
      </c>
      <c r="H109" s="154">
        <f>824/1000</f>
        <v>0.82399999999999995</v>
      </c>
      <c r="I109" s="155"/>
      <c r="J109" s="155">
        <f>I109*H109</f>
        <v>0</v>
      </c>
      <c r="K109" s="155"/>
      <c r="L109" s="155">
        <f>K109*H109</f>
        <v>0</v>
      </c>
      <c r="M109" s="155"/>
      <c r="N109" s="155">
        <f>M109*H109</f>
        <v>0</v>
      </c>
      <c r="O109" s="155">
        <f>N109+L109+J109</f>
        <v>0</v>
      </c>
      <c r="P109" s="163"/>
      <c r="Q109" s="162"/>
    </row>
    <row r="110" spans="2:18" outlineLevel="1" x14ac:dyDescent="0.3">
      <c r="B110" s="135"/>
      <c r="C110" s="115"/>
      <c r="D110" s="153"/>
      <c r="E110" s="153" t="s">
        <v>139</v>
      </c>
      <c r="F110" s="153" t="s">
        <v>15</v>
      </c>
      <c r="G110" s="154" t="s">
        <v>188</v>
      </c>
      <c r="H110" s="154">
        <f>(142+104)/1000</f>
        <v>0.246</v>
      </c>
      <c r="I110" s="155"/>
      <c r="J110" s="155">
        <f>I110*H110</f>
        <v>0</v>
      </c>
      <c r="K110" s="155"/>
      <c r="L110" s="155">
        <f>K110*H110</f>
        <v>0</v>
      </c>
      <c r="M110" s="155"/>
      <c r="N110" s="155">
        <f>M110*H110</f>
        <v>0</v>
      </c>
      <c r="O110" s="155">
        <f>N110+L110+J110</f>
        <v>0</v>
      </c>
      <c r="P110" s="163"/>
      <c r="Q110" s="162"/>
    </row>
    <row r="111" spans="2:18" ht="23.4" outlineLevel="1" x14ac:dyDescent="0.3">
      <c r="B111" s="135"/>
      <c r="C111" s="115"/>
      <c r="D111" s="115"/>
      <c r="E111" s="115" t="s">
        <v>16</v>
      </c>
      <c r="F111" s="115" t="s">
        <v>43</v>
      </c>
      <c r="G111" s="132">
        <v>1.0149999999999999</v>
      </c>
      <c r="H111" s="132">
        <f>G111*H107</f>
        <v>3.6539999999999999</v>
      </c>
      <c r="I111" s="11"/>
      <c r="J111" s="11">
        <f>I111*H111</f>
        <v>0</v>
      </c>
      <c r="K111" s="11"/>
      <c r="L111" s="11">
        <f>K111*H111</f>
        <v>0</v>
      </c>
      <c r="M111" s="11"/>
      <c r="N111" s="11">
        <f>M111*H111</f>
        <v>0</v>
      </c>
      <c r="O111" s="11">
        <f>N111+L111+J111</f>
        <v>0</v>
      </c>
      <c r="P111" s="137"/>
    </row>
    <row r="112" spans="2:18" outlineLevel="1" x14ac:dyDescent="0.3">
      <c r="B112" s="135"/>
      <c r="C112" s="115"/>
      <c r="D112" s="115"/>
      <c r="E112" s="115"/>
      <c r="F112" s="115"/>
      <c r="G112" s="132"/>
      <c r="H112" s="132"/>
      <c r="I112" s="11"/>
      <c r="J112" s="11">
        <f>I112*H112</f>
        <v>0</v>
      </c>
      <c r="K112" s="11"/>
      <c r="L112" s="11">
        <f>K112*H112</f>
        <v>0</v>
      </c>
      <c r="M112" s="11"/>
      <c r="N112" s="11">
        <f>M112*H112</f>
        <v>0</v>
      </c>
      <c r="O112" s="11">
        <f>N112+L112+J112</f>
        <v>0</v>
      </c>
      <c r="P112" s="137"/>
    </row>
    <row r="113" spans="2:16" ht="23.4" outlineLevel="1" x14ac:dyDescent="0.3">
      <c r="B113" s="135"/>
      <c r="C113" s="147" t="s">
        <v>352</v>
      </c>
      <c r="D113" s="115"/>
      <c r="E113" s="112" t="s">
        <v>143</v>
      </c>
      <c r="F113" s="112" t="s">
        <v>42</v>
      </c>
      <c r="G113" s="130"/>
      <c r="H113" s="130">
        <v>3.46</v>
      </c>
      <c r="I113" s="11"/>
      <c r="J113" s="131">
        <f>SUBTOTAL(9,J114:J118)</f>
        <v>0</v>
      </c>
      <c r="K113" s="11"/>
      <c r="L113" s="131">
        <f>SUBTOTAL(9,L114:L118)</f>
        <v>0</v>
      </c>
      <c r="M113" s="11"/>
      <c r="N113" s="131">
        <f>SUBTOTAL(9,N114:N118)</f>
        <v>0</v>
      </c>
      <c r="O113" s="131">
        <f>SUBTOTAL(9,O114:O118)</f>
        <v>0</v>
      </c>
      <c r="P113" s="136">
        <f>O113/H113</f>
        <v>0</v>
      </c>
    </row>
    <row r="114" spans="2:16" ht="23.4" outlineLevel="1" x14ac:dyDescent="0.3">
      <c r="B114" s="135"/>
      <c r="C114" s="115"/>
      <c r="D114" s="115"/>
      <c r="E114" s="115" t="s">
        <v>18</v>
      </c>
      <c r="F114" s="115" t="s">
        <v>43</v>
      </c>
      <c r="G114" s="132">
        <v>1.0149999999999999</v>
      </c>
      <c r="H114" s="132">
        <f>G114*H113</f>
        <v>3.5118999999999998</v>
      </c>
      <c r="I114" s="11"/>
      <c r="J114" s="11">
        <f t="shared" ref="J114:J119" si="36">I114*H114</f>
        <v>0</v>
      </c>
      <c r="K114" s="11"/>
      <c r="L114" s="11">
        <f t="shared" ref="L114:L119" si="37">K114*H114</f>
        <v>0</v>
      </c>
      <c r="M114" s="11"/>
      <c r="N114" s="11">
        <f t="shared" ref="N114:N119" si="38">M114*H114</f>
        <v>0</v>
      </c>
      <c r="O114" s="11">
        <f t="shared" ref="O114:O119" si="39">N114+L114+J114</f>
        <v>0</v>
      </c>
      <c r="P114" s="137"/>
    </row>
    <row r="115" spans="2:16" outlineLevel="1" x14ac:dyDescent="0.3">
      <c r="B115" s="135"/>
      <c r="C115" s="115"/>
      <c r="D115" s="115"/>
      <c r="E115" s="115" t="s">
        <v>278</v>
      </c>
      <c r="F115" s="115" t="s">
        <v>15</v>
      </c>
      <c r="G115" s="132" t="s">
        <v>188</v>
      </c>
      <c r="H115" s="132">
        <v>0.65880000000000005</v>
      </c>
      <c r="I115" s="11"/>
      <c r="J115" s="11">
        <f t="shared" si="36"/>
        <v>0</v>
      </c>
      <c r="K115" s="11"/>
      <c r="L115" s="11">
        <f t="shared" si="37"/>
        <v>0</v>
      </c>
      <c r="M115" s="11"/>
      <c r="N115" s="11">
        <f t="shared" si="38"/>
        <v>0</v>
      </c>
      <c r="O115" s="11">
        <f t="shared" si="39"/>
        <v>0</v>
      </c>
      <c r="P115" s="137"/>
    </row>
    <row r="116" spans="2:16" outlineLevel="1" x14ac:dyDescent="0.3">
      <c r="B116" s="135"/>
      <c r="C116" s="115"/>
      <c r="D116" s="115"/>
      <c r="E116" s="115" t="s">
        <v>279</v>
      </c>
      <c r="F116" s="115" t="s">
        <v>15</v>
      </c>
      <c r="G116" s="132" t="s">
        <v>188</v>
      </c>
      <c r="H116" s="132"/>
      <c r="I116" s="11"/>
      <c r="J116" s="11">
        <f t="shared" si="36"/>
        <v>0</v>
      </c>
      <c r="K116" s="11"/>
      <c r="L116" s="11">
        <f t="shared" si="37"/>
        <v>0</v>
      </c>
      <c r="M116" s="11"/>
      <c r="N116" s="11">
        <f t="shared" si="38"/>
        <v>0</v>
      </c>
      <c r="O116" s="11">
        <f t="shared" si="39"/>
        <v>0</v>
      </c>
      <c r="P116" s="137"/>
    </row>
    <row r="117" spans="2:16" outlineLevel="1" x14ac:dyDescent="0.3">
      <c r="B117" s="135"/>
      <c r="C117" s="115"/>
      <c r="D117" s="115"/>
      <c r="E117" s="115" t="s">
        <v>139</v>
      </c>
      <c r="F117" s="115" t="s">
        <v>15</v>
      </c>
      <c r="G117" s="132" t="s">
        <v>188</v>
      </c>
      <c r="H117" s="132">
        <v>0.15260000000000001</v>
      </c>
      <c r="I117" s="11"/>
      <c r="J117" s="11">
        <f t="shared" si="36"/>
        <v>0</v>
      </c>
      <c r="K117" s="11"/>
      <c r="L117" s="11">
        <f t="shared" si="37"/>
        <v>0</v>
      </c>
      <c r="M117" s="11"/>
      <c r="N117" s="11">
        <f t="shared" si="38"/>
        <v>0</v>
      </c>
      <c r="O117" s="11">
        <f t="shared" si="39"/>
        <v>0</v>
      </c>
      <c r="P117" s="137"/>
    </row>
    <row r="118" spans="2:16" ht="23.4" outlineLevel="1" x14ac:dyDescent="0.3">
      <c r="B118" s="135"/>
      <c r="C118" s="115"/>
      <c r="D118" s="115"/>
      <c r="E118" s="115" t="s">
        <v>16</v>
      </c>
      <c r="F118" s="115" t="s">
        <v>43</v>
      </c>
      <c r="G118" s="132">
        <v>1.0149999999999999</v>
      </c>
      <c r="H118" s="132">
        <f>G118*H113</f>
        <v>3.5118999999999998</v>
      </c>
      <c r="I118" s="11"/>
      <c r="J118" s="11">
        <f t="shared" si="36"/>
        <v>0</v>
      </c>
      <c r="K118" s="11"/>
      <c r="L118" s="11">
        <f t="shared" si="37"/>
        <v>0</v>
      </c>
      <c r="M118" s="11"/>
      <c r="N118" s="11">
        <f t="shared" si="38"/>
        <v>0</v>
      </c>
      <c r="O118" s="11">
        <f t="shared" si="39"/>
        <v>0</v>
      </c>
      <c r="P118" s="137"/>
    </row>
    <row r="119" spans="2:16" outlineLevel="1" x14ac:dyDescent="0.3">
      <c r="B119" s="135"/>
      <c r="C119" s="115"/>
      <c r="D119" s="115"/>
      <c r="E119" s="115"/>
      <c r="F119" s="115"/>
      <c r="G119" s="132"/>
      <c r="H119" s="132"/>
      <c r="I119" s="11"/>
      <c r="J119" s="11">
        <f t="shared" si="36"/>
        <v>0</v>
      </c>
      <c r="K119" s="11"/>
      <c r="L119" s="11">
        <f t="shared" si="37"/>
        <v>0</v>
      </c>
      <c r="M119" s="11"/>
      <c r="N119" s="11">
        <f t="shared" si="38"/>
        <v>0</v>
      </c>
      <c r="O119" s="11">
        <f t="shared" si="39"/>
        <v>0</v>
      </c>
      <c r="P119" s="137"/>
    </row>
    <row r="120" spans="2:16" customFormat="1" ht="23.4" outlineLevel="1" x14ac:dyDescent="0.4">
      <c r="B120" s="26"/>
      <c r="C120" s="147" t="s">
        <v>352</v>
      </c>
      <c r="D120" s="18"/>
      <c r="E120" s="14" t="s">
        <v>379</v>
      </c>
      <c r="F120" s="14" t="s">
        <v>42</v>
      </c>
      <c r="G120" s="71"/>
      <c r="H120" s="71">
        <v>2.6666666666666665</v>
      </c>
      <c r="I120" s="16"/>
      <c r="J120" s="72">
        <f>SUBTOTAL(9,J121:J126)</f>
        <v>0</v>
      </c>
      <c r="K120" s="16"/>
      <c r="L120" s="72">
        <f>SUBTOTAL(9,L121:L126)</f>
        <v>0</v>
      </c>
      <c r="M120" s="16"/>
      <c r="N120" s="72">
        <f>SUBTOTAL(9,N121:N126)</f>
        <v>0</v>
      </c>
      <c r="O120" s="72">
        <f>SUBTOTAL(9,O121:O126)</f>
        <v>0</v>
      </c>
      <c r="P120" s="27">
        <f>O120/H120</f>
        <v>0</v>
      </c>
    </row>
    <row r="121" spans="2:16" customFormat="1" ht="23.4" outlineLevel="1" x14ac:dyDescent="0.4">
      <c r="B121" s="26"/>
      <c r="C121" s="18"/>
      <c r="D121" s="18"/>
      <c r="E121" s="70" t="s">
        <v>145</v>
      </c>
      <c r="F121" s="70" t="s">
        <v>43</v>
      </c>
      <c r="G121" s="73">
        <v>1.0149999999999999</v>
      </c>
      <c r="H121" s="73">
        <f>G121*H120</f>
        <v>2.7066666666666661</v>
      </c>
      <c r="I121" s="11"/>
      <c r="J121" s="16">
        <f t="shared" ref="J121:J126" si="40">I121*H121</f>
        <v>0</v>
      </c>
      <c r="K121" s="11"/>
      <c r="L121" s="16">
        <f t="shared" ref="L121:L126" si="41">K121*H121</f>
        <v>0</v>
      </c>
      <c r="M121" s="11"/>
      <c r="N121" s="16">
        <f t="shared" ref="N121:N126" si="42">M121*H121</f>
        <v>0</v>
      </c>
      <c r="O121" s="16">
        <f t="shared" ref="O121:O126" si="43">N121+L121+J121</f>
        <v>0</v>
      </c>
      <c r="P121" s="28"/>
    </row>
    <row r="122" spans="2:16" customFormat="1" outlineLevel="1" x14ac:dyDescent="0.4">
      <c r="B122" s="26"/>
      <c r="C122" s="18"/>
      <c r="D122" s="150"/>
      <c r="E122" s="70" t="s">
        <v>278</v>
      </c>
      <c r="F122" s="70" t="s">
        <v>15</v>
      </c>
      <c r="G122" s="19" t="s">
        <v>188</v>
      </c>
      <c r="H122" s="73">
        <f>(532)/1000/3</f>
        <v>0.17733333333333334</v>
      </c>
      <c r="I122" s="11"/>
      <c r="J122" s="16">
        <f t="shared" si="40"/>
        <v>0</v>
      </c>
      <c r="K122" s="11"/>
      <c r="L122" s="16">
        <f t="shared" si="41"/>
        <v>0</v>
      </c>
      <c r="M122" s="11"/>
      <c r="N122" s="16">
        <f t="shared" si="42"/>
        <v>0</v>
      </c>
      <c r="O122" s="16">
        <f t="shared" si="43"/>
        <v>0</v>
      </c>
      <c r="P122" s="28"/>
    </row>
    <row r="123" spans="2:16" customFormat="1" outlineLevel="1" x14ac:dyDescent="0.4">
      <c r="B123" s="26"/>
      <c r="C123" s="18"/>
      <c r="D123" s="18"/>
      <c r="E123" s="70" t="s">
        <v>279</v>
      </c>
      <c r="F123" s="70" t="s">
        <v>15</v>
      </c>
      <c r="G123" s="19" t="s">
        <v>188</v>
      </c>
      <c r="H123" s="73">
        <v>0.14899999999999999</v>
      </c>
      <c r="I123" s="11"/>
      <c r="J123" s="16">
        <f t="shared" si="40"/>
        <v>0</v>
      </c>
      <c r="K123" s="11"/>
      <c r="L123" s="16">
        <f t="shared" si="41"/>
        <v>0</v>
      </c>
      <c r="M123" s="11"/>
      <c r="N123" s="16">
        <f t="shared" si="42"/>
        <v>0</v>
      </c>
      <c r="O123" s="16">
        <f t="shared" si="43"/>
        <v>0</v>
      </c>
      <c r="P123" s="28"/>
    </row>
    <row r="124" spans="2:16" customFormat="1" outlineLevel="1" x14ac:dyDescent="0.4">
      <c r="B124" s="26"/>
      <c r="C124" s="18"/>
      <c r="D124" s="18"/>
      <c r="E124" s="70" t="s">
        <v>139</v>
      </c>
      <c r="F124" s="70" t="s">
        <v>15</v>
      </c>
      <c r="G124" s="19" t="s">
        <v>188</v>
      </c>
      <c r="H124" s="73">
        <v>8.3333333333333332E-3</v>
      </c>
      <c r="I124" s="11"/>
      <c r="J124" s="16">
        <f t="shared" si="40"/>
        <v>0</v>
      </c>
      <c r="K124" s="11"/>
      <c r="L124" s="16">
        <f t="shared" si="41"/>
        <v>0</v>
      </c>
      <c r="M124" s="11"/>
      <c r="N124" s="16">
        <f t="shared" si="42"/>
        <v>0</v>
      </c>
      <c r="O124" s="16">
        <f t="shared" si="43"/>
        <v>0</v>
      </c>
      <c r="P124" s="28"/>
    </row>
    <row r="125" spans="2:16" customFormat="1" ht="23.4" outlineLevel="1" x14ac:dyDescent="0.4">
      <c r="B125" s="26"/>
      <c r="C125" s="18"/>
      <c r="D125" s="18"/>
      <c r="E125" s="70" t="s">
        <v>16</v>
      </c>
      <c r="F125" s="70" t="s">
        <v>43</v>
      </c>
      <c r="G125" s="73">
        <v>1.0149999999999999</v>
      </c>
      <c r="H125" s="73">
        <f>G125*H120</f>
        <v>2.7066666666666661</v>
      </c>
      <c r="I125" s="11"/>
      <c r="J125" s="16">
        <f t="shared" si="40"/>
        <v>0</v>
      </c>
      <c r="K125" s="11"/>
      <c r="L125" s="16">
        <f t="shared" si="41"/>
        <v>0</v>
      </c>
      <c r="M125" s="11"/>
      <c r="N125" s="16">
        <f t="shared" si="42"/>
        <v>0</v>
      </c>
      <c r="O125" s="16">
        <f t="shared" si="43"/>
        <v>0</v>
      </c>
      <c r="P125" s="28"/>
    </row>
    <row r="126" spans="2:16" customFormat="1" outlineLevel="1" x14ac:dyDescent="0.4">
      <c r="B126" s="26"/>
      <c r="C126" s="18"/>
      <c r="D126" s="18"/>
      <c r="E126" s="70" t="s">
        <v>27</v>
      </c>
      <c r="F126" s="70" t="s">
        <v>28</v>
      </c>
      <c r="G126" s="73" t="s">
        <v>188</v>
      </c>
      <c r="H126" s="73">
        <v>30</v>
      </c>
      <c r="I126" s="11"/>
      <c r="J126" s="16">
        <f t="shared" si="40"/>
        <v>0</v>
      </c>
      <c r="K126" s="11"/>
      <c r="L126" s="16">
        <f t="shared" si="41"/>
        <v>0</v>
      </c>
      <c r="M126" s="11"/>
      <c r="N126" s="16">
        <f t="shared" si="42"/>
        <v>0</v>
      </c>
      <c r="O126" s="16">
        <f t="shared" si="43"/>
        <v>0</v>
      </c>
      <c r="P126" s="28"/>
    </row>
    <row r="127" spans="2:16" outlineLevel="1" x14ac:dyDescent="0.3">
      <c r="B127" s="135"/>
      <c r="C127" s="115"/>
      <c r="D127" s="115"/>
      <c r="E127" s="115"/>
      <c r="F127" s="115"/>
      <c r="G127" s="132"/>
      <c r="H127" s="132"/>
      <c r="I127" s="11"/>
      <c r="J127" s="11"/>
      <c r="K127" s="11"/>
      <c r="L127" s="11"/>
      <c r="M127" s="11"/>
      <c r="N127" s="11"/>
      <c r="O127" s="11"/>
      <c r="P127" s="137"/>
    </row>
    <row r="128" spans="2:16" ht="23.4" outlineLevel="1" x14ac:dyDescent="0.3">
      <c r="B128" s="135"/>
      <c r="C128" s="147" t="s">
        <v>377</v>
      </c>
      <c r="D128" s="115"/>
      <c r="E128" s="112" t="s">
        <v>142</v>
      </c>
      <c r="F128" s="112" t="s">
        <v>42</v>
      </c>
      <c r="G128" s="130"/>
      <c r="H128" s="130">
        <v>13.16</v>
      </c>
      <c r="I128" s="11"/>
      <c r="J128" s="131">
        <f>SUBTOTAL(9,J129:J133)</f>
        <v>0</v>
      </c>
      <c r="K128" s="11"/>
      <c r="L128" s="131">
        <f>SUBTOTAL(9,L129:L133)</f>
        <v>0</v>
      </c>
      <c r="M128" s="11"/>
      <c r="N128" s="131">
        <f>SUBTOTAL(9,N129:N133)</f>
        <v>0</v>
      </c>
      <c r="O128" s="131">
        <f>SUBTOTAL(9,O129:O133)</f>
        <v>0</v>
      </c>
      <c r="P128" s="136">
        <f>O128/H128</f>
        <v>0</v>
      </c>
    </row>
    <row r="129" spans="2:16" ht="23.4" outlineLevel="1" x14ac:dyDescent="0.3">
      <c r="B129" s="135"/>
      <c r="C129" s="115"/>
      <c r="D129" s="115"/>
      <c r="E129" s="115" t="s">
        <v>18</v>
      </c>
      <c r="F129" s="115" t="s">
        <v>43</v>
      </c>
      <c r="G129" s="132">
        <v>1.0149999999999999</v>
      </c>
      <c r="H129" s="132">
        <f>G129*H128</f>
        <v>13.357399999999998</v>
      </c>
      <c r="I129" s="11"/>
      <c r="J129" s="11">
        <f t="shared" ref="J129:J134" si="44">I129*H129</f>
        <v>0</v>
      </c>
      <c r="K129" s="11"/>
      <c r="L129" s="11">
        <f t="shared" ref="L129:L134" si="45">K129*H129</f>
        <v>0</v>
      </c>
      <c r="M129" s="11"/>
      <c r="N129" s="11">
        <f t="shared" ref="N129:N134" si="46">M129*H129</f>
        <v>0</v>
      </c>
      <c r="O129" s="11">
        <f t="shared" ref="O129:O134" si="47">N129+L129+J129</f>
        <v>0</v>
      </c>
      <c r="P129" s="137"/>
    </row>
    <row r="130" spans="2:16" outlineLevel="1" x14ac:dyDescent="0.3">
      <c r="B130" s="135"/>
      <c r="C130" s="115"/>
      <c r="D130" s="115"/>
      <c r="E130" s="115" t="s">
        <v>279</v>
      </c>
      <c r="F130" s="115" t="s">
        <v>15</v>
      </c>
      <c r="G130" s="132" t="s">
        <v>188</v>
      </c>
      <c r="H130" s="132">
        <f>(991+170+80+96)/1000</f>
        <v>1.337</v>
      </c>
      <c r="I130" s="11"/>
      <c r="J130" s="11">
        <f t="shared" si="44"/>
        <v>0</v>
      </c>
      <c r="K130" s="11"/>
      <c r="L130" s="11">
        <f t="shared" si="45"/>
        <v>0</v>
      </c>
      <c r="M130" s="11"/>
      <c r="N130" s="11">
        <f t="shared" si="46"/>
        <v>0</v>
      </c>
      <c r="O130" s="11">
        <f t="shared" si="47"/>
        <v>0</v>
      </c>
      <c r="P130" s="137"/>
    </row>
    <row r="131" spans="2:16" outlineLevel="1" x14ac:dyDescent="0.3">
      <c r="B131" s="135"/>
      <c r="C131" s="115"/>
      <c r="D131" s="115"/>
      <c r="E131" s="115" t="s">
        <v>139</v>
      </c>
      <c r="F131" s="115" t="s">
        <v>15</v>
      </c>
      <c r="G131" s="132" t="s">
        <v>188</v>
      </c>
      <c r="H131" s="132">
        <v>5.3999999999999999E-2</v>
      </c>
      <c r="I131" s="11"/>
      <c r="J131" s="11">
        <f t="shared" si="44"/>
        <v>0</v>
      </c>
      <c r="K131" s="11"/>
      <c r="L131" s="11">
        <f t="shared" si="45"/>
        <v>0</v>
      </c>
      <c r="M131" s="11"/>
      <c r="N131" s="11">
        <f t="shared" si="46"/>
        <v>0</v>
      </c>
      <c r="O131" s="11">
        <f t="shared" si="47"/>
        <v>0</v>
      </c>
      <c r="P131" s="137"/>
    </row>
    <row r="132" spans="2:16" ht="23.4" outlineLevel="1" x14ac:dyDescent="0.3">
      <c r="B132" s="135"/>
      <c r="C132" s="115"/>
      <c r="D132" s="115"/>
      <c r="E132" s="115" t="s">
        <v>16</v>
      </c>
      <c r="F132" s="115" t="s">
        <v>43</v>
      </c>
      <c r="G132" s="132">
        <v>1.0149999999999999</v>
      </c>
      <c r="H132" s="132">
        <f>G132*H128</f>
        <v>13.357399999999998</v>
      </c>
      <c r="I132" s="11"/>
      <c r="J132" s="11">
        <f t="shared" si="44"/>
        <v>0</v>
      </c>
      <c r="K132" s="11"/>
      <c r="L132" s="11">
        <f t="shared" si="45"/>
        <v>0</v>
      </c>
      <c r="M132" s="11"/>
      <c r="N132" s="11">
        <f t="shared" si="46"/>
        <v>0</v>
      </c>
      <c r="O132" s="11">
        <f t="shared" si="47"/>
        <v>0</v>
      </c>
      <c r="P132" s="137"/>
    </row>
    <row r="133" spans="2:16" ht="23.4" outlineLevel="1" x14ac:dyDescent="0.3">
      <c r="B133" s="135"/>
      <c r="C133" s="115"/>
      <c r="D133" s="115"/>
      <c r="E133" s="115" t="s">
        <v>25</v>
      </c>
      <c r="F133" s="115" t="s">
        <v>45</v>
      </c>
      <c r="G133" s="132" t="s">
        <v>188</v>
      </c>
      <c r="H133" s="132">
        <v>80</v>
      </c>
      <c r="I133" s="11"/>
      <c r="J133" s="11">
        <f t="shared" si="44"/>
        <v>0</v>
      </c>
      <c r="K133" s="11"/>
      <c r="L133" s="11">
        <f t="shared" si="45"/>
        <v>0</v>
      </c>
      <c r="M133" s="11"/>
      <c r="N133" s="11">
        <f t="shared" si="46"/>
        <v>0</v>
      </c>
      <c r="O133" s="11">
        <f t="shared" si="47"/>
        <v>0</v>
      </c>
      <c r="P133" s="137"/>
    </row>
    <row r="134" spans="2:16" outlineLevel="1" x14ac:dyDescent="0.3">
      <c r="B134" s="135"/>
      <c r="C134" s="115"/>
      <c r="D134" s="115"/>
      <c r="E134" s="115"/>
      <c r="F134" s="115"/>
      <c r="G134" s="132"/>
      <c r="H134" s="132"/>
      <c r="I134" s="11"/>
      <c r="J134" s="11">
        <f t="shared" si="44"/>
        <v>0</v>
      </c>
      <c r="K134" s="11"/>
      <c r="L134" s="11">
        <f t="shared" si="45"/>
        <v>0</v>
      </c>
      <c r="M134" s="11"/>
      <c r="N134" s="11">
        <f t="shared" si="46"/>
        <v>0</v>
      </c>
      <c r="O134" s="11">
        <f t="shared" si="47"/>
        <v>0</v>
      </c>
      <c r="P134" s="137"/>
    </row>
    <row r="135" spans="2:16" ht="23.4" outlineLevel="1" x14ac:dyDescent="0.3">
      <c r="B135" s="135"/>
      <c r="C135" s="147" t="s">
        <v>377</v>
      </c>
      <c r="D135" s="115"/>
      <c r="E135" s="158" t="s">
        <v>391</v>
      </c>
      <c r="F135" s="158" t="s">
        <v>392</v>
      </c>
      <c r="G135" s="159"/>
      <c r="H135" s="159">
        <v>1.2</v>
      </c>
      <c r="I135" s="155"/>
      <c r="J135" s="160">
        <f>SUBTOTAL(9,J136:J139)</f>
        <v>0</v>
      </c>
      <c r="K135" s="155"/>
      <c r="L135" s="160">
        <f>SUBTOTAL(9,L136:L139)</f>
        <v>0</v>
      </c>
      <c r="M135" s="155"/>
      <c r="N135" s="160">
        <f>SUBTOTAL(9,N136:N139)</f>
        <v>0</v>
      </c>
      <c r="O135" s="160">
        <f>SUBTOTAL(9,O136:O139)</f>
        <v>0</v>
      </c>
      <c r="P135" s="161">
        <f>O135/H135</f>
        <v>0</v>
      </c>
    </row>
    <row r="136" spans="2:16" ht="23.4" outlineLevel="1" x14ac:dyDescent="0.3">
      <c r="B136" s="135"/>
      <c r="C136" s="115"/>
      <c r="D136" s="115"/>
      <c r="E136" s="153" t="s">
        <v>18</v>
      </c>
      <c r="F136" s="153" t="s">
        <v>393</v>
      </c>
      <c r="G136" s="154">
        <v>1.0149999999999999</v>
      </c>
      <c r="H136" s="154">
        <f>G136*H135</f>
        <v>1.2179999999999997</v>
      </c>
      <c r="I136" s="155"/>
      <c r="J136" s="155">
        <f>I136*H136</f>
        <v>0</v>
      </c>
      <c r="K136" s="155"/>
      <c r="L136" s="155">
        <f>K136*H136</f>
        <v>0</v>
      </c>
      <c r="M136" s="155"/>
      <c r="N136" s="155">
        <f>M136*H136</f>
        <v>0</v>
      </c>
      <c r="O136" s="155">
        <f>N136+L136+J136</f>
        <v>0</v>
      </c>
      <c r="P136" s="163"/>
    </row>
    <row r="137" spans="2:16" s="152" customFormat="1" outlineLevel="1" x14ac:dyDescent="0.3">
      <c r="B137" s="149"/>
      <c r="C137" s="150"/>
      <c r="D137" s="150"/>
      <c r="E137" s="153" t="s">
        <v>278</v>
      </c>
      <c r="F137" s="153" t="s">
        <v>15</v>
      </c>
      <c r="G137" s="154" t="s">
        <v>188</v>
      </c>
      <c r="H137" s="154">
        <f>102/1000</f>
        <v>0.10199999999999999</v>
      </c>
      <c r="I137" s="155"/>
      <c r="J137" s="155">
        <f>I137*H137</f>
        <v>0</v>
      </c>
      <c r="K137" s="155"/>
      <c r="L137" s="155">
        <f>K137*H137</f>
        <v>0</v>
      </c>
      <c r="M137" s="155"/>
      <c r="N137" s="155">
        <f>M137*H137</f>
        <v>0</v>
      </c>
      <c r="O137" s="155">
        <f>N137+L137+J137</f>
        <v>0</v>
      </c>
      <c r="P137" s="163"/>
    </row>
    <row r="138" spans="2:16" outlineLevel="1" x14ac:dyDescent="0.3">
      <c r="B138" s="135"/>
      <c r="C138" s="115"/>
      <c r="D138" s="115"/>
      <c r="E138" s="153" t="s">
        <v>139</v>
      </c>
      <c r="F138" s="153" t="s">
        <v>15</v>
      </c>
      <c r="G138" s="154" t="s">
        <v>188</v>
      </c>
      <c r="H138" s="154">
        <f>27/1000</f>
        <v>2.7E-2</v>
      </c>
      <c r="I138" s="155"/>
      <c r="J138" s="155">
        <f>I138*H138</f>
        <v>0</v>
      </c>
      <c r="K138" s="155"/>
      <c r="L138" s="155">
        <f>K138*H138</f>
        <v>0</v>
      </c>
      <c r="M138" s="155"/>
      <c r="N138" s="155">
        <f>M138*H138</f>
        <v>0</v>
      </c>
      <c r="O138" s="155">
        <f>N138+L138+J138</f>
        <v>0</v>
      </c>
      <c r="P138" s="163"/>
    </row>
    <row r="139" spans="2:16" ht="23.4" outlineLevel="1" x14ac:dyDescent="0.3">
      <c r="B139" s="135"/>
      <c r="C139" s="115"/>
      <c r="D139" s="115"/>
      <c r="E139" s="153" t="s">
        <v>16</v>
      </c>
      <c r="F139" s="153" t="s">
        <v>393</v>
      </c>
      <c r="G139" s="154">
        <v>1.0149999999999999</v>
      </c>
      <c r="H139" s="154">
        <f>G139*H135</f>
        <v>1.2179999999999997</v>
      </c>
      <c r="I139" s="155"/>
      <c r="J139" s="155">
        <f>I139*H139</f>
        <v>0</v>
      </c>
      <c r="K139" s="155"/>
      <c r="L139" s="155">
        <f>K139*H139</f>
        <v>0</v>
      </c>
      <c r="M139" s="155"/>
      <c r="N139" s="155">
        <f>M139*H139</f>
        <v>0</v>
      </c>
      <c r="O139" s="155">
        <f>N139+L139+J139</f>
        <v>0</v>
      </c>
      <c r="P139" s="163"/>
    </row>
    <row r="140" spans="2:16" outlineLevel="1" x14ac:dyDescent="0.3">
      <c r="B140" s="135"/>
      <c r="C140" s="115"/>
      <c r="D140" s="115"/>
      <c r="E140" s="153"/>
      <c r="F140" s="153"/>
      <c r="G140" s="154"/>
      <c r="H140" s="154"/>
      <c r="I140" s="155"/>
      <c r="J140" s="155"/>
      <c r="K140" s="155"/>
      <c r="L140" s="155"/>
      <c r="M140" s="155"/>
      <c r="N140" s="155"/>
      <c r="O140" s="155"/>
      <c r="P140" s="163"/>
    </row>
    <row r="141" spans="2:16" ht="23.4" outlineLevel="1" x14ac:dyDescent="0.3">
      <c r="B141" s="135"/>
      <c r="C141" s="147" t="s">
        <v>377</v>
      </c>
      <c r="D141" s="115"/>
      <c r="E141" s="158" t="s">
        <v>391</v>
      </c>
      <c r="F141" s="158" t="s">
        <v>392</v>
      </c>
      <c r="G141" s="159"/>
      <c r="H141" s="159">
        <v>1.2</v>
      </c>
      <c r="I141" s="155"/>
      <c r="J141" s="160">
        <f>SUBTOTAL(9,J142:J145)</f>
        <v>0</v>
      </c>
      <c r="K141" s="155"/>
      <c r="L141" s="160">
        <f>SUBTOTAL(9,L142:L145)</f>
        <v>0</v>
      </c>
      <c r="M141" s="155"/>
      <c r="N141" s="160">
        <f>SUBTOTAL(9,N142:N145)</f>
        <v>0</v>
      </c>
      <c r="O141" s="160">
        <f>SUBTOTAL(9,O142:O145)</f>
        <v>0</v>
      </c>
      <c r="P141" s="161">
        <f>O141/H141</f>
        <v>0</v>
      </c>
    </row>
    <row r="142" spans="2:16" ht="23.4" outlineLevel="1" x14ac:dyDescent="0.3">
      <c r="B142" s="135"/>
      <c r="C142" s="115"/>
      <c r="D142" s="115"/>
      <c r="E142" s="153" t="s">
        <v>18</v>
      </c>
      <c r="F142" s="153" t="s">
        <v>393</v>
      </c>
      <c r="G142" s="154">
        <v>1.0149999999999999</v>
      </c>
      <c r="H142" s="154">
        <f>G142*H141</f>
        <v>1.2179999999999997</v>
      </c>
      <c r="I142" s="155"/>
      <c r="J142" s="155">
        <f>I142*H142</f>
        <v>0</v>
      </c>
      <c r="K142" s="155"/>
      <c r="L142" s="155">
        <f>K142*H142</f>
        <v>0</v>
      </c>
      <c r="M142" s="155"/>
      <c r="N142" s="155">
        <f>M142*H142</f>
        <v>0</v>
      </c>
      <c r="O142" s="155">
        <f>N142+L142+J142</f>
        <v>0</v>
      </c>
      <c r="P142" s="163"/>
    </row>
    <row r="143" spans="2:16" s="152" customFormat="1" outlineLevel="1" x14ac:dyDescent="0.3">
      <c r="B143" s="149"/>
      <c r="C143" s="150"/>
      <c r="D143" s="150"/>
      <c r="E143" s="153" t="s">
        <v>278</v>
      </c>
      <c r="F143" s="153" t="s">
        <v>15</v>
      </c>
      <c r="G143" s="154" t="s">
        <v>188</v>
      </c>
      <c r="H143" s="154">
        <f>230/1000</f>
        <v>0.23</v>
      </c>
      <c r="I143" s="155"/>
      <c r="J143" s="155">
        <f>I143*H143</f>
        <v>0</v>
      </c>
      <c r="K143" s="155"/>
      <c r="L143" s="155">
        <f>K143*H143</f>
        <v>0</v>
      </c>
      <c r="M143" s="155"/>
      <c r="N143" s="155">
        <f>M143*H143</f>
        <v>0</v>
      </c>
      <c r="O143" s="155">
        <f>N143+L143+J143</f>
        <v>0</v>
      </c>
      <c r="P143" s="163"/>
    </row>
    <row r="144" spans="2:16" outlineLevel="1" x14ac:dyDescent="0.3">
      <c r="B144" s="135"/>
      <c r="C144" s="115"/>
      <c r="D144" s="115"/>
      <c r="E144" s="153" t="s">
        <v>139</v>
      </c>
      <c r="F144" s="153" t="s">
        <v>15</v>
      </c>
      <c r="G144" s="154" t="s">
        <v>188</v>
      </c>
      <c r="H144" s="154">
        <f>(47+35)/1000</f>
        <v>8.2000000000000003E-2</v>
      </c>
      <c r="I144" s="155"/>
      <c r="J144" s="155">
        <f>I144*H144</f>
        <v>0</v>
      </c>
      <c r="K144" s="155"/>
      <c r="L144" s="155">
        <f>K144*H144</f>
        <v>0</v>
      </c>
      <c r="M144" s="155"/>
      <c r="N144" s="155">
        <f>M144*H144</f>
        <v>0</v>
      </c>
      <c r="O144" s="155">
        <f>N144+L144+J144</f>
        <v>0</v>
      </c>
      <c r="P144" s="163"/>
    </row>
    <row r="145" spans="2:16" ht="23.4" outlineLevel="1" x14ac:dyDescent="0.3">
      <c r="B145" s="135"/>
      <c r="C145" s="115"/>
      <c r="D145" s="115"/>
      <c r="E145" s="115" t="s">
        <v>16</v>
      </c>
      <c r="F145" s="115" t="s">
        <v>43</v>
      </c>
      <c r="G145" s="132">
        <v>1.0149999999999999</v>
      </c>
      <c r="H145" s="132">
        <f>G145*H141</f>
        <v>1.2179999999999997</v>
      </c>
      <c r="I145" s="11"/>
      <c r="J145" s="11">
        <f>I145*H145</f>
        <v>0</v>
      </c>
      <c r="K145" s="11"/>
      <c r="L145" s="11">
        <f>K145*H145</f>
        <v>0</v>
      </c>
      <c r="M145" s="11"/>
      <c r="N145" s="11">
        <f>M145*H145</f>
        <v>0</v>
      </c>
      <c r="O145" s="11">
        <f>N145+L145+J145</f>
        <v>0</v>
      </c>
      <c r="P145" s="137"/>
    </row>
    <row r="146" spans="2:16" outlineLevel="1" x14ac:dyDescent="0.3">
      <c r="B146" s="135"/>
      <c r="C146" s="115"/>
      <c r="D146" s="115"/>
      <c r="E146" s="115"/>
      <c r="F146" s="115"/>
      <c r="G146" s="132"/>
      <c r="H146" s="132"/>
      <c r="I146" s="11"/>
      <c r="J146" s="11"/>
      <c r="K146" s="11"/>
      <c r="L146" s="11"/>
      <c r="M146" s="11"/>
      <c r="N146" s="11"/>
      <c r="O146" s="11"/>
      <c r="P146" s="137"/>
    </row>
    <row r="147" spans="2:16" ht="23.4" outlineLevel="1" x14ac:dyDescent="0.3">
      <c r="B147" s="135"/>
      <c r="C147" s="147" t="s">
        <v>377</v>
      </c>
      <c r="D147" s="115"/>
      <c r="E147" s="112" t="s">
        <v>143</v>
      </c>
      <c r="F147" s="112" t="s">
        <v>42</v>
      </c>
      <c r="G147" s="130"/>
      <c r="H147" s="130">
        <v>3.46</v>
      </c>
      <c r="I147" s="11"/>
      <c r="J147" s="131">
        <f>SUBTOTAL(9,J148:J152)</f>
        <v>0</v>
      </c>
      <c r="K147" s="11"/>
      <c r="L147" s="131">
        <f>SUBTOTAL(9,L148:L152)</f>
        <v>0</v>
      </c>
      <c r="M147" s="11"/>
      <c r="N147" s="131">
        <f>SUBTOTAL(9,N148:N152)</f>
        <v>0</v>
      </c>
      <c r="O147" s="131">
        <f>SUBTOTAL(9,O148:O152)</f>
        <v>0</v>
      </c>
      <c r="P147" s="136">
        <f>O147/H147</f>
        <v>0</v>
      </c>
    </row>
    <row r="148" spans="2:16" ht="23.4" outlineLevel="1" x14ac:dyDescent="0.3">
      <c r="B148" s="135"/>
      <c r="C148" s="115"/>
      <c r="D148" s="115"/>
      <c r="E148" s="115" t="s">
        <v>18</v>
      </c>
      <c r="F148" s="115" t="s">
        <v>43</v>
      </c>
      <c r="G148" s="132">
        <v>1.0149999999999999</v>
      </c>
      <c r="H148" s="132">
        <f>G148*H147</f>
        <v>3.5118999999999998</v>
      </c>
      <c r="I148" s="11"/>
      <c r="J148" s="11">
        <f t="shared" ref="J148:J153" si="48">I148*H148</f>
        <v>0</v>
      </c>
      <c r="K148" s="11"/>
      <c r="L148" s="11">
        <f t="shared" ref="L148:L153" si="49">K148*H148</f>
        <v>0</v>
      </c>
      <c r="M148" s="11"/>
      <c r="N148" s="11">
        <f t="shared" ref="N148:N153" si="50">M148*H148</f>
        <v>0</v>
      </c>
      <c r="O148" s="11">
        <f t="shared" ref="O148:O153" si="51">N148+L148+J148</f>
        <v>0</v>
      </c>
      <c r="P148" s="137"/>
    </row>
    <row r="149" spans="2:16" outlineLevel="1" x14ac:dyDescent="0.3">
      <c r="B149" s="135"/>
      <c r="C149" s="115"/>
      <c r="D149" s="115"/>
      <c r="E149" s="115" t="s">
        <v>278</v>
      </c>
      <c r="F149" s="115" t="s">
        <v>15</v>
      </c>
      <c r="G149" s="132" t="s">
        <v>188</v>
      </c>
      <c r="H149" s="132">
        <v>0.65880000000000005</v>
      </c>
      <c r="I149" s="11"/>
      <c r="J149" s="11">
        <f t="shared" si="48"/>
        <v>0</v>
      </c>
      <c r="K149" s="11"/>
      <c r="L149" s="11">
        <f t="shared" si="49"/>
        <v>0</v>
      </c>
      <c r="M149" s="11"/>
      <c r="N149" s="11">
        <f t="shared" si="50"/>
        <v>0</v>
      </c>
      <c r="O149" s="11">
        <f t="shared" si="51"/>
        <v>0</v>
      </c>
      <c r="P149" s="137"/>
    </row>
    <row r="150" spans="2:16" outlineLevel="1" x14ac:dyDescent="0.3">
      <c r="B150" s="135"/>
      <c r="C150" s="115"/>
      <c r="D150" s="115"/>
      <c r="E150" s="115" t="s">
        <v>279</v>
      </c>
      <c r="F150" s="115" t="s">
        <v>15</v>
      </c>
      <c r="G150" s="132" t="s">
        <v>188</v>
      </c>
      <c r="H150" s="132"/>
      <c r="I150" s="11"/>
      <c r="J150" s="11">
        <f t="shared" si="48"/>
        <v>0</v>
      </c>
      <c r="K150" s="11"/>
      <c r="L150" s="11">
        <f t="shared" si="49"/>
        <v>0</v>
      </c>
      <c r="M150" s="11"/>
      <c r="N150" s="11">
        <f t="shared" si="50"/>
        <v>0</v>
      </c>
      <c r="O150" s="11">
        <f t="shared" si="51"/>
        <v>0</v>
      </c>
      <c r="P150" s="137"/>
    </row>
    <row r="151" spans="2:16" outlineLevel="1" x14ac:dyDescent="0.3">
      <c r="B151" s="135"/>
      <c r="C151" s="115"/>
      <c r="D151" s="115"/>
      <c r="E151" s="115" t="s">
        <v>139</v>
      </c>
      <c r="F151" s="115" t="s">
        <v>15</v>
      </c>
      <c r="G151" s="132" t="s">
        <v>188</v>
      </c>
      <c r="H151" s="132">
        <v>0.15260000000000001</v>
      </c>
      <c r="I151" s="11"/>
      <c r="J151" s="11">
        <f t="shared" si="48"/>
        <v>0</v>
      </c>
      <c r="K151" s="11"/>
      <c r="L151" s="11">
        <f t="shared" si="49"/>
        <v>0</v>
      </c>
      <c r="M151" s="11"/>
      <c r="N151" s="11">
        <f t="shared" si="50"/>
        <v>0</v>
      </c>
      <c r="O151" s="11">
        <f t="shared" si="51"/>
        <v>0</v>
      </c>
      <c r="P151" s="137"/>
    </row>
    <row r="152" spans="2:16" ht="23.4" outlineLevel="1" x14ac:dyDescent="0.3">
      <c r="B152" s="135"/>
      <c r="C152" s="115"/>
      <c r="D152" s="115"/>
      <c r="E152" s="115" t="s">
        <v>16</v>
      </c>
      <c r="F152" s="115" t="s">
        <v>43</v>
      </c>
      <c r="G152" s="132">
        <v>1.0149999999999999</v>
      </c>
      <c r="H152" s="132">
        <f>G152*H147</f>
        <v>3.5118999999999998</v>
      </c>
      <c r="I152" s="11"/>
      <c r="J152" s="11">
        <f t="shared" si="48"/>
        <v>0</v>
      </c>
      <c r="K152" s="11"/>
      <c r="L152" s="11">
        <f t="shared" si="49"/>
        <v>0</v>
      </c>
      <c r="M152" s="11"/>
      <c r="N152" s="11">
        <f t="shared" si="50"/>
        <v>0</v>
      </c>
      <c r="O152" s="11">
        <f t="shared" si="51"/>
        <v>0</v>
      </c>
      <c r="P152" s="137"/>
    </row>
    <row r="153" spans="2:16" outlineLevel="1" x14ac:dyDescent="0.3">
      <c r="B153" s="135"/>
      <c r="C153" s="115"/>
      <c r="D153" s="115"/>
      <c r="E153" s="115"/>
      <c r="F153" s="115"/>
      <c r="G153" s="132"/>
      <c r="H153" s="132"/>
      <c r="I153" s="11"/>
      <c r="J153" s="11">
        <f t="shared" si="48"/>
        <v>0</v>
      </c>
      <c r="K153" s="11"/>
      <c r="L153" s="11">
        <f t="shared" si="49"/>
        <v>0</v>
      </c>
      <c r="M153" s="11"/>
      <c r="N153" s="11">
        <f t="shared" si="50"/>
        <v>0</v>
      </c>
      <c r="O153" s="11">
        <f t="shared" si="51"/>
        <v>0</v>
      </c>
      <c r="P153" s="137"/>
    </row>
    <row r="154" spans="2:16" ht="23.4" outlineLevel="1" x14ac:dyDescent="0.3">
      <c r="B154" s="135"/>
      <c r="C154" s="147" t="s">
        <v>394</v>
      </c>
      <c r="D154" s="115"/>
      <c r="E154" s="112" t="s">
        <v>143</v>
      </c>
      <c r="F154" s="112" t="s">
        <v>42</v>
      </c>
      <c r="G154" s="130"/>
      <c r="H154" s="130">
        <v>3.46</v>
      </c>
      <c r="I154" s="11"/>
      <c r="J154" s="131">
        <f>SUBTOTAL(9,J155:J159)</f>
        <v>0</v>
      </c>
      <c r="K154" s="11"/>
      <c r="L154" s="131">
        <f>SUBTOTAL(9,L155:L159)</f>
        <v>0</v>
      </c>
      <c r="M154" s="11"/>
      <c r="N154" s="131">
        <f>SUBTOTAL(9,N155:N159)</f>
        <v>0</v>
      </c>
      <c r="O154" s="131">
        <f>SUBTOTAL(9,O155:O159)</f>
        <v>0</v>
      </c>
      <c r="P154" s="136">
        <f>O154/H154</f>
        <v>0</v>
      </c>
    </row>
    <row r="155" spans="2:16" ht="23.4" outlineLevel="1" x14ac:dyDescent="0.3">
      <c r="B155" s="135"/>
      <c r="C155" s="115"/>
      <c r="D155" s="115"/>
      <c r="E155" s="115" t="s">
        <v>18</v>
      </c>
      <c r="F155" s="115" t="s">
        <v>43</v>
      </c>
      <c r="G155" s="132">
        <v>1.0149999999999999</v>
      </c>
      <c r="H155" s="132">
        <f>G155*H154</f>
        <v>3.5118999999999998</v>
      </c>
      <c r="I155" s="11"/>
      <c r="J155" s="11">
        <f t="shared" ref="J155:J160" si="52">I155*H155</f>
        <v>0</v>
      </c>
      <c r="K155" s="11"/>
      <c r="L155" s="11">
        <f t="shared" ref="L155:L160" si="53">K155*H155</f>
        <v>0</v>
      </c>
      <c r="M155" s="11"/>
      <c r="N155" s="11">
        <f t="shared" ref="N155:N160" si="54">M155*H155</f>
        <v>0</v>
      </c>
      <c r="O155" s="11">
        <f t="shared" ref="O155:O160" si="55">N155+L155+J155</f>
        <v>0</v>
      </c>
      <c r="P155" s="137"/>
    </row>
    <row r="156" spans="2:16" outlineLevel="1" x14ac:dyDescent="0.3">
      <c r="B156" s="135"/>
      <c r="C156" s="115"/>
      <c r="D156" s="115"/>
      <c r="E156" s="115" t="s">
        <v>278</v>
      </c>
      <c r="F156" s="115" t="s">
        <v>15</v>
      </c>
      <c r="G156" s="132" t="s">
        <v>188</v>
      </c>
      <c r="H156" s="132">
        <v>0.65880000000000005</v>
      </c>
      <c r="I156" s="11"/>
      <c r="J156" s="11">
        <f t="shared" si="52"/>
        <v>0</v>
      </c>
      <c r="K156" s="11"/>
      <c r="L156" s="11">
        <f t="shared" si="53"/>
        <v>0</v>
      </c>
      <c r="M156" s="11"/>
      <c r="N156" s="11">
        <f t="shared" si="54"/>
        <v>0</v>
      </c>
      <c r="O156" s="11">
        <f t="shared" si="55"/>
        <v>0</v>
      </c>
      <c r="P156" s="137"/>
    </row>
    <row r="157" spans="2:16" outlineLevel="1" x14ac:dyDescent="0.3">
      <c r="B157" s="135"/>
      <c r="C157" s="115"/>
      <c r="D157" s="115"/>
      <c r="E157" s="115" t="s">
        <v>279</v>
      </c>
      <c r="F157" s="115" t="s">
        <v>15</v>
      </c>
      <c r="G157" s="132" t="s">
        <v>188</v>
      </c>
      <c r="H157" s="132"/>
      <c r="I157" s="11"/>
      <c r="J157" s="11">
        <f t="shared" si="52"/>
        <v>0</v>
      </c>
      <c r="K157" s="11"/>
      <c r="L157" s="11">
        <f t="shared" si="53"/>
        <v>0</v>
      </c>
      <c r="M157" s="11"/>
      <c r="N157" s="11">
        <f t="shared" si="54"/>
        <v>0</v>
      </c>
      <c r="O157" s="11">
        <f t="shared" si="55"/>
        <v>0</v>
      </c>
      <c r="P157" s="137"/>
    </row>
    <row r="158" spans="2:16" outlineLevel="1" x14ac:dyDescent="0.3">
      <c r="B158" s="135"/>
      <c r="C158" s="115"/>
      <c r="D158" s="115"/>
      <c r="E158" s="115" t="s">
        <v>139</v>
      </c>
      <c r="F158" s="115" t="s">
        <v>15</v>
      </c>
      <c r="G158" s="132" t="s">
        <v>188</v>
      </c>
      <c r="H158" s="132">
        <v>0.15260000000000001</v>
      </c>
      <c r="I158" s="11"/>
      <c r="J158" s="11">
        <f t="shared" si="52"/>
        <v>0</v>
      </c>
      <c r="K158" s="11"/>
      <c r="L158" s="11">
        <f t="shared" si="53"/>
        <v>0</v>
      </c>
      <c r="M158" s="11"/>
      <c r="N158" s="11">
        <f t="shared" si="54"/>
        <v>0</v>
      </c>
      <c r="O158" s="11">
        <f t="shared" si="55"/>
        <v>0</v>
      </c>
      <c r="P158" s="137"/>
    </row>
    <row r="159" spans="2:16" ht="23.4" outlineLevel="1" x14ac:dyDescent="0.3">
      <c r="B159" s="135"/>
      <c r="C159" s="115"/>
      <c r="D159" s="115"/>
      <c r="E159" s="115" t="s">
        <v>16</v>
      </c>
      <c r="F159" s="115" t="s">
        <v>43</v>
      </c>
      <c r="G159" s="132">
        <v>1.0149999999999999</v>
      </c>
      <c r="H159" s="132">
        <f>G159*H154</f>
        <v>3.5118999999999998</v>
      </c>
      <c r="I159" s="11"/>
      <c r="J159" s="11">
        <f t="shared" si="52"/>
        <v>0</v>
      </c>
      <c r="K159" s="11"/>
      <c r="L159" s="11">
        <f t="shared" si="53"/>
        <v>0</v>
      </c>
      <c r="M159" s="11"/>
      <c r="N159" s="11">
        <f t="shared" si="54"/>
        <v>0</v>
      </c>
      <c r="O159" s="11">
        <f t="shared" si="55"/>
        <v>0</v>
      </c>
      <c r="P159" s="137"/>
    </row>
    <row r="160" spans="2:16" outlineLevel="1" x14ac:dyDescent="0.3">
      <c r="B160" s="135"/>
      <c r="C160" s="115"/>
      <c r="D160" s="115"/>
      <c r="E160" s="115"/>
      <c r="F160" s="115"/>
      <c r="G160" s="132"/>
      <c r="H160" s="132"/>
      <c r="I160" s="11"/>
      <c r="J160" s="11">
        <f t="shared" si="52"/>
        <v>0</v>
      </c>
      <c r="K160" s="11"/>
      <c r="L160" s="11">
        <f t="shared" si="53"/>
        <v>0</v>
      </c>
      <c r="M160" s="11"/>
      <c r="N160" s="11">
        <f t="shared" si="54"/>
        <v>0</v>
      </c>
      <c r="O160" s="11">
        <f t="shared" si="55"/>
        <v>0</v>
      </c>
      <c r="P160" s="137"/>
    </row>
    <row r="161" spans="2:16" ht="23.4" outlineLevel="1" x14ac:dyDescent="0.3">
      <c r="B161" s="135"/>
      <c r="C161" s="147" t="s">
        <v>395</v>
      </c>
      <c r="D161" s="115"/>
      <c r="E161" s="112" t="s">
        <v>143</v>
      </c>
      <c r="F161" s="112" t="s">
        <v>42</v>
      </c>
      <c r="G161" s="130"/>
      <c r="H161" s="130">
        <v>3.46</v>
      </c>
      <c r="I161" s="11"/>
      <c r="J161" s="131">
        <f>SUBTOTAL(9,J162:J166)</f>
        <v>0</v>
      </c>
      <c r="K161" s="11"/>
      <c r="L161" s="131">
        <f>SUBTOTAL(9,L162:L166)</f>
        <v>0</v>
      </c>
      <c r="M161" s="11"/>
      <c r="N161" s="131">
        <f>SUBTOTAL(9,N162:N166)</f>
        <v>0</v>
      </c>
      <c r="O161" s="131">
        <f>SUBTOTAL(9,O162:O166)</f>
        <v>0</v>
      </c>
      <c r="P161" s="136">
        <f>O161/H161</f>
        <v>0</v>
      </c>
    </row>
    <row r="162" spans="2:16" ht="23.4" outlineLevel="1" x14ac:dyDescent="0.3">
      <c r="B162" s="135"/>
      <c r="C162" s="115"/>
      <c r="D162" s="115"/>
      <c r="E162" s="115" t="s">
        <v>18</v>
      </c>
      <c r="F162" s="115" t="s">
        <v>43</v>
      </c>
      <c r="G162" s="132">
        <v>1.0149999999999999</v>
      </c>
      <c r="H162" s="132">
        <f>G162*H161</f>
        <v>3.5118999999999998</v>
      </c>
      <c r="I162" s="11"/>
      <c r="J162" s="11">
        <f t="shared" ref="J162:J167" si="56">I162*H162</f>
        <v>0</v>
      </c>
      <c r="K162" s="11"/>
      <c r="L162" s="11">
        <f t="shared" ref="L162:L167" si="57">K162*H162</f>
        <v>0</v>
      </c>
      <c r="M162" s="11"/>
      <c r="N162" s="11">
        <f t="shared" ref="N162:N167" si="58">M162*H162</f>
        <v>0</v>
      </c>
      <c r="O162" s="11">
        <f t="shared" ref="O162:O167" si="59">N162+L162+J162</f>
        <v>0</v>
      </c>
      <c r="P162" s="137"/>
    </row>
    <row r="163" spans="2:16" outlineLevel="1" x14ac:dyDescent="0.3">
      <c r="B163" s="135"/>
      <c r="C163" s="115"/>
      <c r="D163" s="115"/>
      <c r="E163" s="115" t="s">
        <v>278</v>
      </c>
      <c r="F163" s="115" t="s">
        <v>15</v>
      </c>
      <c r="G163" s="132" t="s">
        <v>188</v>
      </c>
      <c r="H163" s="132">
        <v>0.65880000000000005</v>
      </c>
      <c r="I163" s="11"/>
      <c r="J163" s="11">
        <f t="shared" si="56"/>
        <v>0</v>
      </c>
      <c r="K163" s="11"/>
      <c r="L163" s="11">
        <f t="shared" si="57"/>
        <v>0</v>
      </c>
      <c r="M163" s="11"/>
      <c r="N163" s="11">
        <f t="shared" si="58"/>
        <v>0</v>
      </c>
      <c r="O163" s="11">
        <f t="shared" si="59"/>
        <v>0</v>
      </c>
      <c r="P163" s="137"/>
    </row>
    <row r="164" spans="2:16" outlineLevel="1" x14ac:dyDescent="0.3">
      <c r="B164" s="135"/>
      <c r="C164" s="115"/>
      <c r="D164" s="115"/>
      <c r="E164" s="115" t="s">
        <v>279</v>
      </c>
      <c r="F164" s="115" t="s">
        <v>15</v>
      </c>
      <c r="G164" s="132" t="s">
        <v>188</v>
      </c>
      <c r="H164" s="132"/>
      <c r="I164" s="11"/>
      <c r="J164" s="11">
        <f t="shared" si="56"/>
        <v>0</v>
      </c>
      <c r="K164" s="11"/>
      <c r="L164" s="11">
        <f t="shared" si="57"/>
        <v>0</v>
      </c>
      <c r="M164" s="11"/>
      <c r="N164" s="11">
        <f t="shared" si="58"/>
        <v>0</v>
      </c>
      <c r="O164" s="11">
        <f t="shared" si="59"/>
        <v>0</v>
      </c>
      <c r="P164" s="137"/>
    </row>
    <row r="165" spans="2:16" outlineLevel="1" x14ac:dyDescent="0.3">
      <c r="B165" s="135"/>
      <c r="C165" s="115"/>
      <c r="D165" s="115"/>
      <c r="E165" s="115" t="s">
        <v>139</v>
      </c>
      <c r="F165" s="115" t="s">
        <v>15</v>
      </c>
      <c r="G165" s="132" t="s">
        <v>188</v>
      </c>
      <c r="H165" s="132">
        <v>0.15260000000000001</v>
      </c>
      <c r="I165" s="11"/>
      <c r="J165" s="11">
        <f t="shared" si="56"/>
        <v>0</v>
      </c>
      <c r="K165" s="11"/>
      <c r="L165" s="11">
        <f t="shared" si="57"/>
        <v>0</v>
      </c>
      <c r="M165" s="11"/>
      <c r="N165" s="11">
        <f t="shared" si="58"/>
        <v>0</v>
      </c>
      <c r="O165" s="11">
        <f t="shared" si="59"/>
        <v>0</v>
      </c>
      <c r="P165" s="137"/>
    </row>
    <row r="166" spans="2:16" ht="23.4" outlineLevel="1" x14ac:dyDescent="0.3">
      <c r="B166" s="135"/>
      <c r="C166" s="115"/>
      <c r="D166" s="115"/>
      <c r="E166" s="115" t="s">
        <v>16</v>
      </c>
      <c r="F166" s="115" t="s">
        <v>43</v>
      </c>
      <c r="G166" s="132">
        <v>1.0149999999999999</v>
      </c>
      <c r="H166" s="132">
        <f>G166*H161</f>
        <v>3.5118999999999998</v>
      </c>
      <c r="I166" s="11"/>
      <c r="J166" s="11">
        <f t="shared" si="56"/>
        <v>0</v>
      </c>
      <c r="K166" s="11"/>
      <c r="L166" s="11">
        <f t="shared" si="57"/>
        <v>0</v>
      </c>
      <c r="M166" s="11"/>
      <c r="N166" s="11">
        <f t="shared" si="58"/>
        <v>0</v>
      </c>
      <c r="O166" s="11">
        <f t="shared" si="59"/>
        <v>0</v>
      </c>
      <c r="P166" s="137"/>
    </row>
    <row r="167" spans="2:16" outlineLevel="1" x14ac:dyDescent="0.3">
      <c r="B167" s="135"/>
      <c r="C167" s="115"/>
      <c r="D167" s="115"/>
      <c r="E167" s="115"/>
      <c r="F167" s="115"/>
      <c r="G167" s="132"/>
      <c r="H167" s="132"/>
      <c r="I167" s="11"/>
      <c r="J167" s="11">
        <f t="shared" si="56"/>
        <v>0</v>
      </c>
      <c r="K167" s="11"/>
      <c r="L167" s="11">
        <f t="shared" si="57"/>
        <v>0</v>
      </c>
      <c r="M167" s="11"/>
      <c r="N167" s="11">
        <f t="shared" si="58"/>
        <v>0</v>
      </c>
      <c r="O167" s="11">
        <f t="shared" si="59"/>
        <v>0</v>
      </c>
      <c r="P167" s="137"/>
    </row>
    <row r="168" spans="2:16" ht="23.4" outlineLevel="1" x14ac:dyDescent="0.3">
      <c r="B168" s="135"/>
      <c r="C168" s="147"/>
      <c r="D168" s="115"/>
      <c r="E168" s="112" t="s">
        <v>380</v>
      </c>
      <c r="F168" s="112" t="s">
        <v>42</v>
      </c>
      <c r="G168" s="130"/>
      <c r="H168" s="130">
        <v>0.72</v>
      </c>
      <c r="I168" s="11"/>
      <c r="J168" s="131">
        <f>SUBTOTAL(9,J169:J173)</f>
        <v>0</v>
      </c>
      <c r="K168" s="11"/>
      <c r="L168" s="131">
        <f>SUBTOTAL(9,L169:L173)</f>
        <v>0</v>
      </c>
      <c r="M168" s="11"/>
      <c r="N168" s="131">
        <f>SUBTOTAL(9,N169:N173)</f>
        <v>0</v>
      </c>
      <c r="O168" s="131">
        <f>SUBTOTAL(9,O169:O173)</f>
        <v>0</v>
      </c>
      <c r="P168" s="136">
        <f>O168/H168</f>
        <v>0</v>
      </c>
    </row>
    <row r="169" spans="2:16" ht="23.4" outlineLevel="1" x14ac:dyDescent="0.3">
      <c r="B169" s="135"/>
      <c r="C169" s="115"/>
      <c r="D169" s="115"/>
      <c r="E169" s="115" t="s">
        <v>18</v>
      </c>
      <c r="F169" s="115" t="s">
        <v>43</v>
      </c>
      <c r="G169" s="132">
        <v>1.0149999999999999</v>
      </c>
      <c r="H169" s="132">
        <f>G169*H168</f>
        <v>0.73079999999999989</v>
      </c>
      <c r="I169" s="11"/>
      <c r="J169" s="11">
        <f t="shared" ref="J169:J174" si="60">I169*H169</f>
        <v>0</v>
      </c>
      <c r="K169" s="11"/>
      <c r="L169" s="11">
        <f t="shared" ref="L169:L174" si="61">K169*H169</f>
        <v>0</v>
      </c>
      <c r="M169" s="11"/>
      <c r="N169" s="11">
        <f t="shared" ref="N169:N174" si="62">M169*H169</f>
        <v>0</v>
      </c>
      <c r="O169" s="11">
        <f t="shared" ref="O169:O174" si="63">N169+L169+J169</f>
        <v>0</v>
      </c>
      <c r="P169" s="137"/>
    </row>
    <row r="170" spans="2:16" outlineLevel="1" x14ac:dyDescent="0.3">
      <c r="B170" s="135"/>
      <c r="C170" s="115"/>
      <c r="D170" s="115"/>
      <c r="E170" s="115" t="s">
        <v>279</v>
      </c>
      <c r="F170" s="115" t="s">
        <v>15</v>
      </c>
      <c r="G170" s="132" t="s">
        <v>188</v>
      </c>
      <c r="H170" s="132">
        <f>43/1000</f>
        <v>4.2999999999999997E-2</v>
      </c>
      <c r="I170" s="11"/>
      <c r="J170" s="11">
        <f t="shared" si="60"/>
        <v>0</v>
      </c>
      <c r="K170" s="11"/>
      <c r="L170" s="11">
        <f t="shared" si="61"/>
        <v>0</v>
      </c>
      <c r="M170" s="11"/>
      <c r="N170" s="11">
        <f t="shared" si="62"/>
        <v>0</v>
      </c>
      <c r="O170" s="11">
        <f t="shared" si="63"/>
        <v>0</v>
      </c>
      <c r="P170" s="137"/>
    </row>
    <row r="171" spans="2:16" outlineLevel="1" x14ac:dyDescent="0.3">
      <c r="B171" s="135"/>
      <c r="C171" s="115"/>
      <c r="D171" s="115"/>
      <c r="E171" s="115" t="s">
        <v>139</v>
      </c>
      <c r="F171" s="115" t="s">
        <v>15</v>
      </c>
      <c r="G171" s="132" t="s">
        <v>188</v>
      </c>
      <c r="H171" s="132">
        <f>18/1000</f>
        <v>1.7999999999999999E-2</v>
      </c>
      <c r="I171" s="11"/>
      <c r="J171" s="11">
        <f t="shared" si="60"/>
        <v>0</v>
      </c>
      <c r="K171" s="11"/>
      <c r="L171" s="11">
        <f t="shared" si="61"/>
        <v>0</v>
      </c>
      <c r="M171" s="11"/>
      <c r="N171" s="11">
        <f t="shared" si="62"/>
        <v>0</v>
      </c>
      <c r="O171" s="11">
        <f t="shared" si="63"/>
        <v>0</v>
      </c>
      <c r="P171" s="137"/>
    </row>
    <row r="172" spans="2:16" ht="23.4" outlineLevel="1" x14ac:dyDescent="0.3">
      <c r="B172" s="135"/>
      <c r="C172" s="115"/>
      <c r="D172" s="115"/>
      <c r="E172" s="115" t="s">
        <v>16</v>
      </c>
      <c r="F172" s="115" t="s">
        <v>43</v>
      </c>
      <c r="G172" s="132">
        <v>1.0149999999999999</v>
      </c>
      <c r="H172" s="132">
        <f>G172*H168</f>
        <v>0.73079999999999989</v>
      </c>
      <c r="I172" s="11"/>
      <c r="J172" s="11">
        <f t="shared" si="60"/>
        <v>0</v>
      </c>
      <c r="K172" s="11"/>
      <c r="L172" s="11">
        <f t="shared" si="61"/>
        <v>0</v>
      </c>
      <c r="M172" s="11"/>
      <c r="N172" s="11">
        <f t="shared" si="62"/>
        <v>0</v>
      </c>
      <c r="O172" s="11">
        <f t="shared" si="63"/>
        <v>0</v>
      </c>
      <c r="P172" s="137"/>
    </row>
    <row r="173" spans="2:16" outlineLevel="1" x14ac:dyDescent="0.3">
      <c r="B173" s="135"/>
      <c r="C173" s="115"/>
      <c r="D173" s="115"/>
      <c r="E173" s="115" t="s">
        <v>168</v>
      </c>
      <c r="F173" s="115" t="s">
        <v>41</v>
      </c>
      <c r="G173" s="132" t="s">
        <v>188</v>
      </c>
      <c r="H173" s="132">
        <v>20</v>
      </c>
      <c r="I173" s="11"/>
      <c r="J173" s="11">
        <f t="shared" si="60"/>
        <v>0</v>
      </c>
      <c r="K173" s="11"/>
      <c r="L173" s="11">
        <f t="shared" si="61"/>
        <v>0</v>
      </c>
      <c r="M173" s="11"/>
      <c r="N173" s="11">
        <f t="shared" si="62"/>
        <v>0</v>
      </c>
      <c r="O173" s="11">
        <f t="shared" si="63"/>
        <v>0</v>
      </c>
      <c r="P173" s="137"/>
    </row>
    <row r="174" spans="2:16" outlineLevel="1" x14ac:dyDescent="0.3">
      <c r="B174" s="135"/>
      <c r="C174" s="115"/>
      <c r="D174" s="115"/>
      <c r="E174" s="115"/>
      <c r="F174" s="115"/>
      <c r="G174" s="132"/>
      <c r="H174" s="132"/>
      <c r="I174" s="11"/>
      <c r="J174" s="11">
        <f t="shared" si="60"/>
        <v>0</v>
      </c>
      <c r="K174" s="11"/>
      <c r="L174" s="11">
        <f t="shared" si="61"/>
        <v>0</v>
      </c>
      <c r="M174" s="11"/>
      <c r="N174" s="11">
        <f t="shared" si="62"/>
        <v>0</v>
      </c>
      <c r="O174" s="11">
        <f t="shared" si="63"/>
        <v>0</v>
      </c>
      <c r="P174" s="137"/>
    </row>
    <row r="175" spans="2:16" outlineLevel="1" x14ac:dyDescent="0.3">
      <c r="B175" s="135"/>
      <c r="C175" s="115"/>
      <c r="D175" s="115"/>
      <c r="E175" s="112" t="s">
        <v>396</v>
      </c>
      <c r="F175" s="112" t="s">
        <v>15</v>
      </c>
      <c r="G175" s="130"/>
      <c r="H175" s="130">
        <f>1865/1000</f>
        <v>1.865</v>
      </c>
      <c r="I175" s="11"/>
      <c r="J175" s="131">
        <f>SUBTOTAL(9,J176:J180)</f>
        <v>0</v>
      </c>
      <c r="K175" s="11"/>
      <c r="L175" s="131">
        <f>SUBTOTAL(9,L176:L180)</f>
        <v>0</v>
      </c>
      <c r="M175" s="11"/>
      <c r="N175" s="131">
        <f>SUBTOTAL(9,N176:N180)</f>
        <v>0</v>
      </c>
      <c r="O175" s="131">
        <f>SUBTOTAL(9,O176:O180)</f>
        <v>0</v>
      </c>
      <c r="P175" s="136">
        <f>O175/H175</f>
        <v>0</v>
      </c>
    </row>
    <row r="176" spans="2:16" outlineLevel="1" x14ac:dyDescent="0.3">
      <c r="B176" s="135"/>
      <c r="C176" s="115"/>
      <c r="D176" s="115"/>
      <c r="E176" s="115" t="s">
        <v>397</v>
      </c>
      <c r="F176" s="115" t="s">
        <v>41</v>
      </c>
      <c r="G176" s="132" t="s">
        <v>188</v>
      </c>
      <c r="H176" s="132">
        <v>55</v>
      </c>
      <c r="I176" s="11"/>
      <c r="J176" s="11">
        <f t="shared" ref="J176:J181" si="64">I176*H176</f>
        <v>0</v>
      </c>
      <c r="K176" s="11"/>
      <c r="L176" s="11">
        <f t="shared" ref="L176:L181" si="65">K176*H176</f>
        <v>0</v>
      </c>
      <c r="M176" s="11"/>
      <c r="N176" s="11">
        <f t="shared" ref="N176:N181" si="66">M176*H176</f>
        <v>0</v>
      </c>
      <c r="O176" s="11">
        <f t="shared" ref="O176:O181" si="67">N176+L176+J176</f>
        <v>0</v>
      </c>
      <c r="P176" s="137"/>
    </row>
    <row r="177" spans="2:16" outlineLevel="1" x14ac:dyDescent="0.3">
      <c r="B177" s="135"/>
      <c r="C177" s="115"/>
      <c r="D177" s="115"/>
      <c r="E177" s="115" t="s">
        <v>278</v>
      </c>
      <c r="F177" s="115" t="s">
        <v>15</v>
      </c>
      <c r="G177" s="132" t="s">
        <v>188</v>
      </c>
      <c r="H177" s="132">
        <f>30*0.5/1000</f>
        <v>1.4999999999999999E-2</v>
      </c>
      <c r="I177" s="11"/>
      <c r="J177" s="11">
        <f t="shared" si="64"/>
        <v>0</v>
      </c>
      <c r="K177" s="11"/>
      <c r="L177" s="11">
        <f t="shared" si="65"/>
        <v>0</v>
      </c>
      <c r="M177" s="11"/>
      <c r="N177" s="11">
        <f t="shared" si="66"/>
        <v>0</v>
      </c>
      <c r="O177" s="11">
        <f t="shared" si="67"/>
        <v>0</v>
      </c>
      <c r="P177" s="137"/>
    </row>
    <row r="178" spans="2:16" outlineLevel="1" x14ac:dyDescent="0.3">
      <c r="B178" s="135"/>
      <c r="C178" s="115"/>
      <c r="D178" s="115"/>
      <c r="E178" s="115" t="s">
        <v>119</v>
      </c>
      <c r="F178" s="115" t="s">
        <v>56</v>
      </c>
      <c r="G178" s="132" t="s">
        <v>188</v>
      </c>
      <c r="H178" s="132">
        <v>2</v>
      </c>
      <c r="I178" s="11"/>
      <c r="J178" s="11">
        <f t="shared" si="64"/>
        <v>0</v>
      </c>
      <c r="K178" s="11"/>
      <c r="L178" s="11">
        <f t="shared" si="65"/>
        <v>0</v>
      </c>
      <c r="M178" s="11"/>
      <c r="N178" s="11">
        <f t="shared" si="66"/>
        <v>0</v>
      </c>
      <c r="O178" s="11">
        <f t="shared" si="67"/>
        <v>0</v>
      </c>
      <c r="P178" s="137"/>
    </row>
    <row r="179" spans="2:16" outlineLevel="1" x14ac:dyDescent="0.3">
      <c r="B179" s="135"/>
      <c r="C179" s="115"/>
      <c r="D179" s="115"/>
      <c r="E179" s="115" t="s">
        <v>118</v>
      </c>
      <c r="F179" s="115" t="s">
        <v>20</v>
      </c>
      <c r="G179" s="132" t="s">
        <v>188</v>
      </c>
      <c r="H179" s="132">
        <v>100</v>
      </c>
      <c r="I179" s="11"/>
      <c r="J179" s="11">
        <f t="shared" si="64"/>
        <v>0</v>
      </c>
      <c r="K179" s="11"/>
      <c r="L179" s="11">
        <f t="shared" si="65"/>
        <v>0</v>
      </c>
      <c r="M179" s="11"/>
      <c r="N179" s="11">
        <f t="shared" si="66"/>
        <v>0</v>
      </c>
      <c r="O179" s="11">
        <f t="shared" si="67"/>
        <v>0</v>
      </c>
      <c r="P179" s="137"/>
    </row>
    <row r="180" spans="2:16" outlineLevel="1" x14ac:dyDescent="0.3">
      <c r="B180" s="135"/>
      <c r="C180" s="115"/>
      <c r="D180" s="115"/>
      <c r="E180" s="115" t="s">
        <v>74</v>
      </c>
      <c r="F180" s="115" t="s">
        <v>15</v>
      </c>
      <c r="G180" s="132">
        <v>1</v>
      </c>
      <c r="H180" s="132">
        <f>H177</f>
        <v>1.4999999999999999E-2</v>
      </c>
      <c r="I180" s="11"/>
      <c r="J180" s="11">
        <f t="shared" si="64"/>
        <v>0</v>
      </c>
      <c r="K180" s="11"/>
      <c r="L180" s="11">
        <f t="shared" si="65"/>
        <v>0</v>
      </c>
      <c r="M180" s="11"/>
      <c r="N180" s="11">
        <f t="shared" si="66"/>
        <v>0</v>
      </c>
      <c r="O180" s="11">
        <f t="shared" si="67"/>
        <v>0</v>
      </c>
      <c r="P180" s="137"/>
    </row>
    <row r="181" spans="2:16" outlineLevel="1" x14ac:dyDescent="0.3">
      <c r="B181" s="135"/>
      <c r="C181" s="115"/>
      <c r="D181" s="115"/>
      <c r="E181" s="115"/>
      <c r="F181" s="115"/>
      <c r="G181" s="132"/>
      <c r="H181" s="132"/>
      <c r="I181" s="11"/>
      <c r="J181" s="11">
        <f t="shared" si="64"/>
        <v>0</v>
      </c>
      <c r="K181" s="11"/>
      <c r="L181" s="11">
        <f t="shared" si="65"/>
        <v>0</v>
      </c>
      <c r="M181" s="11"/>
      <c r="N181" s="11">
        <f t="shared" si="66"/>
        <v>0</v>
      </c>
      <c r="O181" s="11">
        <f t="shared" si="67"/>
        <v>0</v>
      </c>
      <c r="P181" s="137"/>
    </row>
    <row r="182" spans="2:16" outlineLevel="1" x14ac:dyDescent="0.3">
      <c r="B182" s="135"/>
      <c r="C182" s="115"/>
      <c r="D182" s="115"/>
      <c r="E182" s="112" t="s">
        <v>381</v>
      </c>
      <c r="F182" s="112" t="s">
        <v>15</v>
      </c>
      <c r="G182" s="130"/>
      <c r="H182" s="130">
        <v>1.865</v>
      </c>
      <c r="I182" s="11"/>
      <c r="J182" s="131">
        <f>SUBTOTAL(9,J183:J188)</f>
        <v>0</v>
      </c>
      <c r="K182" s="11"/>
      <c r="L182" s="131">
        <f>SUBTOTAL(9,L183:L188)</f>
        <v>0</v>
      </c>
      <c r="M182" s="11"/>
      <c r="N182" s="131">
        <f>SUBTOTAL(9,N183:N188)</f>
        <v>0</v>
      </c>
      <c r="O182" s="131">
        <f>SUBTOTAL(9,O183:O188)</f>
        <v>0</v>
      </c>
      <c r="P182" s="136">
        <f>O182/H182</f>
        <v>0</v>
      </c>
    </row>
    <row r="183" spans="2:16" outlineLevel="1" x14ac:dyDescent="0.3">
      <c r="B183" s="135"/>
      <c r="C183" s="115"/>
      <c r="D183" s="115"/>
      <c r="E183" s="115" t="s">
        <v>167</v>
      </c>
      <c r="F183" s="115" t="s">
        <v>15</v>
      </c>
      <c r="G183" s="132">
        <v>1.1000000000000001</v>
      </c>
      <c r="H183" s="132">
        <f>G183*H182</f>
        <v>2.0515000000000003</v>
      </c>
      <c r="I183" s="11"/>
      <c r="J183" s="11">
        <f t="shared" ref="J183:J189" si="68">I183*H183</f>
        <v>0</v>
      </c>
      <c r="K183" s="11"/>
      <c r="L183" s="11">
        <f t="shared" ref="L183:L189" si="69">K183*H183</f>
        <v>0</v>
      </c>
      <c r="M183" s="11"/>
      <c r="N183" s="11">
        <f t="shared" ref="N183:N189" si="70">M183*H183</f>
        <v>0</v>
      </c>
      <c r="O183" s="11">
        <f t="shared" ref="O183:O189" si="71">N183+L183+J183</f>
        <v>0</v>
      </c>
      <c r="P183" s="137"/>
    </row>
    <row r="184" spans="2:16" outlineLevel="1" x14ac:dyDescent="0.3">
      <c r="B184" s="135"/>
      <c r="C184" s="115"/>
      <c r="D184" s="115"/>
      <c r="E184" s="115" t="s">
        <v>119</v>
      </c>
      <c r="F184" s="115" t="s">
        <v>56</v>
      </c>
      <c r="G184" s="132" t="s">
        <v>188</v>
      </c>
      <c r="H184" s="132">
        <v>20</v>
      </c>
      <c r="I184" s="11"/>
      <c r="J184" s="11">
        <f t="shared" si="68"/>
        <v>0</v>
      </c>
      <c r="K184" s="11"/>
      <c r="L184" s="11">
        <f t="shared" si="69"/>
        <v>0</v>
      </c>
      <c r="M184" s="11"/>
      <c r="N184" s="11">
        <f t="shared" si="70"/>
        <v>0</v>
      </c>
      <c r="O184" s="11">
        <f t="shared" si="71"/>
        <v>0</v>
      </c>
      <c r="P184" s="137"/>
    </row>
    <row r="185" spans="2:16" outlineLevel="1" x14ac:dyDescent="0.3">
      <c r="B185" s="135"/>
      <c r="C185" s="115"/>
      <c r="D185" s="115"/>
      <c r="E185" s="115" t="s">
        <v>118</v>
      </c>
      <c r="F185" s="115" t="s">
        <v>20</v>
      </c>
      <c r="G185" s="132">
        <v>40</v>
      </c>
      <c r="H185" s="132">
        <f>G185*H183</f>
        <v>82.060000000000016</v>
      </c>
      <c r="I185" s="11"/>
      <c r="J185" s="11">
        <f t="shared" si="68"/>
        <v>0</v>
      </c>
      <c r="K185" s="11"/>
      <c r="L185" s="11">
        <f t="shared" si="69"/>
        <v>0</v>
      </c>
      <c r="M185" s="11"/>
      <c r="N185" s="11">
        <f t="shared" si="70"/>
        <v>0</v>
      </c>
      <c r="O185" s="11">
        <f t="shared" si="71"/>
        <v>0</v>
      </c>
      <c r="P185" s="137"/>
    </row>
    <row r="186" spans="2:16" outlineLevel="1" x14ac:dyDescent="0.3">
      <c r="B186" s="135"/>
      <c r="C186" s="115"/>
      <c r="D186" s="115"/>
      <c r="E186" s="115" t="s">
        <v>170</v>
      </c>
      <c r="F186" s="115" t="s">
        <v>20</v>
      </c>
      <c r="G186" s="132">
        <v>40</v>
      </c>
      <c r="H186" s="132">
        <f>G186*H183</f>
        <v>82.060000000000016</v>
      </c>
      <c r="I186" s="11"/>
      <c r="J186" s="11">
        <f t="shared" si="68"/>
        <v>0</v>
      </c>
      <c r="K186" s="11"/>
      <c r="L186" s="11">
        <f t="shared" si="69"/>
        <v>0</v>
      </c>
      <c r="M186" s="11"/>
      <c r="N186" s="11">
        <f t="shared" si="70"/>
        <v>0</v>
      </c>
      <c r="O186" s="11">
        <f t="shared" si="71"/>
        <v>0</v>
      </c>
      <c r="P186" s="137"/>
    </row>
    <row r="187" spans="2:16" outlineLevel="1" x14ac:dyDescent="0.3">
      <c r="B187" s="135"/>
      <c r="C187" s="115"/>
      <c r="D187" s="115"/>
      <c r="E187" s="115" t="s">
        <v>398</v>
      </c>
      <c r="F187" s="115" t="s">
        <v>1</v>
      </c>
      <c r="G187" s="132"/>
      <c r="H187" s="132">
        <v>52</v>
      </c>
      <c r="I187" s="11"/>
      <c r="J187" s="11">
        <f t="shared" si="68"/>
        <v>0</v>
      </c>
      <c r="K187" s="11"/>
      <c r="L187" s="11">
        <f t="shared" si="69"/>
        <v>0</v>
      </c>
      <c r="M187" s="11"/>
      <c r="N187" s="11">
        <f t="shared" si="70"/>
        <v>0</v>
      </c>
      <c r="O187" s="11">
        <f t="shared" si="71"/>
        <v>0</v>
      </c>
      <c r="P187" s="137"/>
    </row>
    <row r="188" spans="2:16" outlineLevel="1" x14ac:dyDescent="0.3">
      <c r="B188" s="135"/>
      <c r="C188" s="115"/>
      <c r="D188" s="115"/>
      <c r="E188" s="115" t="s">
        <v>74</v>
      </c>
      <c r="F188" s="115" t="s">
        <v>15</v>
      </c>
      <c r="G188" s="132" t="s">
        <v>188</v>
      </c>
      <c r="H188" s="132">
        <f>SUM(H183:H183)</f>
        <v>2.0515000000000003</v>
      </c>
      <c r="I188" s="11"/>
      <c r="J188" s="11">
        <f t="shared" si="68"/>
        <v>0</v>
      </c>
      <c r="K188" s="11"/>
      <c r="L188" s="11">
        <f t="shared" si="69"/>
        <v>0</v>
      </c>
      <c r="M188" s="11"/>
      <c r="N188" s="11">
        <f t="shared" si="70"/>
        <v>0</v>
      </c>
      <c r="O188" s="11">
        <f t="shared" si="71"/>
        <v>0</v>
      </c>
      <c r="P188" s="137"/>
    </row>
    <row r="189" spans="2:16" outlineLevel="1" x14ac:dyDescent="0.3">
      <c r="B189" s="135"/>
      <c r="C189" s="115"/>
      <c r="D189" s="115"/>
      <c r="E189" s="115"/>
      <c r="F189" s="115"/>
      <c r="G189" s="132"/>
      <c r="H189" s="132"/>
      <c r="I189" s="11"/>
      <c r="J189" s="11">
        <f t="shared" si="68"/>
        <v>0</v>
      </c>
      <c r="K189" s="11"/>
      <c r="L189" s="11">
        <f t="shared" si="69"/>
        <v>0</v>
      </c>
      <c r="M189" s="11"/>
      <c r="N189" s="11">
        <f t="shared" si="70"/>
        <v>0</v>
      </c>
      <c r="O189" s="11">
        <f t="shared" si="71"/>
        <v>0</v>
      </c>
      <c r="P189" s="137"/>
    </row>
    <row r="190" spans="2:16" ht="23.4" outlineLevel="1" x14ac:dyDescent="0.3">
      <c r="B190" s="135"/>
      <c r="C190" s="115"/>
      <c r="D190" s="115"/>
      <c r="E190" s="112" t="s">
        <v>189</v>
      </c>
      <c r="F190" s="112" t="s">
        <v>44</v>
      </c>
      <c r="G190" s="130"/>
      <c r="H190" s="130">
        <v>361.4</v>
      </c>
      <c r="I190" s="11"/>
      <c r="J190" s="131">
        <f>SUBTOTAL(9,J194:J206)</f>
        <v>0</v>
      </c>
      <c r="K190" s="11"/>
      <c r="L190" s="131">
        <f>SUBTOTAL(9,L194:L206)</f>
        <v>0</v>
      </c>
      <c r="M190" s="11"/>
      <c r="N190" s="131">
        <f>SUBTOTAL(9,N194:N206)</f>
        <v>0</v>
      </c>
      <c r="O190" s="131">
        <f>SUBTOTAL(9,O191:O206)</f>
        <v>0</v>
      </c>
      <c r="P190" s="136">
        <f>O190/H190</f>
        <v>0</v>
      </c>
    </row>
    <row r="191" spans="2:16" outlineLevel="1" x14ac:dyDescent="0.3">
      <c r="B191" s="135"/>
      <c r="C191" s="115"/>
      <c r="D191" s="115"/>
      <c r="E191" s="115" t="s">
        <v>19</v>
      </c>
      <c r="F191" s="115" t="s">
        <v>20</v>
      </c>
      <c r="G191" s="132"/>
      <c r="H191" s="132">
        <v>500</v>
      </c>
      <c r="I191" s="11"/>
      <c r="J191" s="11">
        <f>I191*H191</f>
        <v>0</v>
      </c>
      <c r="K191" s="11"/>
      <c r="L191" s="11"/>
      <c r="M191" s="11"/>
      <c r="N191" s="11"/>
      <c r="O191" s="11">
        <f t="shared" ref="O191:O206" si="72">N191+L191+J191</f>
        <v>0</v>
      </c>
      <c r="P191" s="137"/>
    </row>
    <row r="192" spans="2:16" ht="23.4" outlineLevel="1" x14ac:dyDescent="0.3">
      <c r="B192" s="135"/>
      <c r="C192" s="115"/>
      <c r="D192" s="115"/>
      <c r="E192" s="115" t="s">
        <v>21</v>
      </c>
      <c r="F192" s="115" t="s">
        <v>45</v>
      </c>
      <c r="G192" s="132"/>
      <c r="H192" s="132">
        <v>200</v>
      </c>
      <c r="I192" s="11"/>
      <c r="J192" s="11">
        <f t="shared" ref="J192:J205" si="73">I192*H192</f>
        <v>0</v>
      </c>
      <c r="K192" s="11"/>
      <c r="L192" s="11"/>
      <c r="M192" s="11"/>
      <c r="N192" s="11"/>
      <c r="O192" s="11">
        <f t="shared" si="72"/>
        <v>0</v>
      </c>
      <c r="P192" s="137"/>
    </row>
    <row r="193" spans="2:16" outlineLevel="1" x14ac:dyDescent="0.3">
      <c r="B193" s="135"/>
      <c r="C193" s="115"/>
      <c r="D193" s="115"/>
      <c r="E193" s="115" t="s">
        <v>22</v>
      </c>
      <c r="F193" s="115" t="s">
        <v>23</v>
      </c>
      <c r="G193" s="132"/>
      <c r="H193" s="132">
        <v>150</v>
      </c>
      <c r="I193" s="11"/>
      <c r="J193" s="11">
        <f t="shared" si="73"/>
        <v>0</v>
      </c>
      <c r="K193" s="11"/>
      <c r="L193" s="11"/>
      <c r="M193" s="11"/>
      <c r="N193" s="11"/>
      <c r="O193" s="11">
        <f t="shared" si="72"/>
        <v>0</v>
      </c>
      <c r="P193" s="137"/>
    </row>
    <row r="194" spans="2:16" outlineLevel="1" x14ac:dyDescent="0.3">
      <c r="B194" s="135"/>
      <c r="C194" s="115"/>
      <c r="D194" s="115"/>
      <c r="E194" s="115" t="s">
        <v>39</v>
      </c>
      <c r="F194" s="115" t="s">
        <v>1</v>
      </c>
      <c r="G194" s="132"/>
      <c r="H194" s="132">
        <v>150</v>
      </c>
      <c r="I194" s="11"/>
      <c r="J194" s="11">
        <f t="shared" si="73"/>
        <v>0</v>
      </c>
      <c r="K194" s="11"/>
      <c r="L194" s="11"/>
      <c r="M194" s="11"/>
      <c r="N194" s="11"/>
      <c r="O194" s="11">
        <f t="shared" si="72"/>
        <v>0</v>
      </c>
      <c r="P194" s="137"/>
    </row>
    <row r="195" spans="2:16" outlineLevel="1" x14ac:dyDescent="0.3">
      <c r="B195" s="135"/>
      <c r="C195" s="115"/>
      <c r="D195" s="115"/>
      <c r="E195" s="115" t="s">
        <v>108</v>
      </c>
      <c r="F195" s="115" t="s">
        <v>56</v>
      </c>
      <c r="G195" s="132">
        <v>1.7795454545454548E-2</v>
      </c>
      <c r="H195" s="132">
        <f>G195*$H$190</f>
        <v>6.4312772727272733</v>
      </c>
      <c r="I195" s="11"/>
      <c r="J195" s="11">
        <f t="shared" si="73"/>
        <v>0</v>
      </c>
      <c r="K195" s="11"/>
      <c r="L195" s="11"/>
      <c r="M195" s="11"/>
      <c r="N195" s="11"/>
      <c r="O195" s="11">
        <f t="shared" si="72"/>
        <v>0</v>
      </c>
      <c r="P195" s="137"/>
    </row>
    <row r="196" spans="2:16" outlineLevel="1" x14ac:dyDescent="0.3">
      <c r="B196" s="135"/>
      <c r="C196" s="115"/>
      <c r="D196" s="115"/>
      <c r="E196" s="115" t="s">
        <v>104</v>
      </c>
      <c r="F196" s="115" t="s">
        <v>20</v>
      </c>
      <c r="G196" s="132">
        <v>0.16233766233766234</v>
      </c>
      <c r="H196" s="132">
        <f>G196*$H$190</f>
        <v>58.668831168831161</v>
      </c>
      <c r="I196" s="11"/>
      <c r="J196" s="11">
        <f t="shared" si="73"/>
        <v>0</v>
      </c>
      <c r="K196" s="11"/>
      <c r="L196" s="11"/>
      <c r="M196" s="11"/>
      <c r="N196" s="11"/>
      <c r="O196" s="11">
        <f t="shared" si="72"/>
        <v>0</v>
      </c>
      <c r="P196" s="137"/>
    </row>
    <row r="197" spans="2:16" outlineLevel="1" x14ac:dyDescent="0.3">
      <c r="B197" s="135"/>
      <c r="C197" s="115"/>
      <c r="D197" s="115"/>
      <c r="E197" s="115" t="s">
        <v>105</v>
      </c>
      <c r="F197" s="115" t="s">
        <v>1</v>
      </c>
      <c r="G197" s="132">
        <v>8.1168831168831168E-2</v>
      </c>
      <c r="H197" s="132">
        <f>G197*$H$190</f>
        <v>29.334415584415581</v>
      </c>
      <c r="I197" s="11"/>
      <c r="J197" s="11">
        <f t="shared" si="73"/>
        <v>0</v>
      </c>
      <c r="K197" s="11"/>
      <c r="L197" s="11"/>
      <c r="M197" s="11"/>
      <c r="N197" s="11"/>
      <c r="O197" s="11">
        <f t="shared" si="72"/>
        <v>0</v>
      </c>
      <c r="P197" s="137"/>
    </row>
    <row r="198" spans="2:16" outlineLevel="1" x14ac:dyDescent="0.3">
      <c r="B198" s="135"/>
      <c r="C198" s="115"/>
      <c r="D198" s="115"/>
      <c r="E198" s="115" t="s">
        <v>103</v>
      </c>
      <c r="F198" s="115" t="s">
        <v>1</v>
      </c>
      <c r="G198" s="132">
        <v>3.2467532467532464E-2</v>
      </c>
      <c r="H198" s="132">
        <f>G198*$H$190</f>
        <v>11.733766233766232</v>
      </c>
      <c r="I198" s="11"/>
      <c r="J198" s="11">
        <f t="shared" si="73"/>
        <v>0</v>
      </c>
      <c r="K198" s="11"/>
      <c r="L198" s="11"/>
      <c r="M198" s="11"/>
      <c r="N198" s="11"/>
      <c r="O198" s="11">
        <f t="shared" si="72"/>
        <v>0</v>
      </c>
      <c r="P198" s="137"/>
    </row>
    <row r="199" spans="2:16" outlineLevel="1" x14ac:dyDescent="0.3">
      <c r="B199" s="135"/>
      <c r="C199" s="115"/>
      <c r="D199" s="115"/>
      <c r="E199" s="115" t="s">
        <v>106</v>
      </c>
      <c r="F199" s="115" t="s">
        <v>1</v>
      </c>
      <c r="G199" s="132">
        <v>0.42857142857142855</v>
      </c>
      <c r="H199" s="132">
        <f>G199*$H$190</f>
        <v>154.88571428571427</v>
      </c>
      <c r="I199" s="11"/>
      <c r="J199" s="11">
        <f t="shared" si="73"/>
        <v>0</v>
      </c>
      <c r="K199" s="11"/>
      <c r="L199" s="11"/>
      <c r="M199" s="11"/>
      <c r="N199" s="11"/>
      <c r="O199" s="11">
        <f t="shared" si="72"/>
        <v>0</v>
      </c>
      <c r="P199" s="137"/>
    </row>
    <row r="200" spans="2:16" outlineLevel="1" x14ac:dyDescent="0.3">
      <c r="B200" s="135"/>
      <c r="C200" s="115"/>
      <c r="D200" s="115"/>
      <c r="E200" s="115" t="s">
        <v>112</v>
      </c>
      <c r="F200" s="115" t="s">
        <v>1</v>
      </c>
      <c r="G200" s="132">
        <v>0.42857142857142855</v>
      </c>
      <c r="H200" s="132">
        <v>100</v>
      </c>
      <c r="I200" s="11"/>
      <c r="J200" s="11">
        <f t="shared" si="73"/>
        <v>0</v>
      </c>
      <c r="K200" s="11"/>
      <c r="L200" s="11"/>
      <c r="M200" s="11"/>
      <c r="N200" s="11"/>
      <c r="O200" s="11">
        <f t="shared" si="72"/>
        <v>0</v>
      </c>
      <c r="P200" s="137"/>
    </row>
    <row r="201" spans="2:16" outlineLevel="1" x14ac:dyDescent="0.3">
      <c r="B201" s="135"/>
      <c r="C201" s="115"/>
      <c r="D201" s="115"/>
      <c r="E201" s="115" t="s">
        <v>113</v>
      </c>
      <c r="F201" s="115" t="s">
        <v>1</v>
      </c>
      <c r="G201" s="132">
        <v>0.21428571428571427</v>
      </c>
      <c r="H201" s="132">
        <v>50</v>
      </c>
      <c r="I201" s="11"/>
      <c r="J201" s="11">
        <f t="shared" si="73"/>
        <v>0</v>
      </c>
      <c r="K201" s="11"/>
      <c r="L201" s="11"/>
      <c r="M201" s="11"/>
      <c r="N201" s="11"/>
      <c r="O201" s="11">
        <f t="shared" si="72"/>
        <v>0</v>
      </c>
      <c r="P201" s="137"/>
    </row>
    <row r="202" spans="2:16" outlineLevel="1" x14ac:dyDescent="0.3">
      <c r="B202" s="135"/>
      <c r="C202" s="115"/>
      <c r="D202" s="115"/>
      <c r="E202" s="115" t="s">
        <v>114</v>
      </c>
      <c r="F202" s="115" t="s">
        <v>1</v>
      </c>
      <c r="G202" s="132">
        <v>0.21428571428571427</v>
      </c>
      <c r="H202" s="132">
        <v>50</v>
      </c>
      <c r="I202" s="11"/>
      <c r="J202" s="11">
        <f t="shared" si="73"/>
        <v>0</v>
      </c>
      <c r="K202" s="11"/>
      <c r="L202" s="11"/>
      <c r="M202" s="11"/>
      <c r="N202" s="11"/>
      <c r="O202" s="11">
        <f t="shared" si="72"/>
        <v>0</v>
      </c>
      <c r="P202" s="137"/>
    </row>
    <row r="203" spans="2:16" outlineLevel="1" x14ac:dyDescent="0.3">
      <c r="B203" s="135"/>
      <c r="C203" s="115"/>
      <c r="D203" s="115"/>
      <c r="E203" s="115" t="s">
        <v>107</v>
      </c>
      <c r="F203" s="115" t="s">
        <v>1</v>
      </c>
      <c r="G203" s="132">
        <v>2.4350649350649352E-2</v>
      </c>
      <c r="H203" s="132">
        <f>G203*$H$190</f>
        <v>8.800324675324676</v>
      </c>
      <c r="I203" s="11"/>
      <c r="J203" s="11">
        <f t="shared" si="73"/>
        <v>0</v>
      </c>
      <c r="K203" s="11"/>
      <c r="L203" s="11"/>
      <c r="M203" s="11"/>
      <c r="N203" s="11"/>
      <c r="O203" s="11">
        <f t="shared" si="72"/>
        <v>0</v>
      </c>
      <c r="P203" s="137"/>
    </row>
    <row r="204" spans="2:16" outlineLevel="1" x14ac:dyDescent="0.3">
      <c r="B204" s="135"/>
      <c r="C204" s="115"/>
      <c r="D204" s="115"/>
      <c r="E204" s="115" t="s">
        <v>109</v>
      </c>
      <c r="F204" s="115" t="s">
        <v>1</v>
      </c>
      <c r="G204" s="132">
        <v>8.1168831168831168E-2</v>
      </c>
      <c r="H204" s="132">
        <f>G204*$H$190</f>
        <v>29.334415584415581</v>
      </c>
      <c r="I204" s="11"/>
      <c r="J204" s="11">
        <f t="shared" si="73"/>
        <v>0</v>
      </c>
      <c r="K204" s="11"/>
      <c r="L204" s="11"/>
      <c r="M204" s="11"/>
      <c r="N204" s="11"/>
      <c r="O204" s="11">
        <f t="shared" si="72"/>
        <v>0</v>
      </c>
      <c r="P204" s="137"/>
    </row>
    <row r="205" spans="2:16" ht="23.4" outlineLevel="1" x14ac:dyDescent="0.3">
      <c r="B205" s="135"/>
      <c r="C205" s="115"/>
      <c r="D205" s="115"/>
      <c r="E205" s="115" t="s">
        <v>24</v>
      </c>
      <c r="F205" s="115" t="s">
        <v>43</v>
      </c>
      <c r="G205" s="132">
        <v>8.1168831168831161E-3</v>
      </c>
      <c r="H205" s="132">
        <v>1</v>
      </c>
      <c r="I205" s="11"/>
      <c r="J205" s="11">
        <f t="shared" si="73"/>
        <v>0</v>
      </c>
      <c r="K205" s="11"/>
      <c r="L205" s="11"/>
      <c r="M205" s="11"/>
      <c r="N205" s="11"/>
      <c r="O205" s="11">
        <f t="shared" si="72"/>
        <v>0</v>
      </c>
      <c r="P205" s="137"/>
    </row>
    <row r="206" spans="2:16" outlineLevel="1" x14ac:dyDescent="0.3">
      <c r="B206" s="135"/>
      <c r="C206" s="115"/>
      <c r="D206" s="115"/>
      <c r="E206" s="115" t="s">
        <v>115</v>
      </c>
      <c r="F206" s="115" t="s">
        <v>77</v>
      </c>
      <c r="G206" s="132">
        <v>1.6233766233766232E-2</v>
      </c>
      <c r="H206" s="132">
        <v>8</v>
      </c>
      <c r="I206" s="11"/>
      <c r="J206" s="11">
        <f>I206*H206</f>
        <v>0</v>
      </c>
      <c r="K206" s="11"/>
      <c r="L206" s="11">
        <f>K206*H206</f>
        <v>0</v>
      </c>
      <c r="M206" s="11"/>
      <c r="N206" s="11">
        <f>M206*H206</f>
        <v>0</v>
      </c>
      <c r="O206" s="11">
        <f t="shared" si="72"/>
        <v>0</v>
      </c>
      <c r="P206" s="137"/>
    </row>
    <row r="207" spans="2:16" outlineLevel="1" x14ac:dyDescent="0.3">
      <c r="B207" s="135"/>
      <c r="C207" s="115"/>
      <c r="D207" s="115"/>
      <c r="E207" s="115"/>
      <c r="F207" s="115"/>
      <c r="G207" s="132"/>
      <c r="H207" s="132"/>
      <c r="I207" s="11"/>
      <c r="J207" s="11">
        <f>I207*H207</f>
        <v>0</v>
      </c>
      <c r="K207" s="11"/>
      <c r="L207" s="11">
        <f>K207*H207</f>
        <v>0</v>
      </c>
      <c r="M207" s="11"/>
      <c r="N207" s="11">
        <f>M207*H207</f>
        <v>0</v>
      </c>
      <c r="O207" s="11">
        <f t="shared" ref="O207" si="74">N207+L207+J207</f>
        <v>0</v>
      </c>
      <c r="P207" s="137"/>
    </row>
    <row r="208" spans="2:16" x14ac:dyDescent="0.3">
      <c r="B208" s="138"/>
      <c r="C208" s="117"/>
      <c r="D208" s="117"/>
      <c r="E208" s="85" t="s">
        <v>30</v>
      </c>
      <c r="F208" s="117"/>
      <c r="G208" s="139"/>
      <c r="H208" s="139"/>
      <c r="I208" s="139"/>
      <c r="J208" s="139">
        <f>SUBTOTAL(9,J9:J189)</f>
        <v>0</v>
      </c>
      <c r="K208" s="139"/>
      <c r="L208" s="139">
        <f>SUBTOTAL(9,L9:L189)</f>
        <v>0</v>
      </c>
      <c r="M208" s="139"/>
      <c r="N208" s="139">
        <f>SUBTOTAL(9,N9:N189)</f>
        <v>0</v>
      </c>
      <c r="O208" s="139">
        <f>SUBTOTAL(9,O9:O207)</f>
        <v>0</v>
      </c>
      <c r="P208" s="140"/>
    </row>
    <row r="209" spans="2:19" x14ac:dyDescent="0.3">
      <c r="B209" s="135"/>
      <c r="C209" s="115"/>
      <c r="D209" s="115"/>
      <c r="E209" s="84" t="s">
        <v>31</v>
      </c>
      <c r="F209" s="100"/>
      <c r="G209" s="11"/>
      <c r="H209" s="11"/>
      <c r="I209" s="11"/>
      <c r="J209" s="11">
        <f>J208*F209</f>
        <v>0</v>
      </c>
      <c r="K209" s="11"/>
      <c r="L209" s="11"/>
      <c r="M209" s="11"/>
      <c r="N209" s="11"/>
      <c r="O209" s="11">
        <f>J208*F209</f>
        <v>0</v>
      </c>
      <c r="P209" s="137"/>
    </row>
    <row r="210" spans="2:19" x14ac:dyDescent="0.3">
      <c r="B210" s="138"/>
      <c r="C210" s="117"/>
      <c r="D210" s="117"/>
      <c r="E210" s="85" t="s">
        <v>37</v>
      </c>
      <c r="F210" s="85"/>
      <c r="G210" s="139"/>
      <c r="H210" s="139"/>
      <c r="I210" s="139"/>
      <c r="J210" s="139">
        <f>SUM(J208:J209)</f>
        <v>0</v>
      </c>
      <c r="K210" s="139"/>
      <c r="L210" s="139">
        <f>SUM(L208:L209)</f>
        <v>0</v>
      </c>
      <c r="M210" s="139"/>
      <c r="N210" s="139">
        <f>SUM(N208:N209)</f>
        <v>0</v>
      </c>
      <c r="O210" s="139">
        <f>SUM(O208:O209)</f>
        <v>0</v>
      </c>
      <c r="P210" s="140"/>
    </row>
    <row r="211" spans="2:19" x14ac:dyDescent="0.3">
      <c r="B211" s="135"/>
      <c r="C211" s="115"/>
      <c r="D211" s="115"/>
      <c r="E211" s="84" t="s">
        <v>35</v>
      </c>
      <c r="F211" s="100"/>
      <c r="G211" s="11"/>
      <c r="H211" s="11"/>
      <c r="I211" s="11"/>
      <c r="J211" s="11">
        <f>J210*$F$211</f>
        <v>0</v>
      </c>
      <c r="K211" s="11"/>
      <c r="L211" s="11">
        <f>L210*$F$211</f>
        <v>0</v>
      </c>
      <c r="M211" s="11"/>
      <c r="N211" s="11">
        <f>N210*$F$211</f>
        <v>0</v>
      </c>
      <c r="O211" s="11">
        <f>O210*F211</f>
        <v>0</v>
      </c>
      <c r="P211" s="137"/>
    </row>
    <row r="212" spans="2:19" x14ac:dyDescent="0.3">
      <c r="B212" s="138"/>
      <c r="C212" s="117"/>
      <c r="D212" s="117"/>
      <c r="E212" s="85" t="s">
        <v>37</v>
      </c>
      <c r="F212" s="85"/>
      <c r="G212" s="139"/>
      <c r="H212" s="139"/>
      <c r="I212" s="139"/>
      <c r="J212" s="139">
        <f>SUM(J210:J211)</f>
        <v>0</v>
      </c>
      <c r="K212" s="139"/>
      <c r="L212" s="139">
        <f>SUM(L210:L211)</f>
        <v>0</v>
      </c>
      <c r="M212" s="139"/>
      <c r="N212" s="139">
        <f>SUM(N210:N211)</f>
        <v>0</v>
      </c>
      <c r="O212" s="139">
        <f>SUM(O210:O211)</f>
        <v>0</v>
      </c>
      <c r="P212" s="140"/>
    </row>
    <row r="213" spans="2:19" x14ac:dyDescent="0.3">
      <c r="B213" s="135"/>
      <c r="C213" s="115"/>
      <c r="D213" s="115"/>
      <c r="E213" s="84" t="s">
        <v>32</v>
      </c>
      <c r="F213" s="100"/>
      <c r="G213" s="11"/>
      <c r="H213" s="11"/>
      <c r="I213" s="11"/>
      <c r="J213" s="11">
        <f>J212*$F$213</f>
        <v>0</v>
      </c>
      <c r="K213" s="11"/>
      <c r="L213" s="11">
        <f>L212*$F$213</f>
        <v>0</v>
      </c>
      <c r="M213" s="11"/>
      <c r="N213" s="11">
        <f>N212*$F$213</f>
        <v>0</v>
      </c>
      <c r="O213" s="11">
        <f>O212*$F$213</f>
        <v>0</v>
      </c>
      <c r="P213" s="137"/>
    </row>
    <row r="214" spans="2:19" x14ac:dyDescent="0.3">
      <c r="B214" s="138"/>
      <c r="C214" s="117"/>
      <c r="D214" s="117"/>
      <c r="E214" s="85" t="s">
        <v>37</v>
      </c>
      <c r="F214" s="85"/>
      <c r="G214" s="139"/>
      <c r="H214" s="139"/>
      <c r="I214" s="139"/>
      <c r="J214" s="139">
        <f>SUM(J212:J213)</f>
        <v>0</v>
      </c>
      <c r="K214" s="139"/>
      <c r="L214" s="139">
        <f>SUM(L212:L213)</f>
        <v>0</v>
      </c>
      <c r="M214" s="139"/>
      <c r="N214" s="139">
        <f>SUM(N212:N213)</f>
        <v>0</v>
      </c>
      <c r="O214" s="139">
        <f>SUM(O212:O213)</f>
        <v>0</v>
      </c>
      <c r="P214" s="140"/>
    </row>
    <row r="215" spans="2:19" x14ac:dyDescent="0.3">
      <c r="B215" s="135"/>
      <c r="C215" s="115"/>
      <c r="D215" s="115"/>
      <c r="E215" s="84" t="s">
        <v>33</v>
      </c>
      <c r="F215" s="100"/>
      <c r="G215" s="11"/>
      <c r="H215" s="11"/>
      <c r="I215" s="11"/>
      <c r="J215" s="11">
        <f>J214*$F$215</f>
        <v>0</v>
      </c>
      <c r="K215" s="11"/>
      <c r="L215" s="11">
        <f>L214*$F$215</f>
        <v>0</v>
      </c>
      <c r="M215" s="11"/>
      <c r="N215" s="11">
        <f>N214*$F$215</f>
        <v>0</v>
      </c>
      <c r="O215" s="11">
        <f>O214*$F$215</f>
        <v>0</v>
      </c>
      <c r="P215" s="137"/>
    </row>
    <row r="216" spans="2:19" x14ac:dyDescent="0.3">
      <c r="B216" s="138"/>
      <c r="C216" s="117"/>
      <c r="D216" s="117"/>
      <c r="E216" s="85" t="s">
        <v>37</v>
      </c>
      <c r="F216" s="85"/>
      <c r="G216" s="139"/>
      <c r="H216" s="139"/>
      <c r="I216" s="139"/>
      <c r="J216" s="139">
        <f>SUM(J214:J215)</f>
        <v>0</v>
      </c>
      <c r="K216" s="139"/>
      <c r="L216" s="139">
        <f>SUM(L214:L215)</f>
        <v>0</v>
      </c>
      <c r="M216" s="139"/>
      <c r="N216" s="139">
        <f>SUM(N214:N215)</f>
        <v>0</v>
      </c>
      <c r="O216" s="139">
        <f>SUM(O214:O215)</f>
        <v>0</v>
      </c>
      <c r="P216" s="140"/>
    </row>
    <row r="217" spans="2:19" x14ac:dyDescent="0.3">
      <c r="B217" s="135"/>
      <c r="C217" s="115"/>
      <c r="D217" s="115"/>
      <c r="E217" s="84" t="s">
        <v>34</v>
      </c>
      <c r="F217" s="100">
        <v>0.18</v>
      </c>
      <c r="G217" s="11"/>
      <c r="H217" s="11"/>
      <c r="I217" s="11"/>
      <c r="J217" s="11">
        <f>J216*$F$217</f>
        <v>0</v>
      </c>
      <c r="K217" s="11"/>
      <c r="L217" s="11">
        <f>L216*$F$217</f>
        <v>0</v>
      </c>
      <c r="M217" s="11"/>
      <c r="N217" s="11">
        <f>N216*$F$217</f>
        <v>0</v>
      </c>
      <c r="O217" s="11">
        <f>O216*$F$217</f>
        <v>0</v>
      </c>
      <c r="P217" s="137"/>
    </row>
    <row r="218" spans="2:19" x14ac:dyDescent="0.3">
      <c r="B218" s="141"/>
      <c r="C218" s="121"/>
      <c r="D218" s="121"/>
      <c r="E218" s="102" t="s">
        <v>36</v>
      </c>
      <c r="F218" s="121"/>
      <c r="G218" s="142"/>
      <c r="H218" s="142"/>
      <c r="I218" s="142"/>
      <c r="J218" s="142">
        <f>SUM(J216:J217)</f>
        <v>0</v>
      </c>
      <c r="K218" s="142"/>
      <c r="L218" s="142">
        <f>SUM(L216:L217)</f>
        <v>0</v>
      </c>
      <c r="M218" s="142"/>
      <c r="N218" s="142">
        <f>SUM(N216:N217)</f>
        <v>0</v>
      </c>
      <c r="O218" s="142">
        <f>SUM(O216:O217)</f>
        <v>0</v>
      </c>
      <c r="P218" s="143"/>
      <c r="Q218" s="144"/>
    </row>
    <row r="219" spans="2:19" ht="48.75" customHeight="1" x14ac:dyDescent="0.3"/>
    <row r="220" spans="2:19" ht="48.75" customHeight="1" x14ac:dyDescent="0.3">
      <c r="N220" s="145"/>
      <c r="O220" s="146"/>
    </row>
    <row r="221" spans="2:19" ht="48.75" customHeight="1" x14ac:dyDescent="0.3"/>
    <row r="222" spans="2:19" s="126" customFormat="1" ht="48.75" customHeight="1" x14ac:dyDescent="0.3">
      <c r="Q222" s="133"/>
      <c r="R222" s="133"/>
      <c r="S222" s="133"/>
    </row>
    <row r="223" spans="2:19" s="126" customFormat="1" ht="48.75" customHeight="1" x14ac:dyDescent="0.3"/>
    <row r="224" spans="2:19" s="126" customFormat="1" ht="48.75" customHeight="1" x14ac:dyDescent="0.3"/>
    <row r="225" s="126" customFormat="1" ht="48.75" customHeight="1" x14ac:dyDescent="0.3"/>
    <row r="226" s="126" customFormat="1" ht="48.75" customHeight="1" x14ac:dyDescent="0.3"/>
    <row r="227" s="126" customFormat="1" ht="48.75" customHeight="1" x14ac:dyDescent="0.3"/>
    <row r="228" s="126" customFormat="1" ht="48.75" customHeight="1" x14ac:dyDescent="0.3"/>
    <row r="229" s="126" customFormat="1" ht="48.75" customHeight="1" x14ac:dyDescent="0.3"/>
    <row r="230" s="126" customFormat="1" ht="48.75" customHeight="1" x14ac:dyDescent="0.3"/>
    <row r="231" s="126" customFormat="1" ht="48.75" customHeight="1" x14ac:dyDescent="0.3"/>
    <row r="232" s="126" customFormat="1" ht="48.75" customHeight="1" x14ac:dyDescent="0.3"/>
    <row r="233" s="126" customFormat="1" ht="48.75" customHeight="1" x14ac:dyDescent="0.3"/>
    <row r="234" s="126" customFormat="1" ht="48.75" customHeight="1" x14ac:dyDescent="0.3"/>
    <row r="235" s="126" customFormat="1" ht="48.75" customHeight="1" x14ac:dyDescent="0.3"/>
    <row r="236" s="126" customFormat="1" ht="48.75" customHeight="1" x14ac:dyDescent="0.3"/>
    <row r="237" s="126" customFormat="1" ht="48.75" customHeight="1" x14ac:dyDescent="0.3"/>
    <row r="238" s="126" customFormat="1" ht="48.75" customHeight="1" x14ac:dyDescent="0.3"/>
    <row r="239" s="126" customFormat="1" ht="48.75" customHeight="1" x14ac:dyDescent="0.3"/>
    <row r="240" s="126" customFormat="1" ht="48.75" customHeight="1" x14ac:dyDescent="0.3"/>
    <row r="241" s="126" customFormat="1" ht="48.75" customHeight="1" x14ac:dyDescent="0.3"/>
    <row r="242" s="126" customFormat="1" ht="48.75" customHeight="1" x14ac:dyDescent="0.3"/>
    <row r="243" s="126" customFormat="1" ht="48.75" customHeight="1" x14ac:dyDescent="0.3"/>
    <row r="244" s="126" customFormat="1" ht="48.75" customHeight="1" x14ac:dyDescent="0.3"/>
    <row r="245" s="126" customFormat="1" ht="48.75" customHeight="1" x14ac:dyDescent="0.3"/>
    <row r="246" s="126" customFormat="1" ht="48.75" customHeight="1" x14ac:dyDescent="0.3"/>
    <row r="247" s="126" customFormat="1" ht="48.75" customHeight="1" x14ac:dyDescent="0.3"/>
    <row r="248" s="126" customFormat="1" ht="48.75" customHeight="1" x14ac:dyDescent="0.3"/>
    <row r="249" s="126" customFormat="1" ht="48.75" customHeight="1" x14ac:dyDescent="0.3"/>
    <row r="250" s="126" customFormat="1" ht="48.75" customHeight="1" x14ac:dyDescent="0.3"/>
    <row r="251" s="126" customFormat="1" ht="48.75" customHeight="1" x14ac:dyDescent="0.3"/>
    <row r="252" s="126" customFormat="1" ht="48.75" customHeight="1" x14ac:dyDescent="0.3"/>
    <row r="253" s="126" customFormat="1" ht="48.75" customHeight="1" x14ac:dyDescent="0.3"/>
    <row r="254" s="126" customFormat="1" ht="48.75" customHeight="1" x14ac:dyDescent="0.3"/>
    <row r="255" s="126" customFormat="1" ht="48.75" customHeight="1" x14ac:dyDescent="0.3"/>
    <row r="256" s="126" customFormat="1" ht="48.75" customHeight="1" x14ac:dyDescent="0.3"/>
    <row r="257" s="126" customFormat="1" ht="48.75" customHeight="1" x14ac:dyDescent="0.3"/>
    <row r="258" s="126" customFormat="1" ht="48.75" customHeight="1" x14ac:dyDescent="0.3"/>
    <row r="259" s="126" customFormat="1" ht="48.75" customHeight="1" x14ac:dyDescent="0.3"/>
    <row r="260" s="126" customFormat="1" ht="48.75" customHeight="1" x14ac:dyDescent="0.3"/>
    <row r="261" s="126" customFormat="1" ht="48.75" customHeight="1" x14ac:dyDescent="0.3"/>
    <row r="262" s="126" customFormat="1" ht="48.75" customHeight="1" x14ac:dyDescent="0.3"/>
    <row r="263" s="126" customFormat="1" ht="48.75" customHeight="1" x14ac:dyDescent="0.3"/>
    <row r="264" s="126" customFormat="1" ht="48.75" customHeight="1" x14ac:dyDescent="0.3"/>
    <row r="265" s="126" customFormat="1" ht="48.75" customHeight="1" x14ac:dyDescent="0.3"/>
    <row r="266" s="126" customFormat="1" ht="48.75" customHeight="1" x14ac:dyDescent="0.3"/>
    <row r="267" s="126" customFormat="1" ht="48.75" customHeight="1" x14ac:dyDescent="0.3"/>
    <row r="268" s="126" customFormat="1" ht="48.75" customHeight="1" x14ac:dyDescent="0.3"/>
    <row r="269" s="126" customFormat="1" ht="48.75" customHeight="1" x14ac:dyDescent="0.3"/>
    <row r="270" s="126" customFormat="1" ht="48.75" customHeight="1" x14ac:dyDescent="0.3"/>
  </sheetData>
  <autoFilter ref="B8:P218" xr:uid="{361D4AB0-0706-4BFB-AC63-002C191578BD}"/>
  <mergeCells count="17">
    <mergeCell ref="P6:P7"/>
    <mergeCell ref="G6:G7"/>
    <mergeCell ref="H6:H7"/>
    <mergeCell ref="I6:J6"/>
    <mergeCell ref="K6:L6"/>
    <mergeCell ref="M6:N6"/>
    <mergeCell ref="O6:O7"/>
    <mergeCell ref="B2:D5"/>
    <mergeCell ref="E2:M4"/>
    <mergeCell ref="N2:P5"/>
    <mergeCell ref="E5:I5"/>
    <mergeCell ref="J5:L5"/>
    <mergeCell ref="B6:B7"/>
    <mergeCell ref="C6:C7"/>
    <mergeCell ref="D6:D7"/>
    <mergeCell ref="E6:E7"/>
    <mergeCell ref="F6:F7"/>
  </mergeCells>
  <dataValidations count="1">
    <dataValidation type="list" allowBlank="1" showInputMessage="1" showErrorMessage="1" sqref="E1:E1048576" xr:uid="{F067D242-7378-4468-8951-CA0EB8C4E3C0}">
      <formula1>UNIT_PRICES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ADB9-918E-4080-A506-03C76178D905}">
  <dimension ref="B2:R101"/>
  <sheetViews>
    <sheetView showGridLines="0" showZeros="0" zoomScale="55" zoomScaleNormal="55" workbookViewId="0">
      <selection activeCell="N17" sqref="N17"/>
    </sheetView>
  </sheetViews>
  <sheetFormatPr defaultRowHeight="21" outlineLevelRow="1" x14ac:dyDescent="0.4"/>
  <cols>
    <col min="2" max="4" width="19.77734375" style="1" customWidth="1"/>
    <col min="5" max="5" width="79.77734375" style="1" customWidth="1"/>
    <col min="6" max="15" width="19.77734375" style="1" customWidth="1"/>
    <col min="16" max="16" width="11.5546875" bestFit="1" customWidth="1"/>
    <col min="17" max="17" width="10.33203125" bestFit="1" customWidth="1"/>
    <col min="18" max="18" width="13.21875" bestFit="1" customWidth="1"/>
  </cols>
  <sheetData>
    <row r="2" spans="2:15" ht="48.75" customHeight="1" x14ac:dyDescent="0.3">
      <c r="B2" s="215"/>
      <c r="C2" s="216"/>
      <c r="D2" s="216"/>
      <c r="E2" s="204" t="s">
        <v>383</v>
      </c>
      <c r="F2" s="204"/>
      <c r="G2" s="204"/>
      <c r="H2" s="204"/>
      <c r="I2" s="204"/>
      <c r="J2" s="204"/>
      <c r="K2" s="204"/>
      <c r="L2" s="204"/>
      <c r="M2" s="204"/>
      <c r="N2" s="206"/>
      <c r="O2" s="206"/>
    </row>
    <row r="3" spans="2:15" ht="48.75" customHeight="1" x14ac:dyDescent="0.3">
      <c r="B3" s="217"/>
      <c r="C3" s="218"/>
      <c r="D3" s="218"/>
      <c r="E3" s="205"/>
      <c r="F3" s="205"/>
      <c r="G3" s="205"/>
      <c r="H3" s="205"/>
      <c r="I3" s="205"/>
      <c r="J3" s="205"/>
      <c r="K3" s="205"/>
      <c r="L3" s="205"/>
      <c r="M3" s="205"/>
      <c r="N3" s="208"/>
      <c r="O3" s="208"/>
    </row>
    <row r="4" spans="2:15" ht="48.6" customHeight="1" x14ac:dyDescent="0.3">
      <c r="B4" s="217"/>
      <c r="C4" s="218"/>
      <c r="D4" s="218"/>
      <c r="E4" s="205"/>
      <c r="F4" s="205"/>
      <c r="G4" s="205"/>
      <c r="H4" s="205"/>
      <c r="I4" s="205"/>
      <c r="J4" s="205"/>
      <c r="K4" s="205"/>
      <c r="L4" s="205"/>
      <c r="M4" s="205"/>
      <c r="N4" s="208"/>
      <c r="O4" s="208"/>
    </row>
    <row r="5" spans="2:15" ht="48.75" customHeight="1" x14ac:dyDescent="0.3">
      <c r="B5" s="217"/>
      <c r="C5" s="218"/>
      <c r="D5" s="218"/>
      <c r="E5" s="210" t="s">
        <v>353</v>
      </c>
      <c r="F5" s="210"/>
      <c r="G5" s="210"/>
      <c r="H5" s="210"/>
      <c r="I5" s="210"/>
      <c r="J5" s="208" t="s">
        <v>350</v>
      </c>
      <c r="K5" s="208"/>
      <c r="L5" s="208"/>
      <c r="M5" s="11">
        <f>O42</f>
        <v>0</v>
      </c>
      <c r="N5" s="208"/>
      <c r="O5" s="208"/>
    </row>
    <row r="6" spans="2:15" ht="48.75" customHeight="1" x14ac:dyDescent="0.3">
      <c r="B6" s="219" t="s">
        <v>2</v>
      </c>
      <c r="C6" s="214" t="s">
        <v>3</v>
      </c>
      <c r="D6" s="214" t="s">
        <v>0</v>
      </c>
      <c r="E6" s="214" t="s">
        <v>4</v>
      </c>
      <c r="F6" s="214" t="s">
        <v>5</v>
      </c>
      <c r="G6" s="214" t="s">
        <v>6</v>
      </c>
      <c r="H6" s="214" t="s">
        <v>7</v>
      </c>
      <c r="I6" s="214" t="s">
        <v>11</v>
      </c>
      <c r="J6" s="214"/>
      <c r="K6" s="214" t="s">
        <v>86</v>
      </c>
      <c r="L6" s="214"/>
      <c r="M6" s="214" t="s">
        <v>12</v>
      </c>
      <c r="N6" s="214"/>
      <c r="O6" s="214" t="s">
        <v>10</v>
      </c>
    </row>
    <row r="7" spans="2:15" ht="48.75" customHeight="1" x14ac:dyDescent="0.3">
      <c r="B7" s="219"/>
      <c r="C7" s="214"/>
      <c r="D7" s="214"/>
      <c r="E7" s="214"/>
      <c r="F7" s="214"/>
      <c r="G7" s="214"/>
      <c r="H7" s="214"/>
      <c r="I7" s="12" t="s">
        <v>8</v>
      </c>
      <c r="J7" s="12" t="s">
        <v>9</v>
      </c>
      <c r="K7" s="12" t="s">
        <v>8</v>
      </c>
      <c r="L7" s="12" t="s">
        <v>9</v>
      </c>
      <c r="M7" s="12" t="s">
        <v>8</v>
      </c>
      <c r="N7" s="12" t="s">
        <v>9</v>
      </c>
      <c r="O7" s="214"/>
    </row>
    <row r="8" spans="2:15" ht="48.75" customHeight="1" x14ac:dyDescent="0.3">
      <c r="B8" s="25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</row>
    <row r="9" spans="2:15" x14ac:dyDescent="0.3">
      <c r="B9" s="74"/>
      <c r="C9" s="75"/>
      <c r="D9" s="75"/>
      <c r="E9" s="76" t="s">
        <v>367</v>
      </c>
      <c r="F9" s="75" t="s">
        <v>40</v>
      </c>
      <c r="G9" s="75"/>
      <c r="H9" s="75"/>
      <c r="I9" s="80"/>
      <c r="J9" s="80"/>
      <c r="K9" s="80"/>
      <c r="L9" s="80"/>
      <c r="M9" s="80"/>
      <c r="N9" s="80"/>
      <c r="O9" s="80"/>
    </row>
    <row r="10" spans="2:15" s="133" customFormat="1" ht="23.4" outlineLevel="1" x14ac:dyDescent="0.3">
      <c r="B10" s="135"/>
      <c r="C10" s="115"/>
      <c r="D10" s="115"/>
      <c r="E10" s="112" t="s">
        <v>382</v>
      </c>
      <c r="F10" s="112" t="s">
        <v>42</v>
      </c>
      <c r="G10" s="132">
        <v>5.9</v>
      </c>
      <c r="H10" s="130">
        <v>5.9</v>
      </c>
      <c r="I10" s="11"/>
      <c r="J10" s="131">
        <f>SUBTOTAL(9,J16:J20)</f>
        <v>0</v>
      </c>
      <c r="K10" s="11"/>
      <c r="L10" s="131"/>
      <c r="M10" s="11"/>
      <c r="N10" s="131"/>
      <c r="O10" s="131"/>
    </row>
    <row r="11" spans="2:15" s="133" customFormat="1" ht="23.4" outlineLevel="1" x14ac:dyDescent="0.3">
      <c r="B11" s="135"/>
      <c r="C11" s="115"/>
      <c r="D11" s="115"/>
      <c r="E11" s="115" t="s">
        <v>147</v>
      </c>
      <c r="F11" s="115" t="s">
        <v>45</v>
      </c>
      <c r="G11" s="132"/>
      <c r="H11" s="132">
        <v>100</v>
      </c>
      <c r="I11" s="11"/>
      <c r="J11" s="11">
        <f t="shared" ref="J11:J20" si="0">I11*H11</f>
        <v>0</v>
      </c>
      <c r="K11" s="11"/>
      <c r="L11" s="11"/>
      <c r="M11" s="11"/>
      <c r="N11" s="11"/>
      <c r="O11" s="11"/>
    </row>
    <row r="12" spans="2:15" s="133" customFormat="1" ht="42" outlineLevel="1" x14ac:dyDescent="0.3">
      <c r="B12" s="135"/>
      <c r="C12" s="115"/>
      <c r="D12" s="115"/>
      <c r="E12" s="115" t="s">
        <v>276</v>
      </c>
      <c r="F12" s="115" t="s">
        <v>45</v>
      </c>
      <c r="G12" s="132"/>
      <c r="H12" s="132">
        <v>100</v>
      </c>
      <c r="I12" s="11"/>
      <c r="J12" s="11">
        <f t="shared" si="0"/>
        <v>0</v>
      </c>
      <c r="K12" s="11"/>
      <c r="L12" s="11"/>
      <c r="M12" s="11"/>
      <c r="N12" s="11"/>
      <c r="O12" s="11"/>
    </row>
    <row r="13" spans="2:15" s="133" customFormat="1" ht="23.4" outlineLevel="1" x14ac:dyDescent="0.3">
      <c r="B13" s="135"/>
      <c r="C13" s="115"/>
      <c r="D13" s="115"/>
      <c r="E13" s="115" t="s">
        <v>406</v>
      </c>
      <c r="F13" s="115" t="s">
        <v>45</v>
      </c>
      <c r="G13" s="132"/>
      <c r="H13" s="132">
        <v>100</v>
      </c>
      <c r="I13" s="11"/>
      <c r="J13" s="11">
        <f t="shared" si="0"/>
        <v>0</v>
      </c>
      <c r="K13" s="11"/>
      <c r="L13" s="11"/>
      <c r="M13" s="11"/>
      <c r="N13" s="11"/>
      <c r="O13" s="11"/>
    </row>
    <row r="14" spans="2:15" s="133" customFormat="1" outlineLevel="1" x14ac:dyDescent="0.3">
      <c r="B14" s="135"/>
      <c r="C14" s="115"/>
      <c r="D14" s="115"/>
      <c r="E14" s="115" t="s">
        <v>407</v>
      </c>
      <c r="F14" s="115" t="s">
        <v>23</v>
      </c>
      <c r="G14" s="132"/>
      <c r="H14" s="132">
        <v>30</v>
      </c>
      <c r="I14" s="11"/>
      <c r="J14" s="11">
        <f t="shared" si="0"/>
        <v>0</v>
      </c>
      <c r="K14" s="11"/>
      <c r="L14" s="11"/>
      <c r="M14" s="11"/>
      <c r="N14" s="11"/>
      <c r="O14" s="11"/>
    </row>
    <row r="15" spans="2:15" s="133" customFormat="1" outlineLevel="1" x14ac:dyDescent="0.3">
      <c r="B15" s="135"/>
      <c r="C15" s="115"/>
      <c r="D15" s="115"/>
      <c r="E15" s="115" t="s">
        <v>407</v>
      </c>
      <c r="F15" s="115" t="s">
        <v>1</v>
      </c>
      <c r="G15" s="132"/>
      <c r="H15" s="132">
        <v>6</v>
      </c>
      <c r="I15" s="11"/>
      <c r="J15" s="11">
        <f t="shared" si="0"/>
        <v>0</v>
      </c>
      <c r="K15" s="11"/>
      <c r="L15" s="11"/>
      <c r="M15" s="11"/>
      <c r="N15" s="11"/>
      <c r="O15" s="11"/>
    </row>
    <row r="16" spans="2:15" s="133" customFormat="1" ht="23.4" outlineLevel="1" x14ac:dyDescent="0.3">
      <c r="B16" s="135"/>
      <c r="C16" s="115"/>
      <c r="D16" s="115"/>
      <c r="E16" s="115" t="s">
        <v>399</v>
      </c>
      <c r="F16" s="115" t="s">
        <v>43</v>
      </c>
      <c r="G16" s="132">
        <v>1.03</v>
      </c>
      <c r="H16" s="132">
        <f>G16*H10</f>
        <v>6.0770000000000008</v>
      </c>
      <c r="I16" s="11"/>
      <c r="J16" s="11">
        <f t="shared" si="0"/>
        <v>0</v>
      </c>
      <c r="K16" s="11"/>
      <c r="L16" s="11"/>
      <c r="M16" s="11"/>
      <c r="N16" s="11"/>
      <c r="O16" s="11"/>
    </row>
    <row r="17" spans="2:15" s="133" customFormat="1" outlineLevel="1" x14ac:dyDescent="0.3">
      <c r="B17" s="135"/>
      <c r="C17" s="115"/>
      <c r="D17" s="115"/>
      <c r="E17" s="115" t="s">
        <v>403</v>
      </c>
      <c r="F17" s="115" t="s">
        <v>46</v>
      </c>
      <c r="G17" s="132"/>
      <c r="H17" s="132">
        <v>1</v>
      </c>
      <c r="I17" s="11"/>
      <c r="J17" s="11">
        <f t="shared" si="0"/>
        <v>0</v>
      </c>
      <c r="K17" s="11"/>
      <c r="L17" s="11"/>
      <c r="M17" s="11"/>
      <c r="N17" s="11"/>
      <c r="O17" s="11"/>
    </row>
    <row r="18" spans="2:15" s="133" customFormat="1" ht="23.4" outlineLevel="1" x14ac:dyDescent="0.3">
      <c r="B18" s="135"/>
      <c r="C18" s="115"/>
      <c r="D18" s="115"/>
      <c r="E18" s="115" t="s">
        <v>400</v>
      </c>
      <c r="F18" s="115" t="s">
        <v>45</v>
      </c>
      <c r="G18" s="132" t="s">
        <v>188</v>
      </c>
      <c r="H18" s="132">
        <v>100</v>
      </c>
      <c r="I18" s="11"/>
      <c r="J18" s="11">
        <f t="shared" si="0"/>
        <v>0</v>
      </c>
      <c r="K18" s="11"/>
      <c r="L18" s="11"/>
      <c r="M18" s="11"/>
      <c r="N18" s="11"/>
      <c r="O18" s="11"/>
    </row>
    <row r="19" spans="2:15" s="133" customFormat="1" ht="23.4" outlineLevel="1" x14ac:dyDescent="0.3">
      <c r="B19" s="135"/>
      <c r="C19" s="115"/>
      <c r="D19" s="115"/>
      <c r="E19" s="115" t="s">
        <v>402</v>
      </c>
      <c r="F19" s="115" t="s">
        <v>45</v>
      </c>
      <c r="G19" s="132" t="s">
        <v>188</v>
      </c>
      <c r="H19" s="132">
        <v>100</v>
      </c>
      <c r="I19" s="11"/>
      <c r="J19" s="11">
        <f t="shared" si="0"/>
        <v>0</v>
      </c>
      <c r="K19" s="11"/>
      <c r="L19" s="11"/>
      <c r="M19" s="11"/>
      <c r="N19" s="11"/>
      <c r="O19" s="11"/>
    </row>
    <row r="20" spans="2:15" s="133" customFormat="1" ht="23.4" outlineLevel="1" x14ac:dyDescent="0.3">
      <c r="B20" s="135"/>
      <c r="C20" s="115"/>
      <c r="D20" s="115"/>
      <c r="E20" s="115" t="s">
        <v>401</v>
      </c>
      <c r="F20" s="115" t="s">
        <v>45</v>
      </c>
      <c r="G20" s="132" t="s">
        <v>188</v>
      </c>
      <c r="H20" s="132">
        <v>100</v>
      </c>
      <c r="I20" s="11"/>
      <c r="J20" s="11">
        <f t="shared" si="0"/>
        <v>0</v>
      </c>
      <c r="K20" s="11"/>
      <c r="L20" s="11"/>
      <c r="M20" s="11"/>
      <c r="N20" s="11"/>
      <c r="O20" s="11"/>
    </row>
    <row r="21" spans="2:15" s="133" customFormat="1" outlineLevel="1" x14ac:dyDescent="0.3">
      <c r="B21" s="135"/>
      <c r="C21" s="115"/>
      <c r="D21" s="115"/>
      <c r="E21" s="115"/>
      <c r="F21" s="115"/>
      <c r="G21" s="132"/>
      <c r="H21" s="132"/>
      <c r="I21" s="11"/>
      <c r="J21" s="11"/>
      <c r="K21" s="11"/>
      <c r="L21" s="11"/>
      <c r="M21" s="11"/>
      <c r="N21" s="11"/>
      <c r="O21" s="11"/>
    </row>
    <row r="22" spans="2:15" outlineLevel="1" x14ac:dyDescent="0.4">
      <c r="B22" s="26"/>
      <c r="C22" s="18"/>
      <c r="D22" s="18"/>
      <c r="E22" s="14" t="s">
        <v>206</v>
      </c>
      <c r="F22" s="13" t="s">
        <v>1</v>
      </c>
      <c r="G22" s="15"/>
      <c r="H22" s="15">
        <v>2</v>
      </c>
      <c r="I22" s="16"/>
      <c r="J22" s="17">
        <f>SUBTOTAL(9,J23:J25)</f>
        <v>0</v>
      </c>
      <c r="K22" s="16"/>
      <c r="L22" s="17"/>
      <c r="M22" s="16"/>
      <c r="N22" s="17"/>
      <c r="O22" s="17"/>
    </row>
    <row r="23" spans="2:15" outlineLevel="1" x14ac:dyDescent="0.4">
      <c r="B23" s="26"/>
      <c r="C23" s="18"/>
      <c r="D23" s="18"/>
      <c r="E23" s="18" t="s">
        <v>97</v>
      </c>
      <c r="F23" s="18" t="s">
        <v>1</v>
      </c>
      <c r="G23" s="19">
        <v>0.5</v>
      </c>
      <c r="H23" s="19">
        <f>G23*H22</f>
        <v>1</v>
      </c>
      <c r="I23" s="16"/>
      <c r="J23" s="16">
        <f t="shared" ref="J23:J31" si="1">I23*H23</f>
        <v>0</v>
      </c>
      <c r="K23" s="16"/>
      <c r="L23" s="16"/>
      <c r="M23" s="16"/>
      <c r="N23" s="16"/>
      <c r="O23" s="20"/>
    </row>
    <row r="24" spans="2:15" outlineLevel="1" x14ac:dyDescent="0.4">
      <c r="B24" s="26"/>
      <c r="C24" s="18"/>
      <c r="D24" s="18"/>
      <c r="E24" s="18" t="s">
        <v>98</v>
      </c>
      <c r="F24" s="18" t="s">
        <v>1</v>
      </c>
      <c r="G24" s="19">
        <v>1</v>
      </c>
      <c r="H24" s="19">
        <f>G24*H22</f>
        <v>2</v>
      </c>
      <c r="I24" s="16"/>
      <c r="J24" s="16">
        <f t="shared" si="1"/>
        <v>0</v>
      </c>
      <c r="K24" s="16"/>
      <c r="L24" s="16"/>
      <c r="M24" s="16"/>
      <c r="N24" s="16"/>
      <c r="O24" s="20"/>
    </row>
    <row r="25" spans="2:15" outlineLevel="1" x14ac:dyDescent="0.4">
      <c r="B25" s="26"/>
      <c r="C25" s="18"/>
      <c r="D25" s="18"/>
      <c r="E25" s="18"/>
      <c r="F25" s="18"/>
      <c r="G25" s="19"/>
      <c r="H25" s="19"/>
      <c r="I25" s="16"/>
      <c r="J25" s="16">
        <f t="shared" si="1"/>
        <v>0</v>
      </c>
      <c r="K25" s="16"/>
      <c r="L25" s="16"/>
      <c r="M25" s="16"/>
      <c r="N25" s="16"/>
      <c r="O25" s="20"/>
    </row>
    <row r="26" spans="2:15" ht="42" outlineLevel="1" x14ac:dyDescent="0.4">
      <c r="B26" s="26"/>
      <c r="C26" s="18"/>
      <c r="D26" s="18"/>
      <c r="E26" s="14" t="s">
        <v>193</v>
      </c>
      <c r="F26" s="13" t="s">
        <v>41</v>
      </c>
      <c r="G26" s="15"/>
      <c r="H26" s="15">
        <f>14*2</f>
        <v>28</v>
      </c>
      <c r="I26" s="16"/>
      <c r="J26" s="17">
        <f>SUBTOTAL(9,J27:J30)</f>
        <v>0</v>
      </c>
      <c r="K26" s="16"/>
      <c r="L26" s="17"/>
      <c r="M26" s="16"/>
      <c r="N26" s="17"/>
      <c r="O26" s="17"/>
    </row>
    <row r="27" spans="2:15" outlineLevel="1" x14ac:dyDescent="0.4">
      <c r="B27" s="26"/>
      <c r="C27" s="18"/>
      <c r="D27" s="18"/>
      <c r="E27" s="18" t="s">
        <v>123</v>
      </c>
      <c r="F27" s="18" t="s">
        <v>41</v>
      </c>
      <c r="G27" s="19">
        <v>1.05</v>
      </c>
      <c r="H27" s="19">
        <f>G27*H26</f>
        <v>29.400000000000002</v>
      </c>
      <c r="I27" s="16"/>
      <c r="J27" s="16">
        <f t="shared" si="1"/>
        <v>0</v>
      </c>
      <c r="K27" s="16"/>
      <c r="L27" s="16"/>
      <c r="M27" s="16"/>
      <c r="N27" s="16"/>
      <c r="O27" s="20"/>
    </row>
    <row r="28" spans="2:15" outlineLevel="1" x14ac:dyDescent="0.4">
      <c r="B28" s="26"/>
      <c r="C28" s="18"/>
      <c r="D28" s="18"/>
      <c r="E28" s="18" t="s">
        <v>94</v>
      </c>
      <c r="F28" s="18" t="s">
        <v>1</v>
      </c>
      <c r="G28" s="19">
        <v>0.5</v>
      </c>
      <c r="H28" s="19">
        <f>G28*H26</f>
        <v>14</v>
      </c>
      <c r="I28" s="16"/>
      <c r="J28" s="16">
        <f t="shared" si="1"/>
        <v>0</v>
      </c>
      <c r="K28" s="16"/>
      <c r="L28" s="16"/>
      <c r="M28" s="16"/>
      <c r="N28" s="16"/>
      <c r="O28" s="20"/>
    </row>
    <row r="29" spans="2:15" outlineLevel="1" x14ac:dyDescent="0.4">
      <c r="B29" s="26"/>
      <c r="C29" s="18"/>
      <c r="D29" s="18"/>
      <c r="E29" s="18" t="s">
        <v>95</v>
      </c>
      <c r="F29" s="18" t="s">
        <v>1</v>
      </c>
      <c r="G29" s="19">
        <f>1/30*3</f>
        <v>0.1</v>
      </c>
      <c r="H29" s="19">
        <f>G29*H26</f>
        <v>2.8000000000000003</v>
      </c>
      <c r="I29" s="16"/>
      <c r="J29" s="16">
        <f t="shared" si="1"/>
        <v>0</v>
      </c>
      <c r="K29" s="16"/>
      <c r="L29" s="16"/>
      <c r="M29" s="16"/>
      <c r="N29" s="16"/>
      <c r="O29" s="20"/>
    </row>
    <row r="30" spans="2:15" outlineLevel="1" x14ac:dyDescent="0.4">
      <c r="B30" s="26"/>
      <c r="C30" s="18"/>
      <c r="D30" s="18"/>
      <c r="E30" s="18" t="s">
        <v>96</v>
      </c>
      <c r="F30" s="18" t="s">
        <v>41</v>
      </c>
      <c r="G30" s="19">
        <v>1</v>
      </c>
      <c r="H30" s="19">
        <f>G30*H26</f>
        <v>28</v>
      </c>
      <c r="I30" s="16"/>
      <c r="J30" s="16">
        <f t="shared" si="1"/>
        <v>0</v>
      </c>
      <c r="K30" s="16"/>
      <c r="L30" s="16"/>
      <c r="M30" s="16"/>
      <c r="N30" s="16"/>
      <c r="O30" s="20"/>
    </row>
    <row r="31" spans="2:15" outlineLevel="1" x14ac:dyDescent="0.4">
      <c r="B31" s="26"/>
      <c r="C31" s="18"/>
      <c r="D31" s="18"/>
      <c r="E31" s="18"/>
      <c r="F31" s="18"/>
      <c r="G31" s="19"/>
      <c r="H31" s="19"/>
      <c r="I31" s="16"/>
      <c r="J31" s="16">
        <f t="shared" si="1"/>
        <v>0</v>
      </c>
      <c r="K31" s="16"/>
      <c r="L31" s="16"/>
      <c r="M31" s="16"/>
      <c r="N31" s="16"/>
      <c r="O31" s="20"/>
    </row>
    <row r="32" spans="2:15" x14ac:dyDescent="0.4">
      <c r="B32" s="29"/>
      <c r="C32" s="21"/>
      <c r="D32" s="21"/>
      <c r="E32" s="12" t="s">
        <v>30</v>
      </c>
      <c r="F32" s="21"/>
      <c r="G32" s="22"/>
      <c r="H32" s="22"/>
      <c r="I32" s="22"/>
      <c r="J32" s="22">
        <f>SUBTOTAL(9,J9:J31)</f>
        <v>0</v>
      </c>
      <c r="K32" s="22"/>
      <c r="L32" s="22">
        <f>SUBTOTAL(9,L9:L31)</f>
        <v>0</v>
      </c>
      <c r="M32" s="22"/>
      <c r="N32" s="22">
        <f>SUBTOTAL(9,N9:N31)</f>
        <v>0</v>
      </c>
      <c r="O32" s="22">
        <f>SUBTOTAL(9,O9:O31)</f>
        <v>0</v>
      </c>
    </row>
    <row r="33" spans="2:16" x14ac:dyDescent="0.4">
      <c r="B33" s="26"/>
      <c r="C33" s="18"/>
      <c r="D33" s="18"/>
      <c r="E33" s="23" t="s">
        <v>31</v>
      </c>
      <c r="F33" s="24"/>
      <c r="G33" s="20"/>
      <c r="H33" s="20"/>
      <c r="I33" s="20"/>
      <c r="J33" s="20">
        <f>J32*F33</f>
        <v>0</v>
      </c>
      <c r="K33" s="20"/>
      <c r="L33" s="20"/>
      <c r="M33" s="20"/>
      <c r="N33" s="20"/>
      <c r="O33" s="20">
        <f>J32*F33</f>
        <v>0</v>
      </c>
    </row>
    <row r="34" spans="2:16" x14ac:dyDescent="0.4">
      <c r="B34" s="29"/>
      <c r="C34" s="21"/>
      <c r="D34" s="21"/>
      <c r="E34" s="12" t="s">
        <v>37</v>
      </c>
      <c r="F34" s="12"/>
      <c r="G34" s="22"/>
      <c r="H34" s="22"/>
      <c r="I34" s="22"/>
      <c r="J34" s="22">
        <f>SUM(J32:J33)</f>
        <v>0</v>
      </c>
      <c r="K34" s="22"/>
      <c r="L34" s="22">
        <f>SUM(L32:L33)</f>
        <v>0</v>
      </c>
      <c r="M34" s="22"/>
      <c r="N34" s="22">
        <f>SUM(N32:N33)</f>
        <v>0</v>
      </c>
      <c r="O34" s="22">
        <f>SUM(O32:O33)</f>
        <v>0</v>
      </c>
    </row>
    <row r="35" spans="2:16" x14ac:dyDescent="0.4">
      <c r="B35" s="26"/>
      <c r="C35" s="18"/>
      <c r="D35" s="18"/>
      <c r="E35" s="23" t="s">
        <v>35</v>
      </c>
      <c r="F35" s="24">
        <v>0</v>
      </c>
      <c r="G35" s="20"/>
      <c r="H35" s="20"/>
      <c r="I35" s="20"/>
      <c r="J35" s="20">
        <f>J34*$F$35</f>
        <v>0</v>
      </c>
      <c r="K35" s="20"/>
      <c r="L35" s="20">
        <f>L34*$F$35</f>
        <v>0</v>
      </c>
      <c r="M35" s="20"/>
      <c r="N35" s="20">
        <f>N34*$F$35</f>
        <v>0</v>
      </c>
      <c r="O35" s="20">
        <f>O34*F35</f>
        <v>0</v>
      </c>
    </row>
    <row r="36" spans="2:16" x14ac:dyDescent="0.4">
      <c r="B36" s="29"/>
      <c r="C36" s="21"/>
      <c r="D36" s="21"/>
      <c r="E36" s="12" t="s">
        <v>37</v>
      </c>
      <c r="F36" s="12"/>
      <c r="G36" s="22"/>
      <c r="H36" s="22"/>
      <c r="I36" s="22"/>
      <c r="J36" s="22">
        <f>SUM(J34:J35)</f>
        <v>0</v>
      </c>
      <c r="K36" s="22"/>
      <c r="L36" s="22">
        <f>SUM(L34:L35)</f>
        <v>0</v>
      </c>
      <c r="M36" s="22"/>
      <c r="N36" s="22">
        <f>SUM(N34:N35)</f>
        <v>0</v>
      </c>
      <c r="O36" s="22">
        <f>SUM(O34:O35)</f>
        <v>0</v>
      </c>
    </row>
    <row r="37" spans="2:16" x14ac:dyDescent="0.4">
      <c r="B37" s="26"/>
      <c r="C37" s="18"/>
      <c r="D37" s="18"/>
      <c r="E37" s="23" t="s">
        <v>32</v>
      </c>
      <c r="F37" s="24"/>
      <c r="G37" s="20"/>
      <c r="H37" s="20"/>
      <c r="I37" s="20"/>
      <c r="J37" s="20">
        <f>J36*$F$37</f>
        <v>0</v>
      </c>
      <c r="K37" s="20"/>
      <c r="L37" s="20">
        <f>L36*$F$37</f>
        <v>0</v>
      </c>
      <c r="M37" s="20"/>
      <c r="N37" s="20">
        <f>N36*$F$37</f>
        <v>0</v>
      </c>
      <c r="O37" s="20">
        <f>O36*$F$37</f>
        <v>0</v>
      </c>
    </row>
    <row r="38" spans="2:16" x14ac:dyDescent="0.4">
      <c r="B38" s="29"/>
      <c r="C38" s="21"/>
      <c r="D38" s="21"/>
      <c r="E38" s="12" t="s">
        <v>37</v>
      </c>
      <c r="F38" s="12"/>
      <c r="G38" s="22"/>
      <c r="H38" s="22"/>
      <c r="I38" s="22"/>
      <c r="J38" s="22">
        <f>SUM(J36:J37)</f>
        <v>0</v>
      </c>
      <c r="K38" s="22"/>
      <c r="L38" s="22">
        <f>SUM(L36:L37)</f>
        <v>0</v>
      </c>
      <c r="M38" s="22"/>
      <c r="N38" s="22">
        <f>SUM(N36:N37)</f>
        <v>0</v>
      </c>
      <c r="O38" s="22">
        <f>SUM(O36:O37)</f>
        <v>0</v>
      </c>
    </row>
    <row r="39" spans="2:16" x14ac:dyDescent="0.4">
      <c r="B39" s="26"/>
      <c r="C39" s="18"/>
      <c r="D39" s="18"/>
      <c r="E39" s="23" t="s">
        <v>33</v>
      </c>
      <c r="F39" s="24"/>
      <c r="G39" s="20"/>
      <c r="H39" s="20"/>
      <c r="I39" s="20"/>
      <c r="J39" s="20">
        <f>J38*$F$39</f>
        <v>0</v>
      </c>
      <c r="K39" s="20"/>
      <c r="L39" s="20">
        <f>L38*$F$39</f>
        <v>0</v>
      </c>
      <c r="M39" s="20"/>
      <c r="N39" s="20">
        <f>N38*$F$39</f>
        <v>0</v>
      </c>
      <c r="O39" s="20">
        <f>O38*$F$39</f>
        <v>0</v>
      </c>
    </row>
    <row r="40" spans="2:16" x14ac:dyDescent="0.4">
      <c r="B40" s="29"/>
      <c r="C40" s="21"/>
      <c r="D40" s="21"/>
      <c r="E40" s="12" t="s">
        <v>37</v>
      </c>
      <c r="F40" s="12"/>
      <c r="G40" s="22"/>
      <c r="H40" s="22"/>
      <c r="I40" s="22"/>
      <c r="J40" s="22">
        <f>SUM(J38:J39)</f>
        <v>0</v>
      </c>
      <c r="K40" s="22"/>
      <c r="L40" s="22">
        <f>SUM(L38:L39)</f>
        <v>0</v>
      </c>
      <c r="M40" s="22"/>
      <c r="N40" s="22">
        <f>SUM(N38:N39)</f>
        <v>0</v>
      </c>
      <c r="O40" s="22">
        <f>SUM(O38:O39)</f>
        <v>0</v>
      </c>
    </row>
    <row r="41" spans="2:16" x14ac:dyDescent="0.4">
      <c r="B41" s="26"/>
      <c r="C41" s="18"/>
      <c r="D41" s="18"/>
      <c r="E41" s="23" t="s">
        <v>34</v>
      </c>
      <c r="F41" s="24">
        <v>0.18</v>
      </c>
      <c r="G41" s="20"/>
      <c r="H41" s="20"/>
      <c r="I41" s="20"/>
      <c r="J41" s="20">
        <f>J40*$F$41</f>
        <v>0</v>
      </c>
      <c r="K41" s="20"/>
      <c r="L41" s="20">
        <f>L40*$F$41</f>
        <v>0</v>
      </c>
      <c r="M41" s="20"/>
      <c r="N41" s="20">
        <f>N40*$F$41</f>
        <v>0</v>
      </c>
      <c r="O41" s="20">
        <f>O40*$F$41</f>
        <v>0</v>
      </c>
    </row>
    <row r="42" spans="2:16" x14ac:dyDescent="0.4">
      <c r="B42" s="30"/>
      <c r="C42" s="31"/>
      <c r="D42" s="31"/>
      <c r="E42" s="32" t="s">
        <v>36</v>
      </c>
      <c r="F42" s="31"/>
      <c r="G42" s="33"/>
      <c r="H42" s="33"/>
      <c r="I42" s="33"/>
      <c r="J42" s="33">
        <f>SUM(J40:J41)</f>
        <v>0</v>
      </c>
      <c r="K42" s="33"/>
      <c r="L42" s="33">
        <f>SUM(L40:L41)</f>
        <v>0</v>
      </c>
      <c r="M42" s="33"/>
      <c r="N42" s="33">
        <f>SUM(N40:N41)</f>
        <v>0</v>
      </c>
      <c r="O42" s="33">
        <f>SUM(O40:O41)</f>
        <v>0</v>
      </c>
      <c r="P42" s="6">
        <f>O42-N42-L42-J42</f>
        <v>0</v>
      </c>
    </row>
    <row r="44" spans="2:16" x14ac:dyDescent="0.4">
      <c r="N44" s="7"/>
      <c r="O44" s="3"/>
    </row>
    <row r="45" spans="2:16" x14ac:dyDescent="0.4">
      <c r="O45" s="2"/>
    </row>
    <row r="48" spans="2:16" x14ac:dyDescent="0.4">
      <c r="O48" s="3"/>
    </row>
    <row r="53" spans="16:18" s="1" customFormat="1" x14ac:dyDescent="0.4">
      <c r="P53"/>
      <c r="Q53"/>
      <c r="R53"/>
    </row>
    <row r="54" spans="16:18" s="1" customFormat="1" x14ac:dyDescent="0.4"/>
    <row r="55" spans="16:18" s="1" customFormat="1" x14ac:dyDescent="0.4"/>
    <row r="56" spans="16:18" s="1" customFormat="1" x14ac:dyDescent="0.4"/>
    <row r="57" spans="16:18" s="1" customFormat="1" x14ac:dyDescent="0.4"/>
    <row r="58" spans="16:18" s="1" customFormat="1" x14ac:dyDescent="0.4"/>
    <row r="59" spans="16:18" s="1" customFormat="1" x14ac:dyDescent="0.4"/>
    <row r="60" spans="16:18" s="1" customFormat="1" x14ac:dyDescent="0.4"/>
    <row r="61" spans="16:18" s="1" customFormat="1" x14ac:dyDescent="0.4"/>
    <row r="62" spans="16:18" s="1" customFormat="1" x14ac:dyDescent="0.4"/>
    <row r="63" spans="16:18" s="1" customFormat="1" x14ac:dyDescent="0.4"/>
    <row r="64" spans="16:18" s="1" customFormat="1" x14ac:dyDescent="0.4"/>
    <row r="65" s="1" customFormat="1" x14ac:dyDescent="0.4"/>
    <row r="66" s="1" customFormat="1" x14ac:dyDescent="0.4"/>
    <row r="67" s="1" customFormat="1" x14ac:dyDescent="0.4"/>
    <row r="68" s="1" customFormat="1" ht="48.75" customHeight="1" x14ac:dyDescent="0.4"/>
    <row r="69" s="1" customFormat="1" ht="48.75" customHeight="1" x14ac:dyDescent="0.4"/>
    <row r="70" s="1" customFormat="1" ht="48.75" customHeight="1" x14ac:dyDescent="0.4"/>
    <row r="71" s="1" customFormat="1" ht="48.75" customHeight="1" x14ac:dyDescent="0.4"/>
    <row r="72" s="1" customFormat="1" ht="48.75" customHeight="1" x14ac:dyDescent="0.4"/>
    <row r="73" s="1" customFormat="1" ht="48.75" customHeight="1" x14ac:dyDescent="0.4"/>
    <row r="74" s="1" customFormat="1" ht="48.75" customHeight="1" x14ac:dyDescent="0.4"/>
    <row r="75" s="1" customFormat="1" ht="48.75" customHeight="1" x14ac:dyDescent="0.4"/>
    <row r="76" s="1" customFormat="1" ht="48.75" customHeight="1" x14ac:dyDescent="0.4"/>
    <row r="77" s="1" customFormat="1" ht="48.75" customHeight="1" x14ac:dyDescent="0.4"/>
    <row r="78" s="1" customFormat="1" ht="48.75" customHeight="1" x14ac:dyDescent="0.4"/>
    <row r="79" s="1" customFormat="1" ht="48.75" customHeight="1" x14ac:dyDescent="0.4"/>
    <row r="80" s="1" customFormat="1" ht="48.75" customHeight="1" x14ac:dyDescent="0.4"/>
    <row r="81" s="1" customFormat="1" ht="48.75" customHeight="1" x14ac:dyDescent="0.4"/>
    <row r="82" s="1" customFormat="1" ht="48.75" customHeight="1" x14ac:dyDescent="0.4"/>
    <row r="83" s="1" customFormat="1" ht="48.75" customHeight="1" x14ac:dyDescent="0.4"/>
    <row r="84" s="1" customFormat="1" ht="48.75" customHeight="1" x14ac:dyDescent="0.4"/>
    <row r="85" s="1" customFormat="1" ht="48.75" customHeight="1" x14ac:dyDescent="0.4"/>
    <row r="86" s="1" customFormat="1" ht="48.75" customHeight="1" x14ac:dyDescent="0.4"/>
    <row r="87" s="1" customFormat="1" ht="48.75" customHeight="1" x14ac:dyDescent="0.4"/>
    <row r="88" s="1" customFormat="1" ht="48.75" customHeight="1" x14ac:dyDescent="0.4"/>
    <row r="89" s="1" customFormat="1" ht="48.75" customHeight="1" x14ac:dyDescent="0.4"/>
    <row r="90" s="1" customFormat="1" ht="48.75" customHeight="1" x14ac:dyDescent="0.4"/>
    <row r="91" s="1" customFormat="1" ht="48.75" customHeight="1" x14ac:dyDescent="0.4"/>
    <row r="92" s="1" customFormat="1" ht="48.75" customHeight="1" x14ac:dyDescent="0.4"/>
    <row r="93" s="1" customFormat="1" ht="48.75" customHeight="1" x14ac:dyDescent="0.4"/>
    <row r="94" s="1" customFormat="1" ht="48.75" customHeight="1" x14ac:dyDescent="0.4"/>
    <row r="95" s="1" customFormat="1" ht="48.75" customHeight="1" x14ac:dyDescent="0.4"/>
    <row r="96" s="1" customFormat="1" ht="48.75" customHeight="1" x14ac:dyDescent="0.4"/>
    <row r="97" s="1" customFormat="1" ht="48.75" customHeight="1" x14ac:dyDescent="0.4"/>
    <row r="98" s="1" customFormat="1" ht="48.75" customHeight="1" x14ac:dyDescent="0.4"/>
    <row r="99" s="1" customFormat="1" ht="48.75" customHeight="1" x14ac:dyDescent="0.4"/>
    <row r="100" s="1" customFormat="1" ht="48.75" customHeight="1" x14ac:dyDescent="0.4"/>
    <row r="101" s="1" customFormat="1" ht="48.75" customHeight="1" x14ac:dyDescent="0.4"/>
  </sheetData>
  <autoFilter ref="B8:O42" xr:uid="{361D4AB0-0706-4BFB-AC63-002C191578BD}"/>
  <mergeCells count="16">
    <mergeCell ref="B6:B7"/>
    <mergeCell ref="C6:C7"/>
    <mergeCell ref="D6:D7"/>
    <mergeCell ref="E6:E7"/>
    <mergeCell ref="F6:F7"/>
    <mergeCell ref="B2:D5"/>
    <mergeCell ref="E2:M4"/>
    <mergeCell ref="N2:O5"/>
    <mergeCell ref="E5:I5"/>
    <mergeCell ref="J5:L5"/>
    <mergeCell ref="G6:G7"/>
    <mergeCell ref="H6:H7"/>
    <mergeCell ref="I6:J6"/>
    <mergeCell ref="K6:L6"/>
    <mergeCell ref="M6:N6"/>
    <mergeCell ref="O6:O7"/>
  </mergeCells>
  <dataValidations count="1">
    <dataValidation type="list" allowBlank="1" showInputMessage="1" showErrorMessage="1" sqref="E1:E1048576" xr:uid="{A67A7752-29C2-477C-84F4-45F58494BD45}">
      <formula1>UNIT_PRICES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BB06-39F0-4CBD-975F-0639FC301228}">
  <dimension ref="B2:R656"/>
  <sheetViews>
    <sheetView showGridLines="0" showZeros="0" zoomScale="55" zoomScaleNormal="55" workbookViewId="0">
      <selection activeCell="O587" sqref="O587"/>
    </sheetView>
  </sheetViews>
  <sheetFormatPr defaultColWidth="8.88671875" defaultRowHeight="21" outlineLevelRow="1" x14ac:dyDescent="0.3"/>
  <cols>
    <col min="1" max="1" width="8.88671875" style="109"/>
    <col min="2" max="2" width="20.5546875" style="125" bestFit="1" customWidth="1"/>
    <col min="3" max="3" width="45.77734375" style="126" bestFit="1" customWidth="1"/>
    <col min="4" max="4" width="14.44140625" style="125" bestFit="1" customWidth="1"/>
    <col min="5" max="5" width="61.44140625" style="125" customWidth="1"/>
    <col min="6" max="6" width="21.21875" style="125" bestFit="1" customWidth="1"/>
    <col min="7" max="7" width="17.6640625" style="125" bestFit="1" customWidth="1"/>
    <col min="8" max="8" width="18.109375" style="125" bestFit="1" customWidth="1"/>
    <col min="9" max="9" width="16" style="125" bestFit="1" customWidth="1"/>
    <col min="10" max="10" width="20.109375" style="125" bestFit="1" customWidth="1"/>
    <col min="11" max="11" width="16" style="125" bestFit="1" customWidth="1"/>
    <col min="12" max="12" width="20.109375" style="125" bestFit="1" customWidth="1"/>
    <col min="13" max="13" width="16.88671875" style="125" bestFit="1" customWidth="1"/>
    <col min="14" max="14" width="20.109375" style="125" bestFit="1" customWidth="1"/>
    <col min="15" max="15" width="27.33203125" style="125" customWidth="1"/>
    <col min="16" max="16" width="11.5546875" style="109" bestFit="1" customWidth="1"/>
    <col min="17" max="17" width="10.33203125" style="109" bestFit="1" customWidth="1"/>
    <col min="18" max="18" width="13.21875" style="109" bestFit="1" customWidth="1"/>
    <col min="19" max="16384" width="8.88671875" style="109"/>
  </cols>
  <sheetData>
    <row r="2" spans="2:16" ht="63" customHeight="1" x14ac:dyDescent="0.3">
      <c r="B2" s="220"/>
      <c r="C2" s="221"/>
      <c r="D2" s="221"/>
      <c r="E2" s="204" t="s">
        <v>383</v>
      </c>
      <c r="F2" s="204"/>
      <c r="G2" s="204"/>
      <c r="H2" s="204"/>
      <c r="I2" s="204"/>
      <c r="J2" s="204"/>
      <c r="K2" s="204"/>
      <c r="L2" s="204"/>
      <c r="M2" s="204"/>
      <c r="N2" s="206"/>
      <c r="O2" s="206"/>
    </row>
    <row r="3" spans="2:16" ht="63" customHeight="1" x14ac:dyDescent="0.3">
      <c r="B3" s="222"/>
      <c r="C3" s="223"/>
      <c r="D3" s="223"/>
      <c r="E3" s="205"/>
      <c r="F3" s="205"/>
      <c r="G3" s="205"/>
      <c r="H3" s="205"/>
      <c r="I3" s="205"/>
      <c r="J3" s="205"/>
      <c r="K3" s="205"/>
      <c r="L3" s="205"/>
      <c r="M3" s="205"/>
      <c r="N3" s="208"/>
      <c r="O3" s="208"/>
    </row>
    <row r="4" spans="2:16" ht="63" customHeight="1" x14ac:dyDescent="0.3">
      <c r="B4" s="222"/>
      <c r="C4" s="223"/>
      <c r="D4" s="223"/>
      <c r="E4" s="205"/>
      <c r="F4" s="205"/>
      <c r="G4" s="205"/>
      <c r="H4" s="205"/>
      <c r="I4" s="205"/>
      <c r="J4" s="205"/>
      <c r="K4" s="205"/>
      <c r="L4" s="205"/>
      <c r="M4" s="205"/>
      <c r="N4" s="208"/>
      <c r="O4" s="208"/>
    </row>
    <row r="5" spans="2:16" ht="40.5" customHeight="1" x14ac:dyDescent="0.3">
      <c r="B5" s="222"/>
      <c r="C5" s="223"/>
      <c r="D5" s="223"/>
      <c r="E5" s="210" t="s">
        <v>354</v>
      </c>
      <c r="F5" s="210"/>
      <c r="G5" s="210"/>
      <c r="H5" s="210"/>
      <c r="I5" s="210"/>
      <c r="J5" s="208" t="s">
        <v>350</v>
      </c>
      <c r="K5" s="208"/>
      <c r="L5" s="208"/>
      <c r="M5" s="11">
        <f>O597</f>
        <v>0</v>
      </c>
      <c r="N5" s="208"/>
      <c r="O5" s="208"/>
    </row>
    <row r="6" spans="2:16" s="133" customFormat="1" ht="28.5" customHeight="1" x14ac:dyDescent="0.3">
      <c r="B6" s="211" t="s">
        <v>2</v>
      </c>
      <c r="C6" s="199" t="s">
        <v>3</v>
      </c>
      <c r="D6" s="199" t="s">
        <v>0</v>
      </c>
      <c r="E6" s="199" t="s">
        <v>4</v>
      </c>
      <c r="F6" s="199" t="s">
        <v>5</v>
      </c>
      <c r="G6" s="199" t="s">
        <v>6</v>
      </c>
      <c r="H6" s="199" t="s">
        <v>7</v>
      </c>
      <c r="I6" s="199" t="s">
        <v>11</v>
      </c>
      <c r="J6" s="199"/>
      <c r="K6" s="199" t="s">
        <v>86</v>
      </c>
      <c r="L6" s="199"/>
      <c r="M6" s="199" t="s">
        <v>12</v>
      </c>
      <c r="N6" s="199"/>
      <c r="O6" s="199" t="s">
        <v>10</v>
      </c>
    </row>
    <row r="7" spans="2:16" s="133" customFormat="1" ht="39.6" customHeight="1" x14ac:dyDescent="0.3">
      <c r="B7" s="211"/>
      <c r="C7" s="199"/>
      <c r="D7" s="199"/>
      <c r="E7" s="199"/>
      <c r="F7" s="199"/>
      <c r="G7" s="199"/>
      <c r="H7" s="199"/>
      <c r="I7" s="85" t="s">
        <v>8</v>
      </c>
      <c r="J7" s="85" t="s">
        <v>9</v>
      </c>
      <c r="K7" s="85" t="s">
        <v>8</v>
      </c>
      <c r="L7" s="85" t="s">
        <v>9</v>
      </c>
      <c r="M7" s="85" t="s">
        <v>8</v>
      </c>
      <c r="N7" s="85" t="s">
        <v>9</v>
      </c>
      <c r="O7" s="199"/>
    </row>
    <row r="8" spans="2:16" s="133" customFormat="1" ht="31.8" customHeight="1" x14ac:dyDescent="0.3">
      <c r="B8" s="91">
        <v>1</v>
      </c>
      <c r="C8" s="85">
        <v>2</v>
      </c>
      <c r="D8" s="85">
        <v>3</v>
      </c>
      <c r="E8" s="85">
        <v>4</v>
      </c>
      <c r="F8" s="85">
        <v>5</v>
      </c>
      <c r="G8" s="85">
        <v>6</v>
      </c>
      <c r="H8" s="85">
        <v>7</v>
      </c>
      <c r="I8" s="85">
        <v>8</v>
      </c>
      <c r="J8" s="85">
        <v>9</v>
      </c>
      <c r="K8" s="85">
        <v>10</v>
      </c>
      <c r="L8" s="85">
        <v>11</v>
      </c>
      <c r="M8" s="85">
        <v>12</v>
      </c>
      <c r="N8" s="85">
        <v>13</v>
      </c>
      <c r="O8" s="85">
        <v>14</v>
      </c>
    </row>
    <row r="9" spans="2:16" x14ac:dyDescent="0.3">
      <c r="B9" s="74"/>
      <c r="C9" s="86"/>
      <c r="D9" s="75"/>
      <c r="E9" s="76" t="s">
        <v>194</v>
      </c>
      <c r="F9" s="75"/>
      <c r="G9" s="75"/>
      <c r="H9" s="108"/>
      <c r="I9" s="80"/>
      <c r="J9" s="80"/>
      <c r="K9" s="80"/>
      <c r="L9" s="80"/>
      <c r="M9" s="80"/>
      <c r="N9" s="80"/>
      <c r="O9" s="80">
        <f>SUBTOTAL(9,O10:O241)</f>
        <v>0</v>
      </c>
      <c r="P9" s="124"/>
    </row>
    <row r="10" spans="2:16" ht="42" outlineLevel="1" x14ac:dyDescent="0.3">
      <c r="B10" s="110"/>
      <c r="C10" s="147" t="s">
        <v>433</v>
      </c>
      <c r="D10" s="111"/>
      <c r="E10" s="112" t="s">
        <v>198</v>
      </c>
      <c r="F10" s="166" t="s">
        <v>44</v>
      </c>
      <c r="G10" s="167"/>
      <c r="H10" s="167">
        <f>17.8+17.8</f>
        <v>35.6</v>
      </c>
      <c r="I10" s="11"/>
      <c r="J10" s="168"/>
      <c r="K10" s="11"/>
      <c r="L10" s="168"/>
      <c r="M10" s="11"/>
      <c r="N10" s="168"/>
      <c r="O10" s="168"/>
      <c r="P10" s="124"/>
    </row>
    <row r="11" spans="2:16" ht="23.4" outlineLevel="1" x14ac:dyDescent="0.4">
      <c r="B11" s="110"/>
      <c r="C11" s="115"/>
      <c r="D11" s="111"/>
      <c r="E11" s="111" t="s">
        <v>67</v>
      </c>
      <c r="F11" s="111" t="s">
        <v>43</v>
      </c>
      <c r="G11" s="113">
        <f>0.1*1.015</f>
        <v>0.10149999999999999</v>
      </c>
      <c r="H11" s="113">
        <f>G11*H10</f>
        <v>3.6133999999999999</v>
      </c>
      <c r="I11" s="16"/>
      <c r="J11" s="16"/>
      <c r="K11" s="16"/>
      <c r="L11" s="16"/>
      <c r="M11" s="16"/>
      <c r="N11" s="16"/>
      <c r="O11" s="20"/>
      <c r="P11" s="124"/>
    </row>
    <row r="12" spans="2:16" ht="23.4" outlineLevel="1" x14ac:dyDescent="0.4">
      <c r="B12" s="110"/>
      <c r="C12" s="115"/>
      <c r="D12" s="111"/>
      <c r="E12" s="111" t="s">
        <v>16</v>
      </c>
      <c r="F12" s="111" t="s">
        <v>43</v>
      </c>
      <c r="G12" s="113">
        <v>1</v>
      </c>
      <c r="H12" s="113">
        <f>G12*H11</f>
        <v>3.6133999999999999</v>
      </c>
      <c r="I12" s="16"/>
      <c r="J12" s="16"/>
      <c r="K12" s="16"/>
      <c r="L12" s="16"/>
      <c r="M12" s="16"/>
      <c r="N12" s="16"/>
      <c r="O12" s="20"/>
      <c r="P12" s="124"/>
    </row>
    <row r="13" spans="2:16" ht="23.4" outlineLevel="1" x14ac:dyDescent="0.4">
      <c r="B13" s="110"/>
      <c r="C13" s="115"/>
      <c r="D13" s="111"/>
      <c r="E13" s="111" t="s">
        <v>66</v>
      </c>
      <c r="F13" s="111" t="s">
        <v>45</v>
      </c>
      <c r="G13" s="113">
        <v>1</v>
      </c>
      <c r="H13" s="113">
        <f>G13*H10</f>
        <v>35.6</v>
      </c>
      <c r="I13" s="16"/>
      <c r="J13" s="16"/>
      <c r="K13" s="16"/>
      <c r="L13" s="16"/>
      <c r="M13" s="16"/>
      <c r="N13" s="16"/>
      <c r="O13" s="20"/>
      <c r="P13" s="124"/>
    </row>
    <row r="14" spans="2:16" outlineLevel="1" x14ac:dyDescent="0.4">
      <c r="B14" s="110"/>
      <c r="C14" s="115"/>
      <c r="D14" s="111"/>
      <c r="E14" s="111"/>
      <c r="F14" s="111"/>
      <c r="G14" s="113"/>
      <c r="H14" s="113"/>
      <c r="I14" s="16"/>
      <c r="J14" s="16"/>
      <c r="K14" s="16"/>
      <c r="L14" s="16"/>
      <c r="M14" s="16"/>
      <c r="N14" s="16"/>
      <c r="O14" s="20"/>
      <c r="P14" s="124"/>
    </row>
    <row r="15" spans="2:16" ht="42" outlineLevel="1" x14ac:dyDescent="0.3">
      <c r="B15" s="110"/>
      <c r="C15" s="147" t="s">
        <v>434</v>
      </c>
      <c r="D15" s="111"/>
      <c r="E15" s="112" t="s">
        <v>198</v>
      </c>
      <c r="F15" s="166" t="s">
        <v>44</v>
      </c>
      <c r="G15" s="167"/>
      <c r="H15" s="167">
        <f>4.7+2</f>
        <v>6.7</v>
      </c>
      <c r="I15" s="11"/>
      <c r="J15" s="168"/>
      <c r="K15" s="11"/>
      <c r="L15" s="168"/>
      <c r="M15" s="11"/>
      <c r="N15" s="168"/>
      <c r="O15" s="168"/>
      <c r="P15" s="124"/>
    </row>
    <row r="16" spans="2:16" ht="23.4" outlineLevel="1" x14ac:dyDescent="0.4">
      <c r="B16" s="110"/>
      <c r="C16" s="115"/>
      <c r="D16" s="111"/>
      <c r="E16" s="111" t="s">
        <v>67</v>
      </c>
      <c r="F16" s="111" t="s">
        <v>43</v>
      </c>
      <c r="G16" s="113">
        <f>0.1*1.015</f>
        <v>0.10149999999999999</v>
      </c>
      <c r="H16" s="113">
        <f>G16*H15</f>
        <v>0.68004999999999993</v>
      </c>
      <c r="I16" s="16"/>
      <c r="J16" s="16"/>
      <c r="K16" s="16"/>
      <c r="L16" s="16"/>
      <c r="M16" s="16"/>
      <c r="N16" s="16"/>
      <c r="O16" s="20"/>
      <c r="P16" s="124"/>
    </row>
    <row r="17" spans="2:16" ht="23.4" outlineLevel="1" x14ac:dyDescent="0.4">
      <c r="B17" s="110"/>
      <c r="C17" s="115"/>
      <c r="D17" s="111"/>
      <c r="E17" s="111" t="s">
        <v>16</v>
      </c>
      <c r="F17" s="111" t="s">
        <v>43</v>
      </c>
      <c r="G17" s="113">
        <v>1</v>
      </c>
      <c r="H17" s="113">
        <f>G17*H16</f>
        <v>0.68004999999999993</v>
      </c>
      <c r="I17" s="16"/>
      <c r="J17" s="16"/>
      <c r="K17" s="16"/>
      <c r="L17" s="16"/>
      <c r="M17" s="16"/>
      <c r="N17" s="16"/>
      <c r="O17" s="20"/>
      <c r="P17" s="124"/>
    </row>
    <row r="18" spans="2:16" ht="23.4" outlineLevel="1" x14ac:dyDescent="0.4">
      <c r="B18" s="110"/>
      <c r="C18" s="115"/>
      <c r="D18" s="111"/>
      <c r="E18" s="111" t="s">
        <v>66</v>
      </c>
      <c r="F18" s="111" t="s">
        <v>45</v>
      </c>
      <c r="G18" s="113">
        <v>1</v>
      </c>
      <c r="H18" s="113">
        <f>G18*H15</f>
        <v>6.7</v>
      </c>
      <c r="I18" s="16"/>
      <c r="J18" s="16"/>
      <c r="K18" s="16"/>
      <c r="L18" s="16"/>
      <c r="M18" s="16"/>
      <c r="N18" s="16"/>
      <c r="O18" s="20"/>
      <c r="P18" s="124"/>
    </row>
    <row r="19" spans="2:16" outlineLevel="1" x14ac:dyDescent="0.4">
      <c r="B19" s="110"/>
      <c r="C19" s="115"/>
      <c r="D19" s="111"/>
      <c r="E19" s="111"/>
      <c r="F19" s="111"/>
      <c r="G19" s="113"/>
      <c r="H19" s="113"/>
      <c r="I19" s="16"/>
      <c r="J19" s="16"/>
      <c r="K19" s="16"/>
      <c r="L19" s="16"/>
      <c r="M19" s="16"/>
      <c r="N19" s="16"/>
      <c r="O19" s="20"/>
      <c r="P19" s="124"/>
    </row>
    <row r="20" spans="2:16" ht="42" outlineLevel="1" x14ac:dyDescent="0.3">
      <c r="B20" s="110"/>
      <c r="C20" s="147" t="s">
        <v>435</v>
      </c>
      <c r="D20" s="111"/>
      <c r="E20" s="112" t="s">
        <v>198</v>
      </c>
      <c r="F20" s="166" t="s">
        <v>44</v>
      </c>
      <c r="G20" s="167"/>
      <c r="H20" s="167">
        <v>6.3</v>
      </c>
      <c r="I20" s="11"/>
      <c r="J20" s="168"/>
      <c r="K20" s="11"/>
      <c r="L20" s="168"/>
      <c r="M20" s="11"/>
      <c r="N20" s="168"/>
      <c r="O20" s="168"/>
      <c r="P20" s="124"/>
    </row>
    <row r="21" spans="2:16" ht="23.4" outlineLevel="1" x14ac:dyDescent="0.4">
      <c r="B21" s="110"/>
      <c r="C21" s="115"/>
      <c r="D21" s="111"/>
      <c r="E21" s="111" t="s">
        <v>67</v>
      </c>
      <c r="F21" s="111" t="s">
        <v>43</v>
      </c>
      <c r="G21" s="113">
        <f>0.1*1.015</f>
        <v>0.10149999999999999</v>
      </c>
      <c r="H21" s="113">
        <f>G21*H20</f>
        <v>0.63944999999999996</v>
      </c>
      <c r="I21" s="16"/>
      <c r="J21" s="16"/>
      <c r="K21" s="16"/>
      <c r="L21" s="16"/>
      <c r="M21" s="16"/>
      <c r="N21" s="16"/>
      <c r="O21" s="20"/>
      <c r="P21" s="124"/>
    </row>
    <row r="22" spans="2:16" ht="23.4" outlineLevel="1" x14ac:dyDescent="0.4">
      <c r="B22" s="110"/>
      <c r="C22" s="115"/>
      <c r="D22" s="111"/>
      <c r="E22" s="111" t="s">
        <v>16</v>
      </c>
      <c r="F22" s="111" t="s">
        <v>43</v>
      </c>
      <c r="G22" s="113">
        <v>1</v>
      </c>
      <c r="H22" s="113">
        <f>G22*H21</f>
        <v>0.63944999999999996</v>
      </c>
      <c r="I22" s="16"/>
      <c r="J22" s="16"/>
      <c r="K22" s="16"/>
      <c r="L22" s="16"/>
      <c r="M22" s="16"/>
      <c r="N22" s="16"/>
      <c r="O22" s="20"/>
      <c r="P22" s="124"/>
    </row>
    <row r="23" spans="2:16" ht="23.4" outlineLevel="1" x14ac:dyDescent="0.4">
      <c r="B23" s="110"/>
      <c r="C23" s="115"/>
      <c r="D23" s="111"/>
      <c r="E23" s="111" t="s">
        <v>66</v>
      </c>
      <c r="F23" s="111" t="s">
        <v>45</v>
      </c>
      <c r="G23" s="113">
        <v>1</v>
      </c>
      <c r="H23" s="113">
        <f>G23*H20</f>
        <v>6.3</v>
      </c>
      <c r="I23" s="16"/>
      <c r="J23" s="16"/>
      <c r="K23" s="16"/>
      <c r="L23" s="16"/>
      <c r="M23" s="16"/>
      <c r="N23" s="16"/>
      <c r="O23" s="20"/>
      <c r="P23" s="124"/>
    </row>
    <row r="24" spans="2:16" outlineLevel="1" x14ac:dyDescent="0.4">
      <c r="B24" s="110"/>
      <c r="C24" s="115"/>
      <c r="D24" s="111"/>
      <c r="E24" s="111"/>
      <c r="F24" s="111"/>
      <c r="G24" s="113"/>
      <c r="H24" s="113"/>
      <c r="I24" s="16"/>
      <c r="J24" s="16"/>
      <c r="K24" s="16"/>
      <c r="L24" s="16"/>
      <c r="M24" s="16"/>
      <c r="N24" s="16"/>
      <c r="O24" s="20"/>
      <c r="P24" s="124"/>
    </row>
    <row r="25" spans="2:16" ht="42" outlineLevel="1" x14ac:dyDescent="0.3">
      <c r="B25" s="110"/>
      <c r="C25" s="147" t="s">
        <v>436</v>
      </c>
      <c r="D25" s="111"/>
      <c r="E25" s="112" t="s">
        <v>198</v>
      </c>
      <c r="F25" s="166" t="s">
        <v>44</v>
      </c>
      <c r="G25" s="167"/>
      <c r="H25" s="167">
        <v>2.5</v>
      </c>
      <c r="I25" s="11"/>
      <c r="J25" s="168"/>
      <c r="K25" s="11"/>
      <c r="L25" s="168"/>
      <c r="M25" s="11"/>
      <c r="N25" s="168"/>
      <c r="O25" s="168"/>
      <c r="P25" s="124"/>
    </row>
    <row r="26" spans="2:16" ht="23.4" outlineLevel="1" x14ac:dyDescent="0.4">
      <c r="B26" s="110"/>
      <c r="C26" s="115"/>
      <c r="D26" s="111"/>
      <c r="E26" s="111" t="s">
        <v>67</v>
      </c>
      <c r="F26" s="111" t="s">
        <v>43</v>
      </c>
      <c r="G26" s="113">
        <f>0.1*1.015</f>
        <v>0.10149999999999999</v>
      </c>
      <c r="H26" s="113">
        <f>G26*H25</f>
        <v>0.25374999999999998</v>
      </c>
      <c r="I26" s="16"/>
      <c r="J26" s="16"/>
      <c r="K26" s="16"/>
      <c r="L26" s="16"/>
      <c r="M26" s="16"/>
      <c r="N26" s="16"/>
      <c r="O26" s="20"/>
      <c r="P26" s="124"/>
    </row>
    <row r="27" spans="2:16" ht="23.4" outlineLevel="1" x14ac:dyDescent="0.4">
      <c r="B27" s="110"/>
      <c r="C27" s="115"/>
      <c r="D27" s="111"/>
      <c r="E27" s="111" t="s">
        <v>16</v>
      </c>
      <c r="F27" s="111" t="s">
        <v>43</v>
      </c>
      <c r="G27" s="113">
        <v>1</v>
      </c>
      <c r="H27" s="113">
        <f>G27*H26</f>
        <v>0.25374999999999998</v>
      </c>
      <c r="I27" s="16"/>
      <c r="J27" s="16"/>
      <c r="K27" s="16"/>
      <c r="L27" s="16"/>
      <c r="M27" s="16"/>
      <c r="N27" s="16"/>
      <c r="O27" s="20"/>
      <c r="P27" s="124"/>
    </row>
    <row r="28" spans="2:16" ht="23.4" outlineLevel="1" x14ac:dyDescent="0.4">
      <c r="B28" s="110"/>
      <c r="C28" s="115"/>
      <c r="D28" s="111"/>
      <c r="E28" s="111" t="s">
        <v>66</v>
      </c>
      <c r="F28" s="111" t="s">
        <v>45</v>
      </c>
      <c r="G28" s="113">
        <v>1</v>
      </c>
      <c r="H28" s="113">
        <f>G28*H25</f>
        <v>2.5</v>
      </c>
      <c r="I28" s="16"/>
      <c r="J28" s="16"/>
      <c r="K28" s="16"/>
      <c r="L28" s="16"/>
      <c r="M28" s="16"/>
      <c r="N28" s="16"/>
      <c r="O28" s="20"/>
      <c r="P28" s="124"/>
    </row>
    <row r="29" spans="2:16" outlineLevel="1" x14ac:dyDescent="0.4">
      <c r="B29" s="110"/>
      <c r="C29" s="115"/>
      <c r="D29" s="111"/>
      <c r="E29" s="111"/>
      <c r="F29" s="111"/>
      <c r="G29" s="113"/>
      <c r="H29" s="113"/>
      <c r="I29" s="16"/>
      <c r="J29" s="16"/>
      <c r="K29" s="16"/>
      <c r="L29" s="16"/>
      <c r="M29" s="16"/>
      <c r="N29" s="16"/>
      <c r="O29" s="20"/>
      <c r="P29" s="124"/>
    </row>
    <row r="30" spans="2:16" ht="42" outlineLevel="1" x14ac:dyDescent="0.3">
      <c r="B30" s="110"/>
      <c r="C30" s="147" t="s">
        <v>437</v>
      </c>
      <c r="D30" s="111"/>
      <c r="E30" s="112" t="s">
        <v>205</v>
      </c>
      <c r="F30" s="166" t="s">
        <v>28</v>
      </c>
      <c r="G30" s="167"/>
      <c r="H30" s="167">
        <v>22</v>
      </c>
      <c r="I30" s="11"/>
      <c r="J30" s="168"/>
      <c r="K30" s="11"/>
      <c r="L30" s="168"/>
      <c r="M30" s="11"/>
      <c r="N30" s="168"/>
      <c r="O30" s="168"/>
      <c r="P30" s="124"/>
    </row>
    <row r="31" spans="2:16" outlineLevel="1" x14ac:dyDescent="0.4">
      <c r="B31" s="110"/>
      <c r="C31" s="115"/>
      <c r="D31" s="111"/>
      <c r="E31" s="111" t="s">
        <v>127</v>
      </c>
      <c r="F31" s="111" t="s">
        <v>46</v>
      </c>
      <c r="G31" s="113">
        <v>1</v>
      </c>
      <c r="H31" s="113">
        <f>G31*H30</f>
        <v>22</v>
      </c>
      <c r="I31" s="16"/>
      <c r="J31" s="16"/>
      <c r="K31" s="16"/>
      <c r="L31" s="16"/>
      <c r="M31" s="16"/>
      <c r="N31" s="16"/>
      <c r="O31" s="20"/>
      <c r="P31" s="124"/>
    </row>
    <row r="32" spans="2:16" outlineLevel="1" x14ac:dyDescent="0.4">
      <c r="B32" s="110"/>
      <c r="C32" s="115"/>
      <c r="D32" s="111"/>
      <c r="E32" s="111" t="s">
        <v>91</v>
      </c>
      <c r="F32" s="111" t="s">
        <v>20</v>
      </c>
      <c r="G32" s="113">
        <v>8</v>
      </c>
      <c r="H32" s="113">
        <f>G32*H30</f>
        <v>176</v>
      </c>
      <c r="I32" s="16"/>
      <c r="J32" s="16"/>
      <c r="K32" s="16"/>
      <c r="L32" s="16"/>
      <c r="M32" s="16"/>
      <c r="N32" s="16"/>
      <c r="O32" s="20"/>
      <c r="P32" s="124"/>
    </row>
    <row r="33" spans="2:16" outlineLevel="1" x14ac:dyDescent="0.4">
      <c r="B33" s="110"/>
      <c r="C33" s="115"/>
      <c r="D33" s="111"/>
      <c r="E33" s="111" t="s">
        <v>87</v>
      </c>
      <c r="F33" s="111" t="s">
        <v>20</v>
      </c>
      <c r="G33" s="113">
        <v>1</v>
      </c>
      <c r="H33" s="113">
        <f>G33*H30</f>
        <v>22</v>
      </c>
      <c r="I33" s="16"/>
      <c r="J33" s="16"/>
      <c r="K33" s="16"/>
      <c r="L33" s="16"/>
      <c r="M33" s="16"/>
      <c r="N33" s="16"/>
      <c r="O33" s="20"/>
      <c r="P33" s="124"/>
    </row>
    <row r="34" spans="2:16" outlineLevel="1" x14ac:dyDescent="0.4">
      <c r="B34" s="110"/>
      <c r="C34" s="115"/>
      <c r="D34" s="111"/>
      <c r="E34" s="111" t="s">
        <v>88</v>
      </c>
      <c r="F34" s="111" t="s">
        <v>1</v>
      </c>
      <c r="G34" s="113">
        <v>15</v>
      </c>
      <c r="H34" s="113">
        <f>G34*H30</f>
        <v>330</v>
      </c>
      <c r="I34" s="16"/>
      <c r="J34" s="16"/>
      <c r="K34" s="16"/>
      <c r="L34" s="16"/>
      <c r="M34" s="16"/>
      <c r="N34" s="16"/>
      <c r="O34" s="20"/>
      <c r="P34" s="124"/>
    </row>
    <row r="35" spans="2:16" outlineLevel="1" x14ac:dyDescent="0.4">
      <c r="B35" s="110"/>
      <c r="C35" s="115"/>
      <c r="D35" s="111"/>
      <c r="E35" s="111" t="s">
        <v>89</v>
      </c>
      <c r="F35" s="111" t="s">
        <v>1</v>
      </c>
      <c r="G35" s="113">
        <v>10</v>
      </c>
      <c r="H35" s="113">
        <f>G35*H30</f>
        <v>220</v>
      </c>
      <c r="I35" s="16"/>
      <c r="J35" s="16"/>
      <c r="K35" s="16"/>
      <c r="L35" s="16"/>
      <c r="M35" s="16"/>
      <c r="N35" s="16"/>
      <c r="O35" s="20"/>
      <c r="P35" s="124"/>
    </row>
    <row r="36" spans="2:16" outlineLevel="1" x14ac:dyDescent="0.4">
      <c r="B36" s="110"/>
      <c r="C36" s="115"/>
      <c r="D36" s="111"/>
      <c r="E36" s="111" t="s">
        <v>159</v>
      </c>
      <c r="F36" s="111" t="s">
        <v>28</v>
      </c>
      <c r="G36" s="113">
        <v>1</v>
      </c>
      <c r="H36" s="113">
        <f>G36*H30</f>
        <v>22</v>
      </c>
      <c r="I36" s="16"/>
      <c r="J36" s="16"/>
      <c r="K36" s="16"/>
      <c r="L36" s="16"/>
      <c r="M36" s="16"/>
      <c r="N36" s="16"/>
      <c r="O36" s="20"/>
      <c r="P36" s="124"/>
    </row>
    <row r="37" spans="2:16" outlineLevel="1" x14ac:dyDescent="0.4">
      <c r="B37" s="110"/>
      <c r="C37" s="115"/>
      <c r="D37" s="111"/>
      <c r="E37" s="111"/>
      <c r="F37" s="111"/>
      <c r="G37" s="113"/>
      <c r="H37" s="113"/>
      <c r="I37" s="16"/>
      <c r="J37" s="16"/>
      <c r="K37" s="16"/>
      <c r="L37" s="16"/>
      <c r="M37" s="16"/>
      <c r="N37" s="16"/>
      <c r="O37" s="20"/>
      <c r="P37" s="124"/>
    </row>
    <row r="38" spans="2:16" ht="42" outlineLevel="1" x14ac:dyDescent="0.3">
      <c r="B38" s="110"/>
      <c r="C38" s="147" t="s">
        <v>438</v>
      </c>
      <c r="D38" s="111"/>
      <c r="E38" s="112" t="s">
        <v>204</v>
      </c>
      <c r="F38" s="166" t="s">
        <v>44</v>
      </c>
      <c r="G38" s="167"/>
      <c r="H38" s="167">
        <f>H20+H25</f>
        <v>8.8000000000000007</v>
      </c>
      <c r="I38" s="11"/>
      <c r="J38" s="168"/>
      <c r="K38" s="11"/>
      <c r="L38" s="168"/>
      <c r="M38" s="11"/>
      <c r="N38" s="168"/>
      <c r="O38" s="168"/>
      <c r="P38" s="124"/>
    </row>
    <row r="39" spans="2:16" ht="23.4" outlineLevel="1" x14ac:dyDescent="0.4">
      <c r="B39" s="110"/>
      <c r="C39" s="115"/>
      <c r="D39" s="111"/>
      <c r="E39" s="111" t="s">
        <v>158</v>
      </c>
      <c r="F39" s="111" t="s">
        <v>45</v>
      </c>
      <c r="G39" s="113">
        <v>1.05</v>
      </c>
      <c r="H39" s="113">
        <f>G39*H38</f>
        <v>9.240000000000002</v>
      </c>
      <c r="I39" s="16"/>
      <c r="J39" s="16"/>
      <c r="K39" s="16"/>
      <c r="L39" s="16"/>
      <c r="M39" s="16"/>
      <c r="N39" s="16"/>
      <c r="O39" s="20"/>
      <c r="P39" s="124"/>
    </row>
    <row r="40" spans="2:16" outlineLevel="1" x14ac:dyDescent="0.4">
      <c r="B40" s="110"/>
      <c r="C40" s="115"/>
      <c r="D40" s="111"/>
      <c r="E40" s="111" t="s">
        <v>91</v>
      </c>
      <c r="F40" s="111" t="s">
        <v>20</v>
      </c>
      <c r="G40" s="113">
        <v>8</v>
      </c>
      <c r="H40" s="113">
        <f>G40*H38</f>
        <v>70.400000000000006</v>
      </c>
      <c r="I40" s="16"/>
      <c r="J40" s="16"/>
      <c r="K40" s="16"/>
      <c r="L40" s="16"/>
      <c r="M40" s="16"/>
      <c r="N40" s="16"/>
      <c r="O40" s="20"/>
      <c r="P40" s="124"/>
    </row>
    <row r="41" spans="2:16" outlineLevel="1" x14ac:dyDescent="0.4">
      <c r="B41" s="110"/>
      <c r="C41" s="115"/>
      <c r="D41" s="111"/>
      <c r="E41" s="111" t="s">
        <v>87</v>
      </c>
      <c r="F41" s="111" t="s">
        <v>20</v>
      </c>
      <c r="G41" s="113">
        <v>1</v>
      </c>
      <c r="H41" s="113">
        <f>G41*H38</f>
        <v>8.8000000000000007</v>
      </c>
      <c r="I41" s="16"/>
      <c r="J41" s="16"/>
      <c r="K41" s="16"/>
      <c r="L41" s="16"/>
      <c r="M41" s="16"/>
      <c r="N41" s="16"/>
      <c r="O41" s="20"/>
      <c r="P41" s="124"/>
    </row>
    <row r="42" spans="2:16" outlineLevel="1" x14ac:dyDescent="0.4">
      <c r="B42" s="110"/>
      <c r="C42" s="115"/>
      <c r="D42" s="111"/>
      <c r="E42" s="111" t="s">
        <v>88</v>
      </c>
      <c r="F42" s="111" t="s">
        <v>1</v>
      </c>
      <c r="G42" s="113">
        <v>15</v>
      </c>
      <c r="H42" s="113">
        <f>G42*H38</f>
        <v>132</v>
      </c>
      <c r="I42" s="16"/>
      <c r="J42" s="16"/>
      <c r="K42" s="16"/>
      <c r="L42" s="16"/>
      <c r="M42" s="16"/>
      <c r="N42" s="16"/>
      <c r="O42" s="20"/>
      <c r="P42" s="124"/>
    </row>
    <row r="43" spans="2:16" outlineLevel="1" x14ac:dyDescent="0.4">
      <c r="B43" s="110"/>
      <c r="C43" s="115"/>
      <c r="D43" s="111"/>
      <c r="E43" s="111" t="s">
        <v>89</v>
      </c>
      <c r="F43" s="111" t="s">
        <v>1</v>
      </c>
      <c r="G43" s="113">
        <v>10</v>
      </c>
      <c r="H43" s="113">
        <f>G43*H38</f>
        <v>88</v>
      </c>
      <c r="I43" s="16"/>
      <c r="J43" s="16"/>
      <c r="K43" s="16"/>
      <c r="L43" s="16"/>
      <c r="M43" s="16"/>
      <c r="N43" s="16"/>
      <c r="O43" s="20"/>
      <c r="P43" s="124"/>
    </row>
    <row r="44" spans="2:16" ht="23.4" outlineLevel="1" x14ac:dyDescent="0.4">
      <c r="B44" s="110"/>
      <c r="C44" s="115"/>
      <c r="D44" s="111"/>
      <c r="E44" s="111" t="s">
        <v>90</v>
      </c>
      <c r="F44" s="111" t="s">
        <v>45</v>
      </c>
      <c r="G44" s="113">
        <v>1</v>
      </c>
      <c r="H44" s="113">
        <f>G44*H38</f>
        <v>8.8000000000000007</v>
      </c>
      <c r="I44" s="16"/>
      <c r="J44" s="16"/>
      <c r="K44" s="16"/>
      <c r="L44" s="16"/>
      <c r="M44" s="16"/>
      <c r="N44" s="16"/>
      <c r="O44" s="20"/>
      <c r="P44" s="124"/>
    </row>
    <row r="45" spans="2:16" outlineLevel="1" x14ac:dyDescent="0.4">
      <c r="B45" s="110"/>
      <c r="C45" s="115"/>
      <c r="D45" s="111"/>
      <c r="E45" s="111"/>
      <c r="F45" s="111"/>
      <c r="G45" s="113"/>
      <c r="H45" s="113"/>
      <c r="I45" s="16"/>
      <c r="J45" s="16"/>
      <c r="K45" s="16"/>
      <c r="L45" s="16"/>
      <c r="M45" s="16"/>
      <c r="N45" s="16"/>
      <c r="O45" s="20"/>
      <c r="P45" s="124"/>
    </row>
    <row r="46" spans="2:16" ht="63" outlineLevel="1" x14ac:dyDescent="0.3">
      <c r="B46" s="110"/>
      <c r="C46" s="147" t="s">
        <v>438</v>
      </c>
      <c r="D46" s="111"/>
      <c r="E46" s="112" t="s">
        <v>355</v>
      </c>
      <c r="F46" s="166" t="s">
        <v>44</v>
      </c>
      <c r="G46" s="167"/>
      <c r="H46" s="167">
        <v>16.5</v>
      </c>
      <c r="I46" s="11"/>
      <c r="J46" s="168"/>
      <c r="K46" s="11"/>
      <c r="L46" s="168"/>
      <c r="M46" s="11"/>
      <c r="N46" s="168"/>
      <c r="O46" s="168"/>
      <c r="P46" s="124"/>
    </row>
    <row r="47" spans="2:16" ht="23.4" outlineLevel="1" x14ac:dyDescent="0.4">
      <c r="B47" s="110"/>
      <c r="C47" s="115"/>
      <c r="D47" s="111"/>
      <c r="E47" s="111" t="s">
        <v>125</v>
      </c>
      <c r="F47" s="111" t="s">
        <v>45</v>
      </c>
      <c r="G47" s="113">
        <v>1.05</v>
      </c>
      <c r="H47" s="113">
        <f>G47*H46</f>
        <v>17.324999999999999</v>
      </c>
      <c r="I47" s="16"/>
      <c r="J47" s="16"/>
      <c r="K47" s="16"/>
      <c r="L47" s="16"/>
      <c r="M47" s="16"/>
      <c r="N47" s="16"/>
      <c r="O47" s="20"/>
      <c r="P47" s="124"/>
    </row>
    <row r="48" spans="2:16" outlineLevel="1" x14ac:dyDescent="0.4">
      <c r="B48" s="110"/>
      <c r="C48" s="115"/>
      <c r="D48" s="111"/>
      <c r="E48" s="111" t="s">
        <v>91</v>
      </c>
      <c r="F48" s="111" t="s">
        <v>20</v>
      </c>
      <c r="G48" s="113">
        <v>5</v>
      </c>
      <c r="H48" s="113">
        <f>G48*H46</f>
        <v>82.5</v>
      </c>
      <c r="I48" s="16"/>
      <c r="J48" s="16"/>
      <c r="K48" s="16"/>
      <c r="L48" s="16"/>
      <c r="M48" s="16"/>
      <c r="N48" s="16"/>
      <c r="O48" s="20"/>
      <c r="P48" s="124"/>
    </row>
    <row r="49" spans="2:16" outlineLevel="1" x14ac:dyDescent="0.4">
      <c r="B49" s="110"/>
      <c r="C49" s="115"/>
      <c r="D49" s="111"/>
      <c r="E49" s="111" t="s">
        <v>87</v>
      </c>
      <c r="F49" s="111" t="s">
        <v>20</v>
      </c>
      <c r="G49" s="113">
        <v>1</v>
      </c>
      <c r="H49" s="113">
        <f>G49*H46</f>
        <v>16.5</v>
      </c>
      <c r="I49" s="16"/>
      <c r="J49" s="16"/>
      <c r="K49" s="16"/>
      <c r="L49" s="16"/>
      <c r="M49" s="16"/>
      <c r="N49" s="16"/>
      <c r="O49" s="20"/>
      <c r="P49" s="124"/>
    </row>
    <row r="50" spans="2:16" outlineLevel="1" x14ac:dyDescent="0.4">
      <c r="B50" s="110"/>
      <c r="C50" s="115"/>
      <c r="D50" s="111"/>
      <c r="E50" s="111" t="s">
        <v>88</v>
      </c>
      <c r="F50" s="111" t="s">
        <v>1</v>
      </c>
      <c r="G50" s="113">
        <v>15</v>
      </c>
      <c r="H50" s="113">
        <f>G50*H46</f>
        <v>247.5</v>
      </c>
      <c r="I50" s="16"/>
      <c r="J50" s="16"/>
      <c r="K50" s="16"/>
      <c r="L50" s="16"/>
      <c r="M50" s="16"/>
      <c r="N50" s="16"/>
      <c r="O50" s="20"/>
      <c r="P50" s="124"/>
    </row>
    <row r="51" spans="2:16" outlineLevel="1" x14ac:dyDescent="0.4">
      <c r="B51" s="110"/>
      <c r="C51" s="115"/>
      <c r="D51" s="111"/>
      <c r="E51" s="111" t="s">
        <v>89</v>
      </c>
      <c r="F51" s="111" t="s">
        <v>1</v>
      </c>
      <c r="G51" s="113">
        <v>10</v>
      </c>
      <c r="H51" s="113">
        <f>G51*H46</f>
        <v>165</v>
      </c>
      <c r="I51" s="16"/>
      <c r="J51" s="16"/>
      <c r="K51" s="16"/>
      <c r="L51" s="16"/>
      <c r="M51" s="16"/>
      <c r="N51" s="16"/>
      <c r="O51" s="20"/>
      <c r="P51" s="124"/>
    </row>
    <row r="52" spans="2:16" ht="23.4" outlineLevel="1" x14ac:dyDescent="0.4">
      <c r="B52" s="110"/>
      <c r="C52" s="115"/>
      <c r="D52" s="111"/>
      <c r="E52" s="111" t="s">
        <v>90</v>
      </c>
      <c r="F52" s="111" t="s">
        <v>45</v>
      </c>
      <c r="G52" s="113">
        <v>1</v>
      </c>
      <c r="H52" s="113">
        <f>G52*H46</f>
        <v>16.5</v>
      </c>
      <c r="I52" s="16"/>
      <c r="J52" s="16"/>
      <c r="K52" s="16"/>
      <c r="L52" s="16"/>
      <c r="M52" s="16"/>
      <c r="N52" s="16"/>
      <c r="O52" s="20"/>
      <c r="P52" s="124"/>
    </row>
    <row r="53" spans="2:16" outlineLevel="1" x14ac:dyDescent="0.4">
      <c r="B53" s="110"/>
      <c r="C53" s="115"/>
      <c r="D53" s="111"/>
      <c r="E53" s="111"/>
      <c r="F53" s="111"/>
      <c r="G53" s="169"/>
      <c r="H53" s="113"/>
      <c r="I53" s="16"/>
      <c r="J53" s="16"/>
      <c r="K53" s="16"/>
      <c r="L53" s="16"/>
      <c r="M53" s="16"/>
      <c r="N53" s="16"/>
      <c r="O53" s="20"/>
      <c r="P53" s="124"/>
    </row>
    <row r="54" spans="2:16" outlineLevel="1" x14ac:dyDescent="0.4">
      <c r="B54" s="110"/>
      <c r="C54" s="115"/>
      <c r="D54" s="111"/>
      <c r="E54" s="111"/>
      <c r="F54" s="111"/>
      <c r="G54" s="113"/>
      <c r="H54" s="113"/>
      <c r="I54" s="16"/>
      <c r="J54" s="16"/>
      <c r="K54" s="16"/>
      <c r="L54" s="16"/>
      <c r="M54" s="16"/>
      <c r="N54" s="16"/>
      <c r="O54" s="20"/>
      <c r="P54" s="124"/>
    </row>
    <row r="55" spans="2:16" ht="42" outlineLevel="1" x14ac:dyDescent="0.3">
      <c r="B55" s="110"/>
      <c r="C55" s="147" t="s">
        <v>439</v>
      </c>
      <c r="D55" s="111"/>
      <c r="E55" s="112" t="s">
        <v>198</v>
      </c>
      <c r="F55" s="166" t="s">
        <v>44</v>
      </c>
      <c r="G55" s="167"/>
      <c r="H55" s="167">
        <f>(13.4+6.7)*2</f>
        <v>40.200000000000003</v>
      </c>
      <c r="I55" s="11"/>
      <c r="J55" s="168"/>
      <c r="K55" s="11"/>
      <c r="L55" s="168"/>
      <c r="M55" s="11"/>
      <c r="N55" s="168"/>
      <c r="O55" s="168"/>
      <c r="P55" s="124"/>
    </row>
    <row r="56" spans="2:16" ht="23.4" outlineLevel="1" x14ac:dyDescent="0.4">
      <c r="B56" s="110"/>
      <c r="C56" s="115"/>
      <c r="D56" s="111"/>
      <c r="E56" s="111" t="s">
        <v>67</v>
      </c>
      <c r="F56" s="111" t="s">
        <v>43</v>
      </c>
      <c r="G56" s="113">
        <f>0.1*1.015</f>
        <v>0.10149999999999999</v>
      </c>
      <c r="H56" s="113">
        <f>G56*H55</f>
        <v>4.0803000000000003</v>
      </c>
      <c r="I56" s="16"/>
      <c r="J56" s="16"/>
      <c r="K56" s="16"/>
      <c r="L56" s="16"/>
      <c r="M56" s="16"/>
      <c r="N56" s="16"/>
      <c r="O56" s="20"/>
      <c r="P56" s="124"/>
    </row>
    <row r="57" spans="2:16" ht="23.4" outlineLevel="1" x14ac:dyDescent="0.4">
      <c r="B57" s="110"/>
      <c r="C57" s="115"/>
      <c r="D57" s="111"/>
      <c r="E57" s="111" t="s">
        <v>16</v>
      </c>
      <c r="F57" s="111" t="s">
        <v>43</v>
      </c>
      <c r="G57" s="113">
        <v>1</v>
      </c>
      <c r="H57" s="113">
        <f>G57*H56</f>
        <v>4.0803000000000003</v>
      </c>
      <c r="I57" s="16"/>
      <c r="J57" s="16"/>
      <c r="K57" s="16"/>
      <c r="L57" s="16"/>
      <c r="M57" s="16"/>
      <c r="N57" s="16"/>
      <c r="O57" s="20"/>
      <c r="P57" s="124"/>
    </row>
    <row r="58" spans="2:16" ht="23.4" outlineLevel="1" x14ac:dyDescent="0.4">
      <c r="B58" s="110"/>
      <c r="C58" s="115"/>
      <c r="D58" s="111"/>
      <c r="E58" s="111" t="s">
        <v>66</v>
      </c>
      <c r="F58" s="111" t="s">
        <v>45</v>
      </c>
      <c r="G58" s="113">
        <v>1</v>
      </c>
      <c r="H58" s="113">
        <f>G58*H55</f>
        <v>40.200000000000003</v>
      </c>
      <c r="I58" s="16"/>
      <c r="J58" s="16"/>
      <c r="K58" s="16"/>
      <c r="L58" s="16"/>
      <c r="M58" s="16"/>
      <c r="N58" s="16"/>
      <c r="O58" s="20"/>
      <c r="P58" s="124"/>
    </row>
    <row r="59" spans="2:16" outlineLevel="1" x14ac:dyDescent="0.4">
      <c r="B59" s="110"/>
      <c r="C59" s="115"/>
      <c r="D59" s="111"/>
      <c r="E59" s="111"/>
      <c r="F59" s="111"/>
      <c r="G59" s="113"/>
      <c r="H59" s="113"/>
      <c r="I59" s="16"/>
      <c r="J59" s="16"/>
      <c r="K59" s="16"/>
      <c r="L59" s="16"/>
      <c r="M59" s="16"/>
      <c r="N59" s="16"/>
      <c r="O59" s="20"/>
      <c r="P59" s="124"/>
    </row>
    <row r="60" spans="2:16" ht="42" outlineLevel="1" x14ac:dyDescent="0.3">
      <c r="B60" s="110"/>
      <c r="C60" s="147" t="s">
        <v>440</v>
      </c>
      <c r="D60" s="111"/>
      <c r="E60" s="112" t="s">
        <v>198</v>
      </c>
      <c r="F60" s="166" t="s">
        <v>44</v>
      </c>
      <c r="G60" s="167"/>
      <c r="H60" s="167">
        <f>4.7+2</f>
        <v>6.7</v>
      </c>
      <c r="I60" s="11"/>
      <c r="J60" s="168"/>
      <c r="K60" s="11"/>
      <c r="L60" s="168"/>
      <c r="M60" s="11"/>
      <c r="N60" s="168"/>
      <c r="O60" s="168"/>
      <c r="P60" s="124"/>
    </row>
    <row r="61" spans="2:16" ht="23.4" outlineLevel="1" x14ac:dyDescent="0.4">
      <c r="B61" s="110"/>
      <c r="C61" s="115"/>
      <c r="D61" s="111"/>
      <c r="E61" s="111" t="s">
        <v>67</v>
      </c>
      <c r="F61" s="111" t="s">
        <v>43</v>
      </c>
      <c r="G61" s="113">
        <f>0.1*1.015</f>
        <v>0.10149999999999999</v>
      </c>
      <c r="H61" s="113">
        <f>G61*H60</f>
        <v>0.68004999999999993</v>
      </c>
      <c r="I61" s="16"/>
      <c r="J61" s="16"/>
      <c r="K61" s="16"/>
      <c r="L61" s="16"/>
      <c r="M61" s="16"/>
      <c r="N61" s="16"/>
      <c r="O61" s="20"/>
      <c r="P61" s="124"/>
    </row>
    <row r="62" spans="2:16" ht="23.4" outlineLevel="1" x14ac:dyDescent="0.4">
      <c r="B62" s="110"/>
      <c r="C62" s="115"/>
      <c r="D62" s="111"/>
      <c r="E62" s="111" t="s">
        <v>16</v>
      </c>
      <c r="F62" s="111" t="s">
        <v>43</v>
      </c>
      <c r="G62" s="113">
        <v>1</v>
      </c>
      <c r="H62" s="113">
        <f>G62*H61</f>
        <v>0.68004999999999993</v>
      </c>
      <c r="I62" s="16"/>
      <c r="J62" s="16"/>
      <c r="K62" s="16"/>
      <c r="L62" s="16"/>
      <c r="M62" s="16"/>
      <c r="N62" s="16"/>
      <c r="O62" s="20"/>
      <c r="P62" s="124"/>
    </row>
    <row r="63" spans="2:16" ht="23.4" outlineLevel="1" x14ac:dyDescent="0.4">
      <c r="B63" s="110"/>
      <c r="C63" s="115"/>
      <c r="D63" s="111"/>
      <c r="E63" s="111" t="s">
        <v>66</v>
      </c>
      <c r="F63" s="111" t="s">
        <v>45</v>
      </c>
      <c r="G63" s="113">
        <v>1</v>
      </c>
      <c r="H63" s="113">
        <f>G63*H60</f>
        <v>6.7</v>
      </c>
      <c r="I63" s="16"/>
      <c r="J63" s="16"/>
      <c r="K63" s="16"/>
      <c r="L63" s="16"/>
      <c r="M63" s="16"/>
      <c r="N63" s="16"/>
      <c r="O63" s="20"/>
      <c r="P63" s="124"/>
    </row>
    <row r="64" spans="2:16" outlineLevel="1" x14ac:dyDescent="0.4">
      <c r="B64" s="110"/>
      <c r="C64" s="115"/>
      <c r="D64" s="111"/>
      <c r="E64" s="111"/>
      <c r="F64" s="111"/>
      <c r="G64" s="113"/>
      <c r="H64" s="113"/>
      <c r="I64" s="16"/>
      <c r="J64" s="16"/>
      <c r="K64" s="16"/>
      <c r="L64" s="16"/>
      <c r="M64" s="16"/>
      <c r="N64" s="16"/>
      <c r="O64" s="20"/>
      <c r="P64" s="124"/>
    </row>
    <row r="65" spans="2:16" ht="42" outlineLevel="1" x14ac:dyDescent="0.3">
      <c r="B65" s="110"/>
      <c r="C65" s="147" t="s">
        <v>441</v>
      </c>
      <c r="D65" s="111"/>
      <c r="E65" s="112" t="s">
        <v>198</v>
      </c>
      <c r="F65" s="166" t="s">
        <v>44</v>
      </c>
      <c r="G65" s="167"/>
      <c r="H65" s="167">
        <f>14.9*2</f>
        <v>29.8</v>
      </c>
      <c r="I65" s="11"/>
      <c r="J65" s="168"/>
      <c r="K65" s="11"/>
      <c r="L65" s="168"/>
      <c r="M65" s="11"/>
      <c r="N65" s="168"/>
      <c r="O65" s="168"/>
      <c r="P65" s="124"/>
    </row>
    <row r="66" spans="2:16" ht="23.4" outlineLevel="1" x14ac:dyDescent="0.4">
      <c r="B66" s="110"/>
      <c r="C66" s="115"/>
      <c r="D66" s="111"/>
      <c r="E66" s="111" t="s">
        <v>67</v>
      </c>
      <c r="F66" s="111" t="s">
        <v>43</v>
      </c>
      <c r="G66" s="113">
        <f>0.1*1.015</f>
        <v>0.10149999999999999</v>
      </c>
      <c r="H66" s="113">
        <f>G66*H65</f>
        <v>3.0246999999999997</v>
      </c>
      <c r="I66" s="16"/>
      <c r="J66" s="16"/>
      <c r="K66" s="16"/>
      <c r="L66" s="16"/>
      <c r="M66" s="16"/>
      <c r="N66" s="16"/>
      <c r="O66" s="20"/>
      <c r="P66" s="124"/>
    </row>
    <row r="67" spans="2:16" ht="23.4" outlineLevel="1" x14ac:dyDescent="0.4">
      <c r="B67" s="110"/>
      <c r="C67" s="115"/>
      <c r="D67" s="111"/>
      <c r="E67" s="111" t="s">
        <v>16</v>
      </c>
      <c r="F67" s="111" t="s">
        <v>43</v>
      </c>
      <c r="G67" s="113">
        <v>1</v>
      </c>
      <c r="H67" s="113">
        <f>G67*H66</f>
        <v>3.0246999999999997</v>
      </c>
      <c r="I67" s="16"/>
      <c r="J67" s="16"/>
      <c r="K67" s="16"/>
      <c r="L67" s="16"/>
      <c r="M67" s="16"/>
      <c r="N67" s="16"/>
      <c r="O67" s="20"/>
      <c r="P67" s="124"/>
    </row>
    <row r="68" spans="2:16" ht="23.4" outlineLevel="1" x14ac:dyDescent="0.4">
      <c r="B68" s="110"/>
      <c r="C68" s="115"/>
      <c r="D68" s="111"/>
      <c r="E68" s="111" t="s">
        <v>66</v>
      </c>
      <c r="F68" s="111" t="s">
        <v>45</v>
      </c>
      <c r="G68" s="113">
        <v>1</v>
      </c>
      <c r="H68" s="113">
        <f>G68*H65</f>
        <v>29.8</v>
      </c>
      <c r="I68" s="16"/>
      <c r="J68" s="16"/>
      <c r="K68" s="16"/>
      <c r="L68" s="16"/>
      <c r="M68" s="16"/>
      <c r="N68" s="16"/>
      <c r="O68" s="20"/>
      <c r="P68" s="124"/>
    </row>
    <row r="69" spans="2:16" outlineLevel="1" x14ac:dyDescent="0.4">
      <c r="B69" s="110"/>
      <c r="C69" s="115"/>
      <c r="D69" s="111"/>
      <c r="E69" s="111"/>
      <c r="F69" s="111"/>
      <c r="G69" s="113"/>
      <c r="H69" s="113"/>
      <c r="I69" s="16"/>
      <c r="J69" s="16"/>
      <c r="K69" s="16"/>
      <c r="L69" s="16"/>
      <c r="M69" s="16"/>
      <c r="N69" s="16"/>
      <c r="O69" s="20"/>
      <c r="P69" s="124"/>
    </row>
    <row r="70" spans="2:16" ht="42" outlineLevel="1" x14ac:dyDescent="0.3">
      <c r="B70" s="110"/>
      <c r="C70" s="147" t="s">
        <v>442</v>
      </c>
      <c r="D70" s="111"/>
      <c r="E70" s="112" t="s">
        <v>198</v>
      </c>
      <c r="F70" s="166" t="s">
        <v>44</v>
      </c>
      <c r="G70" s="167"/>
      <c r="H70" s="167">
        <v>2.8</v>
      </c>
      <c r="I70" s="11"/>
      <c r="J70" s="168"/>
      <c r="K70" s="11"/>
      <c r="L70" s="168"/>
      <c r="M70" s="11"/>
      <c r="N70" s="168"/>
      <c r="O70" s="168"/>
      <c r="P70" s="124"/>
    </row>
    <row r="71" spans="2:16" ht="23.4" outlineLevel="1" x14ac:dyDescent="0.4">
      <c r="B71" s="110"/>
      <c r="C71" s="115"/>
      <c r="D71" s="111"/>
      <c r="E71" s="111" t="s">
        <v>67</v>
      </c>
      <c r="F71" s="111" t="s">
        <v>43</v>
      </c>
      <c r="G71" s="113">
        <f>0.1*1.015</f>
        <v>0.10149999999999999</v>
      </c>
      <c r="H71" s="113">
        <f>G71*H70</f>
        <v>0.28419999999999995</v>
      </c>
      <c r="I71" s="16"/>
      <c r="J71" s="16"/>
      <c r="K71" s="16"/>
      <c r="L71" s="16"/>
      <c r="M71" s="16"/>
      <c r="N71" s="16"/>
      <c r="O71" s="20"/>
      <c r="P71" s="124"/>
    </row>
    <row r="72" spans="2:16" ht="23.4" outlineLevel="1" x14ac:dyDescent="0.4">
      <c r="B72" s="110"/>
      <c r="C72" s="115"/>
      <c r="D72" s="111"/>
      <c r="E72" s="111" t="s">
        <v>16</v>
      </c>
      <c r="F72" s="111" t="s">
        <v>43</v>
      </c>
      <c r="G72" s="113">
        <v>1</v>
      </c>
      <c r="H72" s="113">
        <f>G72*H71</f>
        <v>0.28419999999999995</v>
      </c>
      <c r="I72" s="16"/>
      <c r="J72" s="16"/>
      <c r="K72" s="16"/>
      <c r="L72" s="16"/>
      <c r="M72" s="16"/>
      <c r="N72" s="16"/>
      <c r="O72" s="20"/>
      <c r="P72" s="124"/>
    </row>
    <row r="73" spans="2:16" ht="23.4" outlineLevel="1" x14ac:dyDescent="0.4">
      <c r="B73" s="110"/>
      <c r="C73" s="115"/>
      <c r="D73" s="111"/>
      <c r="E73" s="111" t="s">
        <v>66</v>
      </c>
      <c r="F73" s="111" t="s">
        <v>45</v>
      </c>
      <c r="G73" s="113">
        <v>1</v>
      </c>
      <c r="H73" s="113">
        <f>G73*H70</f>
        <v>2.8</v>
      </c>
      <c r="I73" s="16"/>
      <c r="J73" s="16"/>
      <c r="K73" s="16"/>
      <c r="L73" s="16"/>
      <c r="M73" s="16"/>
      <c r="N73" s="16"/>
      <c r="O73" s="20"/>
      <c r="P73" s="124"/>
    </row>
    <row r="74" spans="2:16" outlineLevel="1" x14ac:dyDescent="0.4">
      <c r="B74" s="110"/>
      <c r="C74" s="115"/>
      <c r="D74" s="111"/>
      <c r="E74" s="111"/>
      <c r="F74" s="111"/>
      <c r="G74" s="113"/>
      <c r="H74" s="113"/>
      <c r="I74" s="16"/>
      <c r="J74" s="16"/>
      <c r="K74" s="16"/>
      <c r="L74" s="16"/>
      <c r="M74" s="16"/>
      <c r="N74" s="16"/>
      <c r="O74" s="20"/>
      <c r="P74" s="124"/>
    </row>
    <row r="75" spans="2:16" ht="42" outlineLevel="1" x14ac:dyDescent="0.3">
      <c r="B75" s="110"/>
      <c r="C75" s="147" t="s">
        <v>443</v>
      </c>
      <c r="D75" s="111"/>
      <c r="E75" s="112" t="s">
        <v>198</v>
      </c>
      <c r="F75" s="166" t="s">
        <v>44</v>
      </c>
      <c r="G75" s="167"/>
      <c r="H75" s="167">
        <v>2.5</v>
      </c>
      <c r="I75" s="11"/>
      <c r="J75" s="168"/>
      <c r="K75" s="11"/>
      <c r="L75" s="168"/>
      <c r="M75" s="11"/>
      <c r="N75" s="168"/>
      <c r="O75" s="168"/>
      <c r="P75" s="124"/>
    </row>
    <row r="76" spans="2:16" ht="23.4" outlineLevel="1" x14ac:dyDescent="0.4">
      <c r="B76" s="110"/>
      <c r="C76" s="115"/>
      <c r="D76" s="111"/>
      <c r="E76" s="111" t="s">
        <v>67</v>
      </c>
      <c r="F76" s="111" t="s">
        <v>43</v>
      </c>
      <c r="G76" s="113">
        <f>0.1*1.015</f>
        <v>0.10149999999999999</v>
      </c>
      <c r="H76" s="113">
        <f>G76*H75</f>
        <v>0.25374999999999998</v>
      </c>
      <c r="I76" s="16"/>
      <c r="J76" s="16"/>
      <c r="K76" s="16"/>
      <c r="L76" s="16"/>
      <c r="M76" s="16"/>
      <c r="N76" s="16"/>
      <c r="O76" s="20"/>
      <c r="P76" s="124"/>
    </row>
    <row r="77" spans="2:16" ht="23.4" outlineLevel="1" x14ac:dyDescent="0.4">
      <c r="B77" s="110"/>
      <c r="C77" s="115"/>
      <c r="D77" s="111"/>
      <c r="E77" s="111" t="s">
        <v>16</v>
      </c>
      <c r="F77" s="111" t="s">
        <v>43</v>
      </c>
      <c r="G77" s="113">
        <v>1</v>
      </c>
      <c r="H77" s="113">
        <f>G77*H76</f>
        <v>0.25374999999999998</v>
      </c>
      <c r="I77" s="16"/>
      <c r="J77" s="16"/>
      <c r="K77" s="16"/>
      <c r="L77" s="16"/>
      <c r="M77" s="16"/>
      <c r="N77" s="16"/>
      <c r="O77" s="20"/>
      <c r="P77" s="124"/>
    </row>
    <row r="78" spans="2:16" ht="23.4" outlineLevel="1" x14ac:dyDescent="0.4">
      <c r="B78" s="110"/>
      <c r="C78" s="115"/>
      <c r="D78" s="111"/>
      <c r="E78" s="111" t="s">
        <v>66</v>
      </c>
      <c r="F78" s="111" t="s">
        <v>45</v>
      </c>
      <c r="G78" s="113">
        <v>1</v>
      </c>
      <c r="H78" s="113">
        <f>G78*H75</f>
        <v>2.5</v>
      </c>
      <c r="I78" s="16"/>
      <c r="J78" s="16"/>
      <c r="K78" s="16"/>
      <c r="L78" s="16"/>
      <c r="M78" s="16"/>
      <c r="N78" s="16"/>
      <c r="O78" s="20"/>
      <c r="P78" s="124"/>
    </row>
    <row r="79" spans="2:16" outlineLevel="1" x14ac:dyDescent="0.4">
      <c r="B79" s="110"/>
      <c r="C79" s="115"/>
      <c r="D79" s="111"/>
      <c r="E79" s="111"/>
      <c r="F79" s="111"/>
      <c r="G79" s="113"/>
      <c r="H79" s="113"/>
      <c r="I79" s="16"/>
      <c r="J79" s="16"/>
      <c r="K79" s="16"/>
      <c r="L79" s="16"/>
      <c r="M79" s="16"/>
      <c r="N79" s="16"/>
      <c r="O79" s="20"/>
      <c r="P79" s="124"/>
    </row>
    <row r="80" spans="2:16" ht="42" outlineLevel="1" x14ac:dyDescent="0.3">
      <c r="B80" s="110"/>
      <c r="C80" s="147" t="s">
        <v>441</v>
      </c>
      <c r="D80" s="111"/>
      <c r="E80" s="112" t="s">
        <v>207</v>
      </c>
      <c r="F80" s="166" t="s">
        <v>44</v>
      </c>
      <c r="G80" s="167"/>
      <c r="H80" s="167">
        <f>H65</f>
        <v>29.8</v>
      </c>
      <c r="I80" s="11"/>
      <c r="J80" s="168"/>
      <c r="K80" s="11"/>
      <c r="L80" s="168"/>
      <c r="M80" s="11"/>
      <c r="N80" s="168"/>
      <c r="O80" s="168"/>
      <c r="P80" s="124"/>
    </row>
    <row r="81" spans="2:16" outlineLevel="1" x14ac:dyDescent="0.4">
      <c r="B81" s="110"/>
      <c r="C81" s="115"/>
      <c r="D81" s="111"/>
      <c r="E81" s="111" t="s">
        <v>149</v>
      </c>
      <c r="F81" s="111" t="s">
        <v>20</v>
      </c>
      <c r="G81" s="113">
        <v>3.5</v>
      </c>
      <c r="H81" s="113">
        <f>G81*H80</f>
        <v>104.3</v>
      </c>
      <c r="I81" s="16"/>
      <c r="J81" s="16"/>
      <c r="K81" s="16"/>
      <c r="L81" s="16"/>
      <c r="M81" s="16"/>
      <c r="N81" s="16"/>
      <c r="O81" s="20"/>
      <c r="P81" s="124"/>
    </row>
    <row r="82" spans="2:16" outlineLevel="1" x14ac:dyDescent="0.4">
      <c r="B82" s="110"/>
      <c r="C82" s="115"/>
      <c r="D82" s="111"/>
      <c r="E82" s="111" t="s">
        <v>150</v>
      </c>
      <c r="F82" s="111" t="s">
        <v>56</v>
      </c>
      <c r="G82" s="113">
        <v>0.2</v>
      </c>
      <c r="H82" s="113">
        <f>G82*H80</f>
        <v>5.9600000000000009</v>
      </c>
      <c r="I82" s="16"/>
      <c r="J82" s="16"/>
      <c r="K82" s="16"/>
      <c r="L82" s="16"/>
      <c r="M82" s="16"/>
      <c r="N82" s="16"/>
      <c r="O82" s="20"/>
      <c r="P82" s="124"/>
    </row>
    <row r="83" spans="2:16" ht="23.4" outlineLevel="1" x14ac:dyDescent="0.4">
      <c r="B83" s="110"/>
      <c r="C83" s="115"/>
      <c r="D83" s="111"/>
      <c r="E83" s="111" t="s">
        <v>48</v>
      </c>
      <c r="F83" s="111" t="s">
        <v>45</v>
      </c>
      <c r="G83" s="113">
        <v>1</v>
      </c>
      <c r="H83" s="113">
        <f>G83*H80</f>
        <v>29.8</v>
      </c>
      <c r="I83" s="16"/>
      <c r="J83" s="16"/>
      <c r="K83" s="16"/>
      <c r="L83" s="16"/>
      <c r="M83" s="16"/>
      <c r="N83" s="16"/>
      <c r="O83" s="20"/>
      <c r="P83" s="124"/>
    </row>
    <row r="84" spans="2:16" outlineLevel="1" x14ac:dyDescent="0.4">
      <c r="B84" s="110"/>
      <c r="C84" s="115"/>
      <c r="D84" s="111"/>
      <c r="E84" s="111"/>
      <c r="F84" s="111"/>
      <c r="G84" s="113"/>
      <c r="H84" s="113"/>
      <c r="I84" s="16"/>
      <c r="J84" s="16"/>
      <c r="K84" s="16"/>
      <c r="L84" s="16"/>
      <c r="M84" s="16"/>
      <c r="N84" s="16"/>
      <c r="O84" s="20"/>
      <c r="P84" s="124"/>
    </row>
    <row r="85" spans="2:16" ht="42" outlineLevel="1" x14ac:dyDescent="0.3">
      <c r="B85" s="110"/>
      <c r="C85" s="147" t="s">
        <v>443</v>
      </c>
      <c r="D85" s="111"/>
      <c r="E85" s="112" t="s">
        <v>205</v>
      </c>
      <c r="F85" s="166" t="s">
        <v>28</v>
      </c>
      <c r="G85" s="167"/>
      <c r="H85" s="167">
        <v>22</v>
      </c>
      <c r="I85" s="11"/>
      <c r="J85" s="168"/>
      <c r="K85" s="11"/>
      <c r="L85" s="168"/>
      <c r="M85" s="11"/>
      <c r="N85" s="168"/>
      <c r="O85" s="168"/>
      <c r="P85" s="124"/>
    </row>
    <row r="86" spans="2:16" outlineLevel="1" x14ac:dyDescent="0.4">
      <c r="B86" s="110"/>
      <c r="C86" s="115"/>
      <c r="D86" s="111"/>
      <c r="E86" s="111" t="s">
        <v>127</v>
      </c>
      <c r="F86" s="111" t="s">
        <v>46</v>
      </c>
      <c r="G86" s="113">
        <v>1</v>
      </c>
      <c r="H86" s="113">
        <f>G86*H85</f>
        <v>22</v>
      </c>
      <c r="I86" s="16"/>
      <c r="J86" s="16"/>
      <c r="K86" s="16"/>
      <c r="L86" s="16"/>
      <c r="M86" s="16"/>
      <c r="N86" s="16"/>
      <c r="O86" s="20"/>
      <c r="P86" s="124"/>
    </row>
    <row r="87" spans="2:16" outlineLevel="1" x14ac:dyDescent="0.4">
      <c r="B87" s="110"/>
      <c r="C87" s="115"/>
      <c r="D87" s="111"/>
      <c r="E87" s="111" t="s">
        <v>91</v>
      </c>
      <c r="F87" s="111" t="s">
        <v>20</v>
      </c>
      <c r="G87" s="113">
        <v>8</v>
      </c>
      <c r="H87" s="113">
        <f>G87*H85</f>
        <v>176</v>
      </c>
      <c r="I87" s="16"/>
      <c r="J87" s="16"/>
      <c r="K87" s="16"/>
      <c r="L87" s="16"/>
      <c r="M87" s="16"/>
      <c r="N87" s="16"/>
      <c r="O87" s="20"/>
      <c r="P87" s="124"/>
    </row>
    <row r="88" spans="2:16" outlineLevel="1" x14ac:dyDescent="0.4">
      <c r="B88" s="110"/>
      <c r="C88" s="115"/>
      <c r="D88" s="111"/>
      <c r="E88" s="111" t="s">
        <v>87</v>
      </c>
      <c r="F88" s="111" t="s">
        <v>20</v>
      </c>
      <c r="G88" s="113">
        <v>1</v>
      </c>
      <c r="H88" s="113">
        <f>G88*H85</f>
        <v>22</v>
      </c>
      <c r="I88" s="16"/>
      <c r="J88" s="16"/>
      <c r="K88" s="16"/>
      <c r="L88" s="16"/>
      <c r="M88" s="16"/>
      <c r="N88" s="16"/>
      <c r="O88" s="20"/>
      <c r="P88" s="124"/>
    </row>
    <row r="89" spans="2:16" outlineLevel="1" x14ac:dyDescent="0.4">
      <c r="B89" s="110"/>
      <c r="C89" s="115"/>
      <c r="D89" s="111"/>
      <c r="E89" s="111" t="s">
        <v>88</v>
      </c>
      <c r="F89" s="111" t="s">
        <v>1</v>
      </c>
      <c r="G89" s="113">
        <v>15</v>
      </c>
      <c r="H89" s="113">
        <f>G89*H85</f>
        <v>330</v>
      </c>
      <c r="I89" s="16"/>
      <c r="J89" s="16"/>
      <c r="K89" s="16"/>
      <c r="L89" s="16"/>
      <c r="M89" s="16"/>
      <c r="N89" s="16"/>
      <c r="O89" s="20"/>
      <c r="P89" s="124"/>
    </row>
    <row r="90" spans="2:16" outlineLevel="1" x14ac:dyDescent="0.4">
      <c r="B90" s="110"/>
      <c r="C90" s="115"/>
      <c r="D90" s="111"/>
      <c r="E90" s="111" t="s">
        <v>89</v>
      </c>
      <c r="F90" s="111" t="s">
        <v>1</v>
      </c>
      <c r="G90" s="113">
        <v>10</v>
      </c>
      <c r="H90" s="113">
        <f>G90*H85</f>
        <v>220</v>
      </c>
      <c r="I90" s="16"/>
      <c r="J90" s="16"/>
      <c r="K90" s="16"/>
      <c r="L90" s="16"/>
      <c r="M90" s="16"/>
      <c r="N90" s="16"/>
      <c r="O90" s="20"/>
      <c r="P90" s="124"/>
    </row>
    <row r="91" spans="2:16" outlineLevel="1" x14ac:dyDescent="0.4">
      <c r="B91" s="110"/>
      <c r="C91" s="115"/>
      <c r="D91" s="111"/>
      <c r="E91" s="111" t="s">
        <v>159</v>
      </c>
      <c r="F91" s="111" t="s">
        <v>28</v>
      </c>
      <c r="G91" s="113">
        <v>1</v>
      </c>
      <c r="H91" s="113">
        <f>G91*H85</f>
        <v>22</v>
      </c>
      <c r="I91" s="16"/>
      <c r="J91" s="16"/>
      <c r="K91" s="16"/>
      <c r="L91" s="16"/>
      <c r="M91" s="16"/>
      <c r="N91" s="16"/>
      <c r="O91" s="20"/>
      <c r="P91" s="124"/>
    </row>
    <row r="92" spans="2:16" outlineLevel="1" x14ac:dyDescent="0.4">
      <c r="B92" s="110"/>
      <c r="C92" s="115"/>
      <c r="D92" s="111"/>
      <c r="E92" s="111"/>
      <c r="F92" s="111"/>
      <c r="G92" s="113"/>
      <c r="H92" s="113"/>
      <c r="I92" s="16"/>
      <c r="J92" s="16"/>
      <c r="K92" s="16"/>
      <c r="L92" s="16"/>
      <c r="M92" s="16"/>
      <c r="N92" s="16"/>
      <c r="O92" s="20"/>
      <c r="P92" s="124"/>
    </row>
    <row r="93" spans="2:16" ht="23.4" outlineLevel="1" x14ac:dyDescent="0.3">
      <c r="B93" s="110"/>
      <c r="C93" s="147" t="s">
        <v>444</v>
      </c>
      <c r="D93" s="111"/>
      <c r="E93" s="112" t="s">
        <v>204</v>
      </c>
      <c r="F93" s="166" t="s">
        <v>44</v>
      </c>
      <c r="G93" s="167"/>
      <c r="H93" s="167">
        <f>H70+H75</f>
        <v>5.3</v>
      </c>
      <c r="I93" s="11"/>
      <c r="J93" s="168"/>
      <c r="K93" s="11"/>
      <c r="L93" s="168"/>
      <c r="M93" s="11"/>
      <c r="N93" s="168"/>
      <c r="O93" s="168"/>
      <c r="P93" s="124"/>
    </row>
    <row r="94" spans="2:16" ht="23.4" outlineLevel="1" x14ac:dyDescent="0.4">
      <c r="B94" s="110"/>
      <c r="C94" s="115"/>
      <c r="D94" s="111"/>
      <c r="E94" s="111" t="s">
        <v>158</v>
      </c>
      <c r="F94" s="111" t="s">
        <v>45</v>
      </c>
      <c r="G94" s="113">
        <v>1.05</v>
      </c>
      <c r="H94" s="113">
        <f>G94*H93</f>
        <v>5.5650000000000004</v>
      </c>
      <c r="I94" s="16"/>
      <c r="J94" s="16"/>
      <c r="K94" s="16"/>
      <c r="L94" s="16"/>
      <c r="M94" s="16"/>
      <c r="N94" s="16"/>
      <c r="O94" s="20"/>
      <c r="P94" s="124"/>
    </row>
    <row r="95" spans="2:16" outlineLevel="1" x14ac:dyDescent="0.4">
      <c r="B95" s="110"/>
      <c r="C95" s="115"/>
      <c r="D95" s="111"/>
      <c r="E95" s="111" t="s">
        <v>91</v>
      </c>
      <c r="F95" s="111" t="s">
        <v>20</v>
      </c>
      <c r="G95" s="113">
        <v>8</v>
      </c>
      <c r="H95" s="113">
        <f>G95*H93</f>
        <v>42.4</v>
      </c>
      <c r="I95" s="16"/>
      <c r="J95" s="16"/>
      <c r="K95" s="16"/>
      <c r="L95" s="16"/>
      <c r="M95" s="16"/>
      <c r="N95" s="16"/>
      <c r="O95" s="20"/>
      <c r="P95" s="124"/>
    </row>
    <row r="96" spans="2:16" outlineLevel="1" x14ac:dyDescent="0.4">
      <c r="B96" s="110"/>
      <c r="C96" s="115"/>
      <c r="D96" s="111"/>
      <c r="E96" s="111" t="s">
        <v>87</v>
      </c>
      <c r="F96" s="111" t="s">
        <v>20</v>
      </c>
      <c r="G96" s="113">
        <v>1</v>
      </c>
      <c r="H96" s="113">
        <f>G96*H93</f>
        <v>5.3</v>
      </c>
      <c r="I96" s="16"/>
      <c r="J96" s="16"/>
      <c r="K96" s="16"/>
      <c r="L96" s="16"/>
      <c r="M96" s="16"/>
      <c r="N96" s="16"/>
      <c r="O96" s="20"/>
      <c r="P96" s="124"/>
    </row>
    <row r="97" spans="2:16" outlineLevel="1" x14ac:dyDescent="0.4">
      <c r="B97" s="110"/>
      <c r="C97" s="115"/>
      <c r="D97" s="111"/>
      <c r="E97" s="111" t="s">
        <v>88</v>
      </c>
      <c r="F97" s="111" t="s">
        <v>1</v>
      </c>
      <c r="G97" s="113">
        <v>15</v>
      </c>
      <c r="H97" s="113">
        <f>G97*H93</f>
        <v>79.5</v>
      </c>
      <c r="I97" s="16"/>
      <c r="J97" s="16"/>
      <c r="K97" s="16"/>
      <c r="L97" s="16"/>
      <c r="M97" s="16"/>
      <c r="N97" s="16"/>
      <c r="O97" s="20"/>
      <c r="P97" s="124"/>
    </row>
    <row r="98" spans="2:16" outlineLevel="1" x14ac:dyDescent="0.4">
      <c r="B98" s="110"/>
      <c r="C98" s="115"/>
      <c r="D98" s="111"/>
      <c r="E98" s="111" t="s">
        <v>89</v>
      </c>
      <c r="F98" s="111" t="s">
        <v>1</v>
      </c>
      <c r="G98" s="113">
        <v>10</v>
      </c>
      <c r="H98" s="113">
        <f>G98*H93</f>
        <v>53</v>
      </c>
      <c r="I98" s="16"/>
      <c r="J98" s="16"/>
      <c r="K98" s="16"/>
      <c r="L98" s="16"/>
      <c r="M98" s="16"/>
      <c r="N98" s="16"/>
      <c r="O98" s="20"/>
      <c r="P98" s="124"/>
    </row>
    <row r="99" spans="2:16" ht="23.4" outlineLevel="1" x14ac:dyDescent="0.4">
      <c r="B99" s="110"/>
      <c r="C99" s="115"/>
      <c r="D99" s="111"/>
      <c r="E99" s="111" t="s">
        <v>90</v>
      </c>
      <c r="F99" s="111" t="s">
        <v>45</v>
      </c>
      <c r="G99" s="113">
        <v>1</v>
      </c>
      <c r="H99" s="113">
        <f>G99*H93</f>
        <v>5.3</v>
      </c>
      <c r="I99" s="16"/>
      <c r="J99" s="16"/>
      <c r="K99" s="16"/>
      <c r="L99" s="16"/>
      <c r="M99" s="16"/>
      <c r="N99" s="16"/>
      <c r="O99" s="20"/>
      <c r="P99" s="124"/>
    </row>
    <row r="100" spans="2:16" outlineLevel="1" x14ac:dyDescent="0.4">
      <c r="B100" s="110"/>
      <c r="C100" s="115"/>
      <c r="D100" s="111"/>
      <c r="E100" s="111"/>
      <c r="F100" s="111"/>
      <c r="G100" s="113"/>
      <c r="H100" s="113"/>
      <c r="I100" s="16"/>
      <c r="J100" s="16"/>
      <c r="K100" s="16"/>
      <c r="L100" s="16"/>
      <c r="M100" s="16"/>
      <c r="N100" s="16"/>
      <c r="O100" s="20"/>
      <c r="P100" s="124"/>
    </row>
    <row r="101" spans="2:16" ht="63" outlineLevel="1" x14ac:dyDescent="0.3">
      <c r="B101" s="110"/>
      <c r="C101" s="147" t="s">
        <v>444</v>
      </c>
      <c r="D101" s="111"/>
      <c r="E101" s="112" t="s">
        <v>355</v>
      </c>
      <c r="F101" s="166" t="s">
        <v>44</v>
      </c>
      <c r="G101" s="167"/>
      <c r="H101" s="167">
        <v>15.5</v>
      </c>
      <c r="I101" s="11"/>
      <c r="J101" s="168"/>
      <c r="K101" s="11"/>
      <c r="L101" s="168"/>
      <c r="M101" s="11"/>
      <c r="N101" s="168"/>
      <c r="O101" s="168"/>
      <c r="P101" s="124"/>
    </row>
    <row r="102" spans="2:16" ht="23.4" outlineLevel="1" x14ac:dyDescent="0.4">
      <c r="B102" s="110"/>
      <c r="C102" s="115"/>
      <c r="D102" s="111"/>
      <c r="E102" s="111" t="s">
        <v>125</v>
      </c>
      <c r="F102" s="111" t="s">
        <v>45</v>
      </c>
      <c r="G102" s="113">
        <v>1.05</v>
      </c>
      <c r="H102" s="113">
        <f>G102*H101</f>
        <v>16.275000000000002</v>
      </c>
      <c r="I102" s="16"/>
      <c r="J102" s="16"/>
      <c r="K102" s="16"/>
      <c r="L102" s="16"/>
      <c r="M102" s="16"/>
      <c r="N102" s="16"/>
      <c r="O102" s="20"/>
      <c r="P102" s="124"/>
    </row>
    <row r="103" spans="2:16" outlineLevel="1" x14ac:dyDescent="0.4">
      <c r="B103" s="110"/>
      <c r="C103" s="115"/>
      <c r="D103" s="111"/>
      <c r="E103" s="111" t="s">
        <v>91</v>
      </c>
      <c r="F103" s="111" t="s">
        <v>20</v>
      </c>
      <c r="G103" s="113">
        <v>5</v>
      </c>
      <c r="H103" s="113">
        <f>G103*H101</f>
        <v>77.5</v>
      </c>
      <c r="I103" s="16"/>
      <c r="J103" s="16"/>
      <c r="K103" s="16"/>
      <c r="L103" s="16"/>
      <c r="M103" s="16"/>
      <c r="N103" s="16"/>
      <c r="O103" s="20"/>
      <c r="P103" s="124"/>
    </row>
    <row r="104" spans="2:16" outlineLevel="1" x14ac:dyDescent="0.4">
      <c r="B104" s="110"/>
      <c r="C104" s="115"/>
      <c r="D104" s="111"/>
      <c r="E104" s="111" t="s">
        <v>87</v>
      </c>
      <c r="F104" s="111" t="s">
        <v>20</v>
      </c>
      <c r="G104" s="113">
        <v>1</v>
      </c>
      <c r="H104" s="113">
        <f>G104*H101</f>
        <v>15.5</v>
      </c>
      <c r="I104" s="16"/>
      <c r="J104" s="16"/>
      <c r="K104" s="16"/>
      <c r="L104" s="16"/>
      <c r="M104" s="16"/>
      <c r="N104" s="16"/>
      <c r="O104" s="20"/>
      <c r="P104" s="124"/>
    </row>
    <row r="105" spans="2:16" outlineLevel="1" x14ac:dyDescent="0.4">
      <c r="B105" s="110"/>
      <c r="C105" s="115"/>
      <c r="D105" s="111"/>
      <c r="E105" s="111" t="s">
        <v>88</v>
      </c>
      <c r="F105" s="111" t="s">
        <v>1</v>
      </c>
      <c r="G105" s="113">
        <v>15</v>
      </c>
      <c r="H105" s="113">
        <f>G105*H101</f>
        <v>232.5</v>
      </c>
      <c r="I105" s="16"/>
      <c r="J105" s="16"/>
      <c r="K105" s="16"/>
      <c r="L105" s="16"/>
      <c r="M105" s="16"/>
      <c r="N105" s="16"/>
      <c r="O105" s="20"/>
      <c r="P105" s="124"/>
    </row>
    <row r="106" spans="2:16" outlineLevel="1" x14ac:dyDescent="0.4">
      <c r="B106" s="110"/>
      <c r="C106" s="115"/>
      <c r="D106" s="111"/>
      <c r="E106" s="111" t="s">
        <v>89</v>
      </c>
      <c r="F106" s="111" t="s">
        <v>1</v>
      </c>
      <c r="G106" s="113">
        <v>10</v>
      </c>
      <c r="H106" s="113">
        <f>G106*H101</f>
        <v>155</v>
      </c>
      <c r="I106" s="16"/>
      <c r="J106" s="16"/>
      <c r="K106" s="16"/>
      <c r="L106" s="16"/>
      <c r="M106" s="16"/>
      <c r="N106" s="16"/>
      <c r="O106" s="20"/>
      <c r="P106" s="124"/>
    </row>
    <row r="107" spans="2:16" ht="23.4" outlineLevel="1" x14ac:dyDescent="0.4">
      <c r="B107" s="110"/>
      <c r="C107" s="115"/>
      <c r="D107" s="111"/>
      <c r="E107" s="111" t="s">
        <v>90</v>
      </c>
      <c r="F107" s="111" t="s">
        <v>45</v>
      </c>
      <c r="G107" s="113">
        <v>1</v>
      </c>
      <c r="H107" s="113">
        <f>G107*H101</f>
        <v>15.5</v>
      </c>
      <c r="I107" s="16"/>
      <c r="J107" s="16"/>
      <c r="K107" s="16"/>
      <c r="L107" s="16"/>
      <c r="M107" s="16"/>
      <c r="N107" s="16"/>
      <c r="O107" s="20"/>
      <c r="P107" s="124"/>
    </row>
    <row r="108" spans="2:16" outlineLevel="1" x14ac:dyDescent="0.4">
      <c r="B108" s="110"/>
      <c r="C108" s="115"/>
      <c r="D108" s="111"/>
      <c r="E108" s="111"/>
      <c r="F108" s="111"/>
      <c r="G108" s="113"/>
      <c r="H108" s="113"/>
      <c r="I108" s="16"/>
      <c r="J108" s="16"/>
      <c r="K108" s="16"/>
      <c r="L108" s="16"/>
      <c r="M108" s="16"/>
      <c r="N108" s="16"/>
      <c r="O108" s="20"/>
      <c r="P108" s="124"/>
    </row>
    <row r="109" spans="2:16" ht="42" outlineLevel="1" x14ac:dyDescent="0.3">
      <c r="B109" s="110"/>
      <c r="C109" s="147" t="s">
        <v>441</v>
      </c>
      <c r="D109" s="111"/>
      <c r="E109" s="112" t="s">
        <v>210</v>
      </c>
      <c r="F109" s="166" t="s">
        <v>44</v>
      </c>
      <c r="G109" s="167"/>
      <c r="H109" s="167">
        <f>H65</f>
        <v>29.8</v>
      </c>
      <c r="I109" s="11"/>
      <c r="J109" s="168"/>
      <c r="K109" s="11"/>
      <c r="L109" s="168"/>
      <c r="M109" s="11"/>
      <c r="N109" s="168"/>
      <c r="O109" s="168"/>
      <c r="P109" s="124"/>
    </row>
    <row r="110" spans="2:16" ht="23.4" outlineLevel="1" x14ac:dyDescent="0.4">
      <c r="B110" s="110"/>
      <c r="C110" s="115"/>
      <c r="D110" s="111"/>
      <c r="E110" s="111" t="s">
        <v>125</v>
      </c>
      <c r="F110" s="111" t="s">
        <v>45</v>
      </c>
      <c r="G110" s="113">
        <v>1.05</v>
      </c>
      <c r="H110" s="113">
        <f>G110*H109</f>
        <v>31.290000000000003</v>
      </c>
      <c r="I110" s="16"/>
      <c r="J110" s="16"/>
      <c r="K110" s="16"/>
      <c r="L110" s="16"/>
      <c r="M110" s="16"/>
      <c r="N110" s="16"/>
      <c r="O110" s="20"/>
      <c r="P110" s="124"/>
    </row>
    <row r="111" spans="2:16" outlineLevel="1" x14ac:dyDescent="0.4">
      <c r="B111" s="110"/>
      <c r="C111" s="115"/>
      <c r="D111" s="111"/>
      <c r="E111" s="111" t="s">
        <v>91</v>
      </c>
      <c r="F111" s="111" t="s">
        <v>20</v>
      </c>
      <c r="G111" s="113">
        <v>5</v>
      </c>
      <c r="H111" s="113">
        <f>G111*H109</f>
        <v>149</v>
      </c>
      <c r="I111" s="16"/>
      <c r="J111" s="16"/>
      <c r="K111" s="16"/>
      <c r="L111" s="16"/>
      <c r="M111" s="16"/>
      <c r="N111" s="16"/>
      <c r="O111" s="20"/>
      <c r="P111" s="124"/>
    </row>
    <row r="112" spans="2:16" outlineLevel="1" x14ac:dyDescent="0.4">
      <c r="B112" s="110"/>
      <c r="C112" s="115"/>
      <c r="D112" s="111"/>
      <c r="E112" s="111" t="s">
        <v>87</v>
      </c>
      <c r="F112" s="111" t="s">
        <v>20</v>
      </c>
      <c r="G112" s="113">
        <v>1</v>
      </c>
      <c r="H112" s="113">
        <f>G112*H109</f>
        <v>29.8</v>
      </c>
      <c r="I112" s="16"/>
      <c r="J112" s="16"/>
      <c r="K112" s="16"/>
      <c r="L112" s="16"/>
      <c r="M112" s="16"/>
      <c r="N112" s="16"/>
      <c r="O112" s="20"/>
      <c r="P112" s="124"/>
    </row>
    <row r="113" spans="2:16" outlineLevel="1" x14ac:dyDescent="0.4">
      <c r="B113" s="110"/>
      <c r="C113" s="115"/>
      <c r="D113" s="111"/>
      <c r="E113" s="111" t="s">
        <v>88</v>
      </c>
      <c r="F113" s="111" t="s">
        <v>1</v>
      </c>
      <c r="G113" s="113">
        <v>15</v>
      </c>
      <c r="H113" s="113">
        <f>G113*H109</f>
        <v>447</v>
      </c>
      <c r="I113" s="16"/>
      <c r="J113" s="16"/>
      <c r="K113" s="16"/>
      <c r="L113" s="16"/>
      <c r="M113" s="16"/>
      <c r="N113" s="16"/>
      <c r="O113" s="20"/>
      <c r="P113" s="124"/>
    </row>
    <row r="114" spans="2:16" outlineLevel="1" x14ac:dyDescent="0.4">
      <c r="B114" s="110"/>
      <c r="C114" s="115"/>
      <c r="D114" s="111"/>
      <c r="E114" s="111" t="s">
        <v>89</v>
      </c>
      <c r="F114" s="111" t="s">
        <v>1</v>
      </c>
      <c r="G114" s="113">
        <v>10</v>
      </c>
      <c r="H114" s="113">
        <f>G114*H109</f>
        <v>298</v>
      </c>
      <c r="I114" s="16"/>
      <c r="J114" s="16"/>
      <c r="K114" s="16"/>
      <c r="L114" s="16"/>
      <c r="M114" s="16"/>
      <c r="N114" s="16"/>
      <c r="O114" s="20"/>
      <c r="P114" s="124"/>
    </row>
    <row r="115" spans="2:16" ht="23.4" outlineLevel="1" x14ac:dyDescent="0.4">
      <c r="B115" s="110"/>
      <c r="C115" s="115"/>
      <c r="D115" s="111"/>
      <c r="E115" s="111" t="s">
        <v>90</v>
      </c>
      <c r="F115" s="111" t="s">
        <v>45</v>
      </c>
      <c r="G115" s="113">
        <v>1</v>
      </c>
      <c r="H115" s="113">
        <f>G115*H109</f>
        <v>29.8</v>
      </c>
      <c r="I115" s="16"/>
      <c r="J115" s="16"/>
      <c r="K115" s="16"/>
      <c r="L115" s="16"/>
      <c r="M115" s="16"/>
      <c r="N115" s="16"/>
      <c r="O115" s="20"/>
      <c r="P115" s="124"/>
    </row>
    <row r="116" spans="2:16" outlineLevel="1" x14ac:dyDescent="0.4">
      <c r="B116" s="110"/>
      <c r="C116" s="115"/>
      <c r="D116" s="111"/>
      <c r="E116" s="111"/>
      <c r="F116" s="111"/>
      <c r="G116" s="113"/>
      <c r="H116" s="113"/>
      <c r="I116" s="16"/>
      <c r="J116" s="16"/>
      <c r="K116" s="16"/>
      <c r="L116" s="16"/>
      <c r="M116" s="16"/>
      <c r="N116" s="16"/>
      <c r="O116" s="20"/>
      <c r="P116" s="124"/>
    </row>
    <row r="117" spans="2:16" ht="42" outlineLevel="1" x14ac:dyDescent="0.3">
      <c r="B117" s="110"/>
      <c r="C117" s="147" t="s">
        <v>441</v>
      </c>
      <c r="D117" s="111"/>
      <c r="E117" s="112" t="s">
        <v>211</v>
      </c>
      <c r="F117" s="166" t="s">
        <v>41</v>
      </c>
      <c r="G117" s="167"/>
      <c r="H117" s="167">
        <f>8.4*2</f>
        <v>16.8</v>
      </c>
      <c r="I117" s="11"/>
      <c r="J117" s="168"/>
      <c r="K117" s="11"/>
      <c r="L117" s="168"/>
      <c r="M117" s="11"/>
      <c r="N117" s="168"/>
      <c r="O117" s="168"/>
      <c r="P117" s="124"/>
    </row>
    <row r="118" spans="2:16" ht="23.4" outlineLevel="1" x14ac:dyDescent="0.4">
      <c r="B118" s="110"/>
      <c r="C118" s="115"/>
      <c r="D118" s="111"/>
      <c r="E118" s="111" t="s">
        <v>125</v>
      </c>
      <c r="F118" s="111" t="s">
        <v>45</v>
      </c>
      <c r="G118" s="113">
        <f>0.2*1.05</f>
        <v>0.21000000000000002</v>
      </c>
      <c r="H118" s="113">
        <f>G118*H117</f>
        <v>3.5280000000000005</v>
      </c>
      <c r="I118" s="16"/>
      <c r="J118" s="16"/>
      <c r="K118" s="16"/>
      <c r="L118" s="16"/>
      <c r="M118" s="16"/>
      <c r="N118" s="16"/>
      <c r="O118" s="20"/>
      <c r="P118" s="124"/>
    </row>
    <row r="119" spans="2:16" outlineLevel="1" x14ac:dyDescent="0.4">
      <c r="B119" s="110"/>
      <c r="C119" s="115"/>
      <c r="D119" s="111"/>
      <c r="E119" s="111" t="s">
        <v>91</v>
      </c>
      <c r="F119" s="111" t="s">
        <v>20</v>
      </c>
      <c r="G119" s="113">
        <v>5</v>
      </c>
      <c r="H119" s="113">
        <f>G119*H118</f>
        <v>17.64</v>
      </c>
      <c r="I119" s="16"/>
      <c r="J119" s="16"/>
      <c r="K119" s="16"/>
      <c r="L119" s="16"/>
      <c r="M119" s="16"/>
      <c r="N119" s="16"/>
      <c r="O119" s="20"/>
      <c r="P119" s="124"/>
    </row>
    <row r="120" spans="2:16" outlineLevel="1" x14ac:dyDescent="0.4">
      <c r="B120" s="110"/>
      <c r="C120" s="115"/>
      <c r="D120" s="111"/>
      <c r="E120" s="111" t="s">
        <v>87</v>
      </c>
      <c r="F120" s="111" t="s">
        <v>20</v>
      </c>
      <c r="G120" s="113">
        <v>2</v>
      </c>
      <c r="H120" s="113">
        <f>G120*H117</f>
        <v>33.6</v>
      </c>
      <c r="I120" s="16"/>
      <c r="J120" s="16"/>
      <c r="K120" s="16"/>
      <c r="L120" s="16"/>
      <c r="M120" s="16"/>
      <c r="N120" s="16"/>
      <c r="O120" s="20"/>
      <c r="P120" s="124"/>
    </row>
    <row r="121" spans="2:16" outlineLevel="1" x14ac:dyDescent="0.4">
      <c r="B121" s="110"/>
      <c r="C121" s="115"/>
      <c r="D121" s="111"/>
      <c r="E121" s="111" t="s">
        <v>93</v>
      </c>
      <c r="F121" s="111" t="s">
        <v>41</v>
      </c>
      <c r="G121" s="113">
        <v>1</v>
      </c>
      <c r="H121" s="113">
        <f>G121*H117</f>
        <v>16.8</v>
      </c>
      <c r="I121" s="16"/>
      <c r="J121" s="16"/>
      <c r="K121" s="16"/>
      <c r="L121" s="16"/>
      <c r="M121" s="16"/>
      <c r="N121" s="16"/>
      <c r="O121" s="20"/>
      <c r="P121" s="124"/>
    </row>
    <row r="122" spans="2:16" outlineLevel="1" x14ac:dyDescent="0.4">
      <c r="B122" s="110"/>
      <c r="C122" s="115"/>
      <c r="D122" s="111"/>
      <c r="E122" s="111"/>
      <c r="F122" s="111"/>
      <c r="G122" s="169"/>
      <c r="H122" s="113"/>
      <c r="I122" s="16"/>
      <c r="J122" s="16"/>
      <c r="K122" s="16"/>
      <c r="L122" s="16"/>
      <c r="M122" s="16"/>
      <c r="N122" s="16"/>
      <c r="O122" s="20"/>
      <c r="P122" s="124"/>
    </row>
    <row r="123" spans="2:16" ht="42" outlineLevel="1" x14ac:dyDescent="0.3">
      <c r="B123" s="110"/>
      <c r="C123" s="147" t="s">
        <v>445</v>
      </c>
      <c r="D123" s="111"/>
      <c r="E123" s="112" t="s">
        <v>198</v>
      </c>
      <c r="F123" s="166" t="s">
        <v>44</v>
      </c>
      <c r="G123" s="167"/>
      <c r="H123" s="167">
        <f>(16.3+4.7)*2</f>
        <v>42</v>
      </c>
      <c r="I123" s="11"/>
      <c r="J123" s="168"/>
      <c r="K123" s="11"/>
      <c r="L123" s="168"/>
      <c r="M123" s="11"/>
      <c r="N123" s="168"/>
      <c r="O123" s="168"/>
      <c r="P123" s="124"/>
    </row>
    <row r="124" spans="2:16" ht="23.4" outlineLevel="1" x14ac:dyDescent="0.4">
      <c r="B124" s="110"/>
      <c r="C124" s="115"/>
      <c r="D124" s="111"/>
      <c r="E124" s="111" t="s">
        <v>67</v>
      </c>
      <c r="F124" s="111" t="s">
        <v>43</v>
      </c>
      <c r="G124" s="113">
        <f>0.1*1.015</f>
        <v>0.10149999999999999</v>
      </c>
      <c r="H124" s="113">
        <f>G124*H123</f>
        <v>4.2629999999999999</v>
      </c>
      <c r="I124" s="16"/>
      <c r="J124" s="16"/>
      <c r="K124" s="16"/>
      <c r="L124" s="16"/>
      <c r="M124" s="16"/>
      <c r="N124" s="16"/>
      <c r="O124" s="20"/>
      <c r="P124" s="124"/>
    </row>
    <row r="125" spans="2:16" ht="23.4" outlineLevel="1" x14ac:dyDescent="0.4">
      <c r="B125" s="110"/>
      <c r="C125" s="115"/>
      <c r="D125" s="111"/>
      <c r="E125" s="111" t="s">
        <v>16</v>
      </c>
      <c r="F125" s="111" t="s">
        <v>43</v>
      </c>
      <c r="G125" s="113">
        <v>1</v>
      </c>
      <c r="H125" s="113">
        <f>G125*H124</f>
        <v>4.2629999999999999</v>
      </c>
      <c r="I125" s="16"/>
      <c r="J125" s="16"/>
      <c r="K125" s="16"/>
      <c r="L125" s="16"/>
      <c r="M125" s="16"/>
      <c r="N125" s="16"/>
      <c r="O125" s="20"/>
      <c r="P125" s="124"/>
    </row>
    <row r="126" spans="2:16" ht="23.4" outlineLevel="1" x14ac:dyDescent="0.4">
      <c r="B126" s="110"/>
      <c r="C126" s="115"/>
      <c r="D126" s="111"/>
      <c r="E126" s="111" t="s">
        <v>66</v>
      </c>
      <c r="F126" s="111" t="s">
        <v>45</v>
      </c>
      <c r="G126" s="113">
        <v>1</v>
      </c>
      <c r="H126" s="113">
        <f>G126*H123</f>
        <v>42</v>
      </c>
      <c r="I126" s="16"/>
      <c r="J126" s="16"/>
      <c r="K126" s="16"/>
      <c r="L126" s="16"/>
      <c r="M126" s="16"/>
      <c r="N126" s="16"/>
      <c r="O126" s="20"/>
      <c r="P126" s="124"/>
    </row>
    <row r="127" spans="2:16" outlineLevel="1" x14ac:dyDescent="0.4">
      <c r="B127" s="110"/>
      <c r="C127" s="115"/>
      <c r="D127" s="111"/>
      <c r="E127" s="111"/>
      <c r="F127" s="111"/>
      <c r="G127" s="113"/>
      <c r="H127" s="113"/>
      <c r="I127" s="16"/>
      <c r="J127" s="16"/>
      <c r="K127" s="16"/>
      <c r="L127" s="16"/>
      <c r="M127" s="16"/>
      <c r="N127" s="16"/>
      <c r="O127" s="20"/>
      <c r="P127" s="124"/>
    </row>
    <row r="128" spans="2:16" ht="42" outlineLevel="1" x14ac:dyDescent="0.3">
      <c r="B128" s="110"/>
      <c r="C128" s="147" t="s">
        <v>440</v>
      </c>
      <c r="D128" s="111"/>
      <c r="E128" s="112" t="s">
        <v>198</v>
      </c>
      <c r="F128" s="166" t="s">
        <v>44</v>
      </c>
      <c r="G128" s="167"/>
      <c r="H128" s="167">
        <f>4.7+2</f>
        <v>6.7</v>
      </c>
      <c r="I128" s="11"/>
      <c r="J128" s="168"/>
      <c r="K128" s="11"/>
      <c r="L128" s="168"/>
      <c r="M128" s="11"/>
      <c r="N128" s="168"/>
      <c r="O128" s="168"/>
      <c r="P128" s="124"/>
    </row>
    <row r="129" spans="2:16" ht="23.4" outlineLevel="1" x14ac:dyDescent="0.4">
      <c r="B129" s="110"/>
      <c r="C129" s="115"/>
      <c r="D129" s="111"/>
      <c r="E129" s="111" t="s">
        <v>67</v>
      </c>
      <c r="F129" s="111" t="s">
        <v>43</v>
      </c>
      <c r="G129" s="113">
        <f>0.1*1.015</f>
        <v>0.10149999999999999</v>
      </c>
      <c r="H129" s="113">
        <f>G129*H128</f>
        <v>0.68004999999999993</v>
      </c>
      <c r="I129" s="16"/>
      <c r="J129" s="16"/>
      <c r="K129" s="16"/>
      <c r="L129" s="16"/>
      <c r="M129" s="16"/>
      <c r="N129" s="16"/>
      <c r="O129" s="20"/>
      <c r="P129" s="124"/>
    </row>
    <row r="130" spans="2:16" ht="23.4" outlineLevel="1" x14ac:dyDescent="0.4">
      <c r="B130" s="110"/>
      <c r="C130" s="115"/>
      <c r="D130" s="111"/>
      <c r="E130" s="111" t="s">
        <v>16</v>
      </c>
      <c r="F130" s="111" t="s">
        <v>43</v>
      </c>
      <c r="G130" s="113">
        <v>1</v>
      </c>
      <c r="H130" s="113">
        <f>G130*H129</f>
        <v>0.68004999999999993</v>
      </c>
      <c r="I130" s="16"/>
      <c r="J130" s="16"/>
      <c r="K130" s="16"/>
      <c r="L130" s="16"/>
      <c r="M130" s="16"/>
      <c r="N130" s="16"/>
      <c r="O130" s="20"/>
      <c r="P130" s="124"/>
    </row>
    <row r="131" spans="2:16" ht="23.4" outlineLevel="1" x14ac:dyDescent="0.4">
      <c r="B131" s="110"/>
      <c r="C131" s="115"/>
      <c r="D131" s="111"/>
      <c r="E131" s="111" t="s">
        <v>66</v>
      </c>
      <c r="F131" s="111" t="s">
        <v>45</v>
      </c>
      <c r="G131" s="113">
        <v>1</v>
      </c>
      <c r="H131" s="113">
        <f>G131*H128</f>
        <v>6.7</v>
      </c>
      <c r="I131" s="16"/>
      <c r="J131" s="16"/>
      <c r="K131" s="16"/>
      <c r="L131" s="16"/>
      <c r="M131" s="16"/>
      <c r="N131" s="16"/>
      <c r="O131" s="20"/>
      <c r="P131" s="124"/>
    </row>
    <row r="132" spans="2:16" outlineLevel="1" x14ac:dyDescent="0.3">
      <c r="B132" s="110"/>
      <c r="C132" s="115"/>
      <c r="D132" s="111"/>
      <c r="E132" s="111"/>
      <c r="F132" s="111"/>
      <c r="G132" s="113"/>
      <c r="H132" s="113"/>
      <c r="I132" s="11"/>
      <c r="J132" s="11"/>
      <c r="K132" s="11"/>
      <c r="L132" s="11"/>
      <c r="M132" s="11"/>
      <c r="N132" s="11"/>
      <c r="O132" s="114"/>
      <c r="P132" s="124"/>
    </row>
    <row r="133" spans="2:16" ht="42" outlineLevel="1" x14ac:dyDescent="0.3">
      <c r="B133" s="110"/>
      <c r="C133" s="147" t="s">
        <v>446</v>
      </c>
      <c r="D133" s="111"/>
      <c r="E133" s="112" t="s">
        <v>198</v>
      </c>
      <c r="F133" s="166" t="s">
        <v>44</v>
      </c>
      <c r="G133" s="167"/>
      <c r="H133" s="167">
        <f>14.9*2</f>
        <v>29.8</v>
      </c>
      <c r="I133" s="11"/>
      <c r="J133" s="168"/>
      <c r="K133" s="11"/>
      <c r="L133" s="168"/>
      <c r="M133" s="11"/>
      <c r="N133" s="168"/>
      <c r="O133" s="168"/>
      <c r="P133" s="124"/>
    </row>
    <row r="134" spans="2:16" ht="23.4" outlineLevel="1" x14ac:dyDescent="0.4">
      <c r="B134" s="110"/>
      <c r="C134" s="115"/>
      <c r="D134" s="111"/>
      <c r="E134" s="111" t="s">
        <v>67</v>
      </c>
      <c r="F134" s="111" t="s">
        <v>43</v>
      </c>
      <c r="G134" s="113">
        <f>0.1*1.015</f>
        <v>0.10149999999999999</v>
      </c>
      <c r="H134" s="113">
        <f>G134*H133</f>
        <v>3.0246999999999997</v>
      </c>
      <c r="I134" s="16"/>
      <c r="J134" s="16"/>
      <c r="K134" s="16"/>
      <c r="L134" s="16"/>
      <c r="M134" s="16"/>
      <c r="N134" s="16"/>
      <c r="O134" s="20"/>
      <c r="P134" s="124"/>
    </row>
    <row r="135" spans="2:16" ht="23.4" outlineLevel="1" x14ac:dyDescent="0.4">
      <c r="B135" s="110"/>
      <c r="C135" s="115"/>
      <c r="D135" s="111"/>
      <c r="E135" s="111" t="s">
        <v>16</v>
      </c>
      <c r="F135" s="111" t="s">
        <v>43</v>
      </c>
      <c r="G135" s="113">
        <v>1</v>
      </c>
      <c r="H135" s="113">
        <f>G135*H134</f>
        <v>3.0246999999999997</v>
      </c>
      <c r="I135" s="16"/>
      <c r="J135" s="16"/>
      <c r="K135" s="16"/>
      <c r="L135" s="16"/>
      <c r="M135" s="16"/>
      <c r="N135" s="16"/>
      <c r="O135" s="20"/>
      <c r="P135" s="124"/>
    </row>
    <row r="136" spans="2:16" ht="23.4" outlineLevel="1" x14ac:dyDescent="0.4">
      <c r="B136" s="110"/>
      <c r="C136" s="115"/>
      <c r="D136" s="111"/>
      <c r="E136" s="111" t="s">
        <v>66</v>
      </c>
      <c r="F136" s="111" t="s">
        <v>45</v>
      </c>
      <c r="G136" s="113">
        <v>1</v>
      </c>
      <c r="H136" s="113">
        <f>G136*H133</f>
        <v>29.8</v>
      </c>
      <c r="I136" s="16"/>
      <c r="J136" s="16"/>
      <c r="K136" s="16"/>
      <c r="L136" s="16"/>
      <c r="M136" s="16"/>
      <c r="N136" s="16"/>
      <c r="O136" s="20"/>
      <c r="P136" s="124"/>
    </row>
    <row r="137" spans="2:16" outlineLevel="1" x14ac:dyDescent="0.4">
      <c r="B137" s="110"/>
      <c r="C137" s="115"/>
      <c r="D137" s="111"/>
      <c r="E137" s="111"/>
      <c r="F137" s="111"/>
      <c r="G137" s="113"/>
      <c r="H137" s="113"/>
      <c r="I137" s="16"/>
      <c r="J137" s="16"/>
      <c r="K137" s="16"/>
      <c r="L137" s="16"/>
      <c r="M137" s="16"/>
      <c r="N137" s="16"/>
      <c r="O137" s="20"/>
      <c r="P137" s="124"/>
    </row>
    <row r="138" spans="2:16" ht="42" outlineLevel="1" x14ac:dyDescent="0.3">
      <c r="B138" s="110"/>
      <c r="C138" s="147" t="s">
        <v>447</v>
      </c>
      <c r="D138" s="111"/>
      <c r="E138" s="112" t="s">
        <v>198</v>
      </c>
      <c r="F138" s="166" t="s">
        <v>44</v>
      </c>
      <c r="G138" s="167"/>
      <c r="H138" s="167">
        <v>2.7</v>
      </c>
      <c r="I138" s="11"/>
      <c r="J138" s="168"/>
      <c r="K138" s="11"/>
      <c r="L138" s="168"/>
      <c r="M138" s="11"/>
      <c r="N138" s="168"/>
      <c r="O138" s="168"/>
      <c r="P138" s="124"/>
    </row>
    <row r="139" spans="2:16" ht="23.4" outlineLevel="1" x14ac:dyDescent="0.4">
      <c r="B139" s="110"/>
      <c r="C139" s="115"/>
      <c r="D139" s="111"/>
      <c r="E139" s="111" t="s">
        <v>67</v>
      </c>
      <c r="F139" s="111" t="s">
        <v>43</v>
      </c>
      <c r="G139" s="113">
        <f>0.1*1.015</f>
        <v>0.10149999999999999</v>
      </c>
      <c r="H139" s="113">
        <f>G139*H138</f>
        <v>0.27405000000000002</v>
      </c>
      <c r="I139" s="16"/>
      <c r="J139" s="16"/>
      <c r="K139" s="16"/>
      <c r="L139" s="16"/>
      <c r="M139" s="16"/>
      <c r="N139" s="16"/>
      <c r="O139" s="20"/>
      <c r="P139" s="124"/>
    </row>
    <row r="140" spans="2:16" ht="23.4" outlineLevel="1" x14ac:dyDescent="0.4">
      <c r="B140" s="110"/>
      <c r="C140" s="115"/>
      <c r="D140" s="111"/>
      <c r="E140" s="111" t="s">
        <v>16</v>
      </c>
      <c r="F140" s="111" t="s">
        <v>43</v>
      </c>
      <c r="G140" s="113">
        <v>1</v>
      </c>
      <c r="H140" s="113">
        <f>G140*H139</f>
        <v>0.27405000000000002</v>
      </c>
      <c r="I140" s="16"/>
      <c r="J140" s="16"/>
      <c r="K140" s="16"/>
      <c r="L140" s="16"/>
      <c r="M140" s="16"/>
      <c r="N140" s="16"/>
      <c r="O140" s="20"/>
      <c r="P140" s="124"/>
    </row>
    <row r="141" spans="2:16" ht="23.4" outlineLevel="1" x14ac:dyDescent="0.4">
      <c r="B141" s="110"/>
      <c r="C141" s="115"/>
      <c r="D141" s="111"/>
      <c r="E141" s="111" t="s">
        <v>66</v>
      </c>
      <c r="F141" s="111" t="s">
        <v>45</v>
      </c>
      <c r="G141" s="113">
        <v>1</v>
      </c>
      <c r="H141" s="113">
        <f>G141*H138</f>
        <v>2.7</v>
      </c>
      <c r="I141" s="16"/>
      <c r="J141" s="16"/>
      <c r="K141" s="16"/>
      <c r="L141" s="16"/>
      <c r="M141" s="16"/>
      <c r="N141" s="16"/>
      <c r="O141" s="20"/>
      <c r="P141" s="124"/>
    </row>
    <row r="142" spans="2:16" outlineLevel="1" x14ac:dyDescent="0.4">
      <c r="B142" s="110"/>
      <c r="C142" s="115"/>
      <c r="D142" s="111"/>
      <c r="E142" s="111"/>
      <c r="F142" s="111"/>
      <c r="G142" s="113"/>
      <c r="H142" s="113"/>
      <c r="I142" s="16"/>
      <c r="J142" s="16"/>
      <c r="K142" s="16"/>
      <c r="L142" s="16"/>
      <c r="M142" s="16"/>
      <c r="N142" s="16"/>
      <c r="O142" s="20"/>
      <c r="P142" s="124"/>
    </row>
    <row r="143" spans="2:16" ht="42" outlineLevel="1" x14ac:dyDescent="0.3">
      <c r="B143" s="110"/>
      <c r="C143" s="147" t="s">
        <v>448</v>
      </c>
      <c r="D143" s="111"/>
      <c r="E143" s="112" t="s">
        <v>198</v>
      </c>
      <c r="F143" s="166" t="s">
        <v>44</v>
      </c>
      <c r="G143" s="167"/>
      <c r="H143" s="167">
        <v>2.5</v>
      </c>
      <c r="I143" s="11"/>
      <c r="J143" s="168"/>
      <c r="K143" s="11"/>
      <c r="L143" s="168"/>
      <c r="M143" s="11"/>
      <c r="N143" s="168"/>
      <c r="O143" s="168"/>
      <c r="P143" s="124"/>
    </row>
    <row r="144" spans="2:16" ht="23.4" outlineLevel="1" x14ac:dyDescent="0.4">
      <c r="B144" s="110"/>
      <c r="C144" s="115"/>
      <c r="D144" s="111"/>
      <c r="E144" s="111" t="s">
        <v>67</v>
      </c>
      <c r="F144" s="111" t="s">
        <v>43</v>
      </c>
      <c r="G144" s="113">
        <f>0.1*1.015</f>
        <v>0.10149999999999999</v>
      </c>
      <c r="H144" s="113">
        <f>G144*H143</f>
        <v>0.25374999999999998</v>
      </c>
      <c r="I144" s="16"/>
      <c r="J144" s="16"/>
      <c r="K144" s="16"/>
      <c r="L144" s="16"/>
      <c r="M144" s="16"/>
      <c r="N144" s="16"/>
      <c r="O144" s="20"/>
      <c r="P144" s="124"/>
    </row>
    <row r="145" spans="2:16" ht="23.4" outlineLevel="1" x14ac:dyDescent="0.4">
      <c r="B145" s="110"/>
      <c r="C145" s="115"/>
      <c r="D145" s="111"/>
      <c r="E145" s="111" t="s">
        <v>16</v>
      </c>
      <c r="F145" s="111" t="s">
        <v>43</v>
      </c>
      <c r="G145" s="113">
        <v>1</v>
      </c>
      <c r="H145" s="113">
        <f>G145*H144</f>
        <v>0.25374999999999998</v>
      </c>
      <c r="I145" s="16"/>
      <c r="J145" s="16"/>
      <c r="K145" s="16"/>
      <c r="L145" s="16"/>
      <c r="M145" s="16"/>
      <c r="N145" s="16"/>
      <c r="O145" s="20"/>
      <c r="P145" s="124"/>
    </row>
    <row r="146" spans="2:16" ht="23.4" outlineLevel="1" x14ac:dyDescent="0.4">
      <c r="B146" s="110"/>
      <c r="C146" s="115"/>
      <c r="D146" s="111"/>
      <c r="E146" s="111" t="s">
        <v>66</v>
      </c>
      <c r="F146" s="111" t="s">
        <v>45</v>
      </c>
      <c r="G146" s="113">
        <v>1</v>
      </c>
      <c r="H146" s="113">
        <f>G146*H143</f>
        <v>2.5</v>
      </c>
      <c r="I146" s="16"/>
      <c r="J146" s="16"/>
      <c r="K146" s="16"/>
      <c r="L146" s="16"/>
      <c r="M146" s="16"/>
      <c r="N146" s="16"/>
      <c r="O146" s="20"/>
      <c r="P146" s="124"/>
    </row>
    <row r="147" spans="2:16" outlineLevel="1" x14ac:dyDescent="0.4">
      <c r="B147" s="110"/>
      <c r="C147" s="115"/>
      <c r="D147" s="111"/>
      <c r="E147" s="111"/>
      <c r="F147" s="111"/>
      <c r="G147" s="113"/>
      <c r="H147" s="113"/>
      <c r="I147" s="16"/>
      <c r="J147" s="16"/>
      <c r="K147" s="16"/>
      <c r="L147" s="16"/>
      <c r="M147" s="16"/>
      <c r="N147" s="16"/>
      <c r="O147" s="20"/>
      <c r="P147" s="124"/>
    </row>
    <row r="148" spans="2:16" ht="42" outlineLevel="1" x14ac:dyDescent="0.3">
      <c r="B148" s="110"/>
      <c r="C148" s="147" t="s">
        <v>446</v>
      </c>
      <c r="D148" s="111"/>
      <c r="E148" s="112" t="s">
        <v>207</v>
      </c>
      <c r="F148" s="166" t="s">
        <v>44</v>
      </c>
      <c r="G148" s="167"/>
      <c r="H148" s="167">
        <f>H133</f>
        <v>29.8</v>
      </c>
      <c r="I148" s="11"/>
      <c r="J148" s="168"/>
      <c r="K148" s="11"/>
      <c r="L148" s="168"/>
      <c r="M148" s="11"/>
      <c r="N148" s="168"/>
      <c r="O148" s="168"/>
      <c r="P148" s="124"/>
    </row>
    <row r="149" spans="2:16" outlineLevel="1" x14ac:dyDescent="0.4">
      <c r="B149" s="110"/>
      <c r="C149" s="115"/>
      <c r="D149" s="111"/>
      <c r="E149" s="111" t="s">
        <v>149</v>
      </c>
      <c r="F149" s="111" t="s">
        <v>20</v>
      </c>
      <c r="G149" s="113">
        <v>3.5</v>
      </c>
      <c r="H149" s="113">
        <f>G149*H148</f>
        <v>104.3</v>
      </c>
      <c r="I149" s="16"/>
      <c r="J149" s="16"/>
      <c r="K149" s="16"/>
      <c r="L149" s="16"/>
      <c r="M149" s="16"/>
      <c r="N149" s="16"/>
      <c r="O149" s="20"/>
      <c r="P149" s="124"/>
    </row>
    <row r="150" spans="2:16" outlineLevel="1" x14ac:dyDescent="0.4">
      <c r="B150" s="110"/>
      <c r="C150" s="115"/>
      <c r="D150" s="111"/>
      <c r="E150" s="111" t="s">
        <v>150</v>
      </c>
      <c r="F150" s="111" t="s">
        <v>56</v>
      </c>
      <c r="G150" s="113">
        <v>0.2</v>
      </c>
      <c r="H150" s="113">
        <f>G150*H148</f>
        <v>5.9600000000000009</v>
      </c>
      <c r="I150" s="16"/>
      <c r="J150" s="16"/>
      <c r="K150" s="16"/>
      <c r="L150" s="16"/>
      <c r="M150" s="16"/>
      <c r="N150" s="16"/>
      <c r="O150" s="20"/>
      <c r="P150" s="124"/>
    </row>
    <row r="151" spans="2:16" ht="23.4" outlineLevel="1" x14ac:dyDescent="0.4">
      <c r="B151" s="110"/>
      <c r="C151" s="115"/>
      <c r="D151" s="111"/>
      <c r="E151" s="111" t="s">
        <v>48</v>
      </c>
      <c r="F151" s="111" t="s">
        <v>45</v>
      </c>
      <c r="G151" s="113">
        <v>1</v>
      </c>
      <c r="H151" s="113">
        <f>G151*H148</f>
        <v>29.8</v>
      </c>
      <c r="I151" s="16"/>
      <c r="J151" s="16"/>
      <c r="K151" s="16"/>
      <c r="L151" s="16"/>
      <c r="M151" s="16"/>
      <c r="N151" s="16"/>
      <c r="O151" s="20"/>
      <c r="P151" s="124"/>
    </row>
    <row r="152" spans="2:16" outlineLevel="1" x14ac:dyDescent="0.4">
      <c r="B152" s="110"/>
      <c r="C152" s="115"/>
      <c r="D152" s="111"/>
      <c r="E152" s="111"/>
      <c r="F152" s="111"/>
      <c r="G152" s="113"/>
      <c r="H152" s="113"/>
      <c r="I152" s="16"/>
      <c r="J152" s="16"/>
      <c r="K152" s="16"/>
      <c r="L152" s="16"/>
      <c r="M152" s="16"/>
      <c r="N152" s="16"/>
      <c r="O152" s="20"/>
      <c r="P152" s="124"/>
    </row>
    <row r="153" spans="2:16" ht="23.4" outlineLevel="1" x14ac:dyDescent="0.3">
      <c r="B153" s="110"/>
      <c r="C153" s="147" t="s">
        <v>449</v>
      </c>
      <c r="D153" s="111"/>
      <c r="E153" s="112" t="s">
        <v>204</v>
      </c>
      <c r="F153" s="166" t="s">
        <v>44</v>
      </c>
      <c r="G153" s="167"/>
      <c r="H153" s="167">
        <f>H138+H143</f>
        <v>5.2</v>
      </c>
      <c r="I153" s="11"/>
      <c r="J153" s="168"/>
      <c r="K153" s="11"/>
      <c r="L153" s="168"/>
      <c r="M153" s="11"/>
      <c r="N153" s="168"/>
      <c r="O153" s="168"/>
      <c r="P153" s="124"/>
    </row>
    <row r="154" spans="2:16" ht="23.4" outlineLevel="1" x14ac:dyDescent="0.4">
      <c r="B154" s="110"/>
      <c r="C154" s="115"/>
      <c r="D154" s="111"/>
      <c r="E154" s="111" t="s">
        <v>158</v>
      </c>
      <c r="F154" s="111" t="s">
        <v>45</v>
      </c>
      <c r="G154" s="113">
        <v>1.05</v>
      </c>
      <c r="H154" s="113">
        <f>G154*H153</f>
        <v>5.4600000000000009</v>
      </c>
      <c r="I154" s="16"/>
      <c r="J154" s="16"/>
      <c r="K154" s="16"/>
      <c r="L154" s="16"/>
      <c r="M154" s="16"/>
      <c r="N154" s="16"/>
      <c r="O154" s="20"/>
      <c r="P154" s="124"/>
    </row>
    <row r="155" spans="2:16" outlineLevel="1" x14ac:dyDescent="0.4">
      <c r="B155" s="110"/>
      <c r="C155" s="115"/>
      <c r="D155" s="111"/>
      <c r="E155" s="111" t="s">
        <v>91</v>
      </c>
      <c r="F155" s="111" t="s">
        <v>20</v>
      </c>
      <c r="G155" s="113">
        <v>8</v>
      </c>
      <c r="H155" s="113">
        <f>G155*H153</f>
        <v>41.6</v>
      </c>
      <c r="I155" s="16"/>
      <c r="J155" s="16"/>
      <c r="K155" s="16"/>
      <c r="L155" s="16"/>
      <c r="M155" s="16"/>
      <c r="N155" s="16"/>
      <c r="O155" s="20"/>
      <c r="P155" s="124"/>
    </row>
    <row r="156" spans="2:16" outlineLevel="1" x14ac:dyDescent="0.4">
      <c r="B156" s="110"/>
      <c r="C156" s="115"/>
      <c r="D156" s="111"/>
      <c r="E156" s="111" t="s">
        <v>87</v>
      </c>
      <c r="F156" s="111" t="s">
        <v>20</v>
      </c>
      <c r="G156" s="113">
        <v>1</v>
      </c>
      <c r="H156" s="113">
        <f>G156*H153</f>
        <v>5.2</v>
      </c>
      <c r="I156" s="16"/>
      <c r="J156" s="16"/>
      <c r="K156" s="16"/>
      <c r="L156" s="16"/>
      <c r="M156" s="16"/>
      <c r="N156" s="16"/>
      <c r="O156" s="20"/>
      <c r="P156" s="124"/>
    </row>
    <row r="157" spans="2:16" outlineLevel="1" x14ac:dyDescent="0.4">
      <c r="B157" s="110"/>
      <c r="C157" s="115"/>
      <c r="D157" s="111"/>
      <c r="E157" s="111" t="s">
        <v>88</v>
      </c>
      <c r="F157" s="111" t="s">
        <v>1</v>
      </c>
      <c r="G157" s="113">
        <v>15</v>
      </c>
      <c r="H157" s="113">
        <f>G157*H153</f>
        <v>78</v>
      </c>
      <c r="I157" s="16"/>
      <c r="J157" s="16"/>
      <c r="K157" s="16"/>
      <c r="L157" s="16"/>
      <c r="M157" s="16"/>
      <c r="N157" s="16"/>
      <c r="O157" s="20"/>
      <c r="P157" s="124"/>
    </row>
    <row r="158" spans="2:16" outlineLevel="1" x14ac:dyDescent="0.4">
      <c r="B158" s="110"/>
      <c r="C158" s="115"/>
      <c r="D158" s="111"/>
      <c r="E158" s="111" t="s">
        <v>89</v>
      </c>
      <c r="F158" s="111" t="s">
        <v>1</v>
      </c>
      <c r="G158" s="113">
        <v>10</v>
      </c>
      <c r="H158" s="113">
        <f>G158*H153</f>
        <v>52</v>
      </c>
      <c r="I158" s="16"/>
      <c r="J158" s="16"/>
      <c r="K158" s="16"/>
      <c r="L158" s="16"/>
      <c r="M158" s="16"/>
      <c r="N158" s="16"/>
      <c r="O158" s="20"/>
      <c r="P158" s="124"/>
    </row>
    <row r="159" spans="2:16" ht="23.4" outlineLevel="1" x14ac:dyDescent="0.4">
      <c r="B159" s="110"/>
      <c r="C159" s="115"/>
      <c r="D159" s="111"/>
      <c r="E159" s="111" t="s">
        <v>90</v>
      </c>
      <c r="F159" s="111" t="s">
        <v>45</v>
      </c>
      <c r="G159" s="113">
        <v>1</v>
      </c>
      <c r="H159" s="113">
        <f>G159*H153</f>
        <v>5.2</v>
      </c>
      <c r="I159" s="16"/>
      <c r="J159" s="16"/>
      <c r="K159" s="16"/>
      <c r="L159" s="16"/>
      <c r="M159" s="16"/>
      <c r="N159" s="16"/>
      <c r="O159" s="20"/>
      <c r="P159" s="124"/>
    </row>
    <row r="160" spans="2:16" outlineLevel="1" x14ac:dyDescent="0.4">
      <c r="B160" s="110"/>
      <c r="C160" s="115"/>
      <c r="D160" s="111"/>
      <c r="E160" s="111"/>
      <c r="F160" s="111"/>
      <c r="G160" s="113"/>
      <c r="H160" s="113"/>
      <c r="I160" s="16"/>
      <c r="J160" s="16"/>
      <c r="K160" s="16"/>
      <c r="L160" s="16"/>
      <c r="M160" s="16"/>
      <c r="N160" s="16"/>
      <c r="O160" s="20"/>
      <c r="P160" s="124"/>
    </row>
    <row r="161" spans="2:16" ht="63" outlineLevel="1" x14ac:dyDescent="0.3">
      <c r="B161" s="110"/>
      <c r="C161" s="147" t="s">
        <v>449</v>
      </c>
      <c r="D161" s="111"/>
      <c r="E161" s="112" t="s">
        <v>355</v>
      </c>
      <c r="F161" s="166" t="s">
        <v>44</v>
      </c>
      <c r="G161" s="167"/>
      <c r="H161" s="167">
        <v>15.5</v>
      </c>
      <c r="I161" s="11"/>
      <c r="J161" s="168"/>
      <c r="K161" s="11"/>
      <c r="L161" s="168"/>
      <c r="M161" s="11"/>
      <c r="N161" s="168"/>
      <c r="O161" s="168"/>
      <c r="P161" s="124"/>
    </row>
    <row r="162" spans="2:16" ht="23.4" outlineLevel="1" x14ac:dyDescent="0.4">
      <c r="B162" s="110"/>
      <c r="C162" s="115"/>
      <c r="D162" s="111"/>
      <c r="E162" s="111" t="s">
        <v>125</v>
      </c>
      <c r="F162" s="111" t="s">
        <v>45</v>
      </c>
      <c r="G162" s="113">
        <v>1.05</v>
      </c>
      <c r="H162" s="113">
        <f>G162*H161</f>
        <v>16.275000000000002</v>
      </c>
      <c r="I162" s="16"/>
      <c r="J162" s="16"/>
      <c r="K162" s="16"/>
      <c r="L162" s="16"/>
      <c r="M162" s="16"/>
      <c r="N162" s="16"/>
      <c r="O162" s="20"/>
      <c r="P162" s="124"/>
    </row>
    <row r="163" spans="2:16" outlineLevel="1" x14ac:dyDescent="0.4">
      <c r="B163" s="110"/>
      <c r="C163" s="115"/>
      <c r="D163" s="111"/>
      <c r="E163" s="111" t="s">
        <v>91</v>
      </c>
      <c r="F163" s="111" t="s">
        <v>20</v>
      </c>
      <c r="G163" s="113">
        <v>5</v>
      </c>
      <c r="H163" s="113">
        <f>G163*H161</f>
        <v>77.5</v>
      </c>
      <c r="I163" s="16"/>
      <c r="J163" s="16"/>
      <c r="K163" s="16"/>
      <c r="L163" s="16"/>
      <c r="M163" s="16"/>
      <c r="N163" s="16"/>
      <c r="O163" s="20"/>
      <c r="P163" s="124"/>
    </row>
    <row r="164" spans="2:16" outlineLevel="1" x14ac:dyDescent="0.4">
      <c r="B164" s="110"/>
      <c r="C164" s="115"/>
      <c r="D164" s="111"/>
      <c r="E164" s="111" t="s">
        <v>87</v>
      </c>
      <c r="F164" s="111" t="s">
        <v>20</v>
      </c>
      <c r="G164" s="113">
        <v>1</v>
      </c>
      <c r="H164" s="113">
        <f>G164*H161</f>
        <v>15.5</v>
      </c>
      <c r="I164" s="16"/>
      <c r="J164" s="16"/>
      <c r="K164" s="16"/>
      <c r="L164" s="16"/>
      <c r="M164" s="16"/>
      <c r="N164" s="16"/>
      <c r="O164" s="20"/>
      <c r="P164" s="124"/>
    </row>
    <row r="165" spans="2:16" outlineLevel="1" x14ac:dyDescent="0.4">
      <c r="B165" s="110"/>
      <c r="C165" s="115"/>
      <c r="D165" s="111"/>
      <c r="E165" s="111" t="s">
        <v>88</v>
      </c>
      <c r="F165" s="111" t="s">
        <v>1</v>
      </c>
      <c r="G165" s="113">
        <v>15</v>
      </c>
      <c r="H165" s="113">
        <f>G165*H161</f>
        <v>232.5</v>
      </c>
      <c r="I165" s="16"/>
      <c r="J165" s="16"/>
      <c r="K165" s="16"/>
      <c r="L165" s="16"/>
      <c r="M165" s="16"/>
      <c r="N165" s="16"/>
      <c r="O165" s="20"/>
      <c r="P165" s="124"/>
    </row>
    <row r="166" spans="2:16" outlineLevel="1" x14ac:dyDescent="0.4">
      <c r="B166" s="110"/>
      <c r="C166" s="115"/>
      <c r="D166" s="111"/>
      <c r="E166" s="111" t="s">
        <v>89</v>
      </c>
      <c r="F166" s="111" t="s">
        <v>1</v>
      </c>
      <c r="G166" s="113">
        <v>10</v>
      </c>
      <c r="H166" s="113">
        <f>G166*H161</f>
        <v>155</v>
      </c>
      <c r="I166" s="16"/>
      <c r="J166" s="16"/>
      <c r="K166" s="16"/>
      <c r="L166" s="16"/>
      <c r="M166" s="16"/>
      <c r="N166" s="16"/>
      <c r="O166" s="20"/>
      <c r="P166" s="124"/>
    </row>
    <row r="167" spans="2:16" ht="23.4" outlineLevel="1" x14ac:dyDescent="0.4">
      <c r="B167" s="110"/>
      <c r="C167" s="115"/>
      <c r="D167" s="111"/>
      <c r="E167" s="111" t="s">
        <v>90</v>
      </c>
      <c r="F167" s="111" t="s">
        <v>45</v>
      </c>
      <c r="G167" s="113">
        <v>1</v>
      </c>
      <c r="H167" s="113">
        <f>G167*H161</f>
        <v>15.5</v>
      </c>
      <c r="I167" s="16"/>
      <c r="J167" s="16"/>
      <c r="K167" s="16"/>
      <c r="L167" s="16"/>
      <c r="M167" s="16"/>
      <c r="N167" s="16"/>
      <c r="O167" s="20"/>
      <c r="P167" s="124"/>
    </row>
    <row r="168" spans="2:16" outlineLevel="1" x14ac:dyDescent="0.4">
      <c r="B168" s="110"/>
      <c r="C168" s="115"/>
      <c r="D168" s="111"/>
      <c r="E168" s="111"/>
      <c r="F168" s="111"/>
      <c r="G168" s="113"/>
      <c r="H168" s="113"/>
      <c r="I168" s="16"/>
      <c r="J168" s="16"/>
      <c r="K168" s="16"/>
      <c r="L168" s="16"/>
      <c r="M168" s="16"/>
      <c r="N168" s="16"/>
      <c r="O168" s="20"/>
      <c r="P168" s="124"/>
    </row>
    <row r="169" spans="2:16" ht="42" outlineLevel="1" x14ac:dyDescent="0.3">
      <c r="B169" s="110"/>
      <c r="C169" s="147" t="s">
        <v>450</v>
      </c>
      <c r="D169" s="111"/>
      <c r="E169" s="112" t="s">
        <v>210</v>
      </c>
      <c r="F169" s="166" t="s">
        <v>44</v>
      </c>
      <c r="G169" s="167"/>
      <c r="H169" s="167">
        <f>H133</f>
        <v>29.8</v>
      </c>
      <c r="I169" s="11"/>
      <c r="J169" s="168"/>
      <c r="K169" s="11"/>
      <c r="L169" s="168"/>
      <c r="M169" s="11"/>
      <c r="N169" s="168"/>
      <c r="O169" s="168"/>
      <c r="P169" s="124"/>
    </row>
    <row r="170" spans="2:16" ht="23.4" outlineLevel="1" x14ac:dyDescent="0.4">
      <c r="B170" s="110"/>
      <c r="C170" s="115"/>
      <c r="D170" s="111"/>
      <c r="E170" s="111" t="s">
        <v>125</v>
      </c>
      <c r="F170" s="111" t="s">
        <v>45</v>
      </c>
      <c r="G170" s="113">
        <v>1.05</v>
      </c>
      <c r="H170" s="113">
        <f>G170*H169</f>
        <v>31.290000000000003</v>
      </c>
      <c r="I170" s="16"/>
      <c r="J170" s="16"/>
      <c r="K170" s="16"/>
      <c r="L170" s="16"/>
      <c r="M170" s="16"/>
      <c r="N170" s="16"/>
      <c r="O170" s="20"/>
      <c r="P170" s="124"/>
    </row>
    <row r="171" spans="2:16" outlineLevel="1" x14ac:dyDescent="0.4">
      <c r="B171" s="110"/>
      <c r="C171" s="115"/>
      <c r="D171" s="111"/>
      <c r="E171" s="111" t="s">
        <v>91</v>
      </c>
      <c r="F171" s="111" t="s">
        <v>20</v>
      </c>
      <c r="G171" s="113">
        <v>5</v>
      </c>
      <c r="H171" s="113">
        <f>G171*H169</f>
        <v>149</v>
      </c>
      <c r="I171" s="16"/>
      <c r="J171" s="16"/>
      <c r="K171" s="16"/>
      <c r="L171" s="16"/>
      <c r="M171" s="16"/>
      <c r="N171" s="16"/>
      <c r="O171" s="20"/>
      <c r="P171" s="124"/>
    </row>
    <row r="172" spans="2:16" outlineLevel="1" x14ac:dyDescent="0.4">
      <c r="B172" s="110"/>
      <c r="C172" s="115"/>
      <c r="D172" s="111"/>
      <c r="E172" s="111" t="s">
        <v>87</v>
      </c>
      <c r="F172" s="111" t="s">
        <v>20</v>
      </c>
      <c r="G172" s="113">
        <v>1</v>
      </c>
      <c r="H172" s="113">
        <f>G172*H169</f>
        <v>29.8</v>
      </c>
      <c r="I172" s="16"/>
      <c r="J172" s="16"/>
      <c r="K172" s="16"/>
      <c r="L172" s="16"/>
      <c r="M172" s="16"/>
      <c r="N172" s="16"/>
      <c r="O172" s="20"/>
      <c r="P172" s="124"/>
    </row>
    <row r="173" spans="2:16" outlineLevel="1" x14ac:dyDescent="0.4">
      <c r="B173" s="110"/>
      <c r="C173" s="115"/>
      <c r="D173" s="111"/>
      <c r="E173" s="111" t="s">
        <v>88</v>
      </c>
      <c r="F173" s="111" t="s">
        <v>1</v>
      </c>
      <c r="G173" s="113">
        <v>15</v>
      </c>
      <c r="H173" s="113">
        <f>G173*H169</f>
        <v>447</v>
      </c>
      <c r="I173" s="16"/>
      <c r="J173" s="16"/>
      <c r="K173" s="16"/>
      <c r="L173" s="16"/>
      <c r="M173" s="16"/>
      <c r="N173" s="16"/>
      <c r="O173" s="20"/>
      <c r="P173" s="124"/>
    </row>
    <row r="174" spans="2:16" outlineLevel="1" x14ac:dyDescent="0.4">
      <c r="B174" s="110"/>
      <c r="C174" s="115"/>
      <c r="D174" s="111"/>
      <c r="E174" s="111" t="s">
        <v>89</v>
      </c>
      <c r="F174" s="111" t="s">
        <v>1</v>
      </c>
      <c r="G174" s="113">
        <v>10</v>
      </c>
      <c r="H174" s="113">
        <f>G174*H169</f>
        <v>298</v>
      </c>
      <c r="I174" s="16"/>
      <c r="J174" s="16"/>
      <c r="K174" s="16"/>
      <c r="L174" s="16"/>
      <c r="M174" s="16"/>
      <c r="N174" s="16"/>
      <c r="O174" s="20"/>
      <c r="P174" s="124"/>
    </row>
    <row r="175" spans="2:16" ht="23.4" outlineLevel="1" x14ac:dyDescent="0.4">
      <c r="B175" s="110"/>
      <c r="C175" s="115"/>
      <c r="D175" s="111"/>
      <c r="E175" s="111" t="s">
        <v>90</v>
      </c>
      <c r="F175" s="111" t="s">
        <v>45</v>
      </c>
      <c r="G175" s="113">
        <v>1</v>
      </c>
      <c r="H175" s="113">
        <f>G175*H169</f>
        <v>29.8</v>
      </c>
      <c r="I175" s="16"/>
      <c r="J175" s="16"/>
      <c r="K175" s="16"/>
      <c r="L175" s="16"/>
      <c r="M175" s="16"/>
      <c r="N175" s="16"/>
      <c r="O175" s="20"/>
      <c r="P175" s="124"/>
    </row>
    <row r="176" spans="2:16" outlineLevel="1" x14ac:dyDescent="0.4">
      <c r="B176" s="110"/>
      <c r="C176" s="115"/>
      <c r="D176" s="111"/>
      <c r="E176" s="111"/>
      <c r="F176" s="111"/>
      <c r="G176" s="113"/>
      <c r="H176" s="113"/>
      <c r="I176" s="16"/>
      <c r="J176" s="16"/>
      <c r="K176" s="16"/>
      <c r="L176" s="16"/>
      <c r="M176" s="16"/>
      <c r="N176" s="16"/>
      <c r="O176" s="20"/>
      <c r="P176" s="124"/>
    </row>
    <row r="177" spans="2:16" ht="42" outlineLevel="1" x14ac:dyDescent="0.3">
      <c r="B177" s="110"/>
      <c r="C177" s="147" t="s">
        <v>446</v>
      </c>
      <c r="D177" s="111"/>
      <c r="E177" s="112" t="s">
        <v>211</v>
      </c>
      <c r="F177" s="166" t="s">
        <v>41</v>
      </c>
      <c r="G177" s="167"/>
      <c r="H177" s="167">
        <f>8.4*2</f>
        <v>16.8</v>
      </c>
      <c r="I177" s="11"/>
      <c r="J177" s="168"/>
      <c r="K177" s="11"/>
      <c r="L177" s="168"/>
      <c r="M177" s="11"/>
      <c r="N177" s="168"/>
      <c r="O177" s="168"/>
      <c r="P177" s="124"/>
    </row>
    <row r="178" spans="2:16" ht="23.4" outlineLevel="1" x14ac:dyDescent="0.4">
      <c r="B178" s="110"/>
      <c r="C178" s="115"/>
      <c r="D178" s="111"/>
      <c r="E178" s="111" t="s">
        <v>125</v>
      </c>
      <c r="F178" s="111" t="s">
        <v>45</v>
      </c>
      <c r="G178" s="113">
        <f>0.2*1.05</f>
        <v>0.21000000000000002</v>
      </c>
      <c r="H178" s="113">
        <f>G178*H177</f>
        <v>3.5280000000000005</v>
      </c>
      <c r="I178" s="16"/>
      <c r="J178" s="16"/>
      <c r="K178" s="16"/>
      <c r="L178" s="16"/>
      <c r="M178" s="16"/>
      <c r="N178" s="16"/>
      <c r="O178" s="20"/>
      <c r="P178" s="124"/>
    </row>
    <row r="179" spans="2:16" outlineLevel="1" x14ac:dyDescent="0.4">
      <c r="B179" s="110"/>
      <c r="C179" s="115"/>
      <c r="D179" s="111"/>
      <c r="E179" s="111" t="s">
        <v>91</v>
      </c>
      <c r="F179" s="111" t="s">
        <v>20</v>
      </c>
      <c r="G179" s="113">
        <v>5</v>
      </c>
      <c r="H179" s="113">
        <f>G179*H178</f>
        <v>17.64</v>
      </c>
      <c r="I179" s="16"/>
      <c r="J179" s="16"/>
      <c r="K179" s="16"/>
      <c r="L179" s="16"/>
      <c r="M179" s="16"/>
      <c r="N179" s="16"/>
      <c r="O179" s="20"/>
      <c r="P179" s="124"/>
    </row>
    <row r="180" spans="2:16" outlineLevel="1" x14ac:dyDescent="0.4">
      <c r="B180" s="110"/>
      <c r="C180" s="115"/>
      <c r="D180" s="111"/>
      <c r="E180" s="111" t="s">
        <v>87</v>
      </c>
      <c r="F180" s="111" t="s">
        <v>20</v>
      </c>
      <c r="G180" s="113">
        <v>2</v>
      </c>
      <c r="H180" s="113">
        <f>G180*H177</f>
        <v>33.6</v>
      </c>
      <c r="I180" s="16"/>
      <c r="J180" s="16"/>
      <c r="K180" s="16"/>
      <c r="L180" s="16"/>
      <c r="M180" s="16"/>
      <c r="N180" s="16"/>
      <c r="O180" s="20"/>
      <c r="P180" s="124"/>
    </row>
    <row r="181" spans="2:16" outlineLevel="1" x14ac:dyDescent="0.4">
      <c r="B181" s="110"/>
      <c r="C181" s="115"/>
      <c r="D181" s="111"/>
      <c r="E181" s="111" t="s">
        <v>93</v>
      </c>
      <c r="F181" s="111" t="s">
        <v>41</v>
      </c>
      <c r="G181" s="113">
        <v>1</v>
      </c>
      <c r="H181" s="113">
        <f>G181*H177</f>
        <v>16.8</v>
      </c>
      <c r="I181" s="16"/>
      <c r="J181" s="16"/>
      <c r="K181" s="16"/>
      <c r="L181" s="16"/>
      <c r="M181" s="16"/>
      <c r="N181" s="16"/>
      <c r="O181" s="20"/>
      <c r="P181" s="124"/>
    </row>
    <row r="182" spans="2:16" outlineLevel="1" x14ac:dyDescent="0.4">
      <c r="B182" s="110"/>
      <c r="C182" s="115"/>
      <c r="D182" s="111"/>
      <c r="E182" s="111"/>
      <c r="F182" s="111"/>
      <c r="G182" s="169"/>
      <c r="H182" s="113"/>
      <c r="I182" s="16"/>
      <c r="J182" s="16"/>
      <c r="K182" s="16"/>
      <c r="L182" s="16"/>
      <c r="M182" s="16"/>
      <c r="N182" s="16"/>
      <c r="O182" s="20"/>
      <c r="P182" s="124"/>
    </row>
    <row r="183" spans="2:16" ht="42" outlineLevel="1" x14ac:dyDescent="0.3">
      <c r="B183" s="110"/>
      <c r="C183" s="147" t="s">
        <v>451</v>
      </c>
      <c r="D183" s="111"/>
      <c r="E183" s="112" t="s">
        <v>198</v>
      </c>
      <c r="F183" s="166" t="s">
        <v>44</v>
      </c>
      <c r="G183" s="167"/>
      <c r="H183" s="167">
        <f>(16.3+4.7)*2</f>
        <v>42</v>
      </c>
      <c r="I183" s="11"/>
      <c r="J183" s="168"/>
      <c r="K183" s="11"/>
      <c r="L183" s="168"/>
      <c r="M183" s="11"/>
      <c r="N183" s="168"/>
      <c r="O183" s="168"/>
      <c r="P183" s="124"/>
    </row>
    <row r="184" spans="2:16" ht="23.4" outlineLevel="1" x14ac:dyDescent="0.4">
      <c r="B184" s="110"/>
      <c r="C184" s="115"/>
      <c r="D184" s="111"/>
      <c r="E184" s="111" t="s">
        <v>67</v>
      </c>
      <c r="F184" s="111" t="s">
        <v>43</v>
      </c>
      <c r="G184" s="113">
        <f>0.1*1.015</f>
        <v>0.10149999999999999</v>
      </c>
      <c r="H184" s="113">
        <f>G184*H183</f>
        <v>4.2629999999999999</v>
      </c>
      <c r="I184" s="16"/>
      <c r="J184" s="16"/>
      <c r="K184" s="16"/>
      <c r="L184" s="16"/>
      <c r="M184" s="16"/>
      <c r="N184" s="16"/>
      <c r="O184" s="20"/>
      <c r="P184" s="124"/>
    </row>
    <row r="185" spans="2:16" ht="23.4" outlineLevel="1" x14ac:dyDescent="0.4">
      <c r="B185" s="110"/>
      <c r="C185" s="115"/>
      <c r="D185" s="111"/>
      <c r="E185" s="111" t="s">
        <v>16</v>
      </c>
      <c r="F185" s="111" t="s">
        <v>43</v>
      </c>
      <c r="G185" s="113">
        <v>1</v>
      </c>
      <c r="H185" s="113">
        <f>G185*H184</f>
        <v>4.2629999999999999</v>
      </c>
      <c r="I185" s="16"/>
      <c r="J185" s="16"/>
      <c r="K185" s="16"/>
      <c r="L185" s="16"/>
      <c r="M185" s="16"/>
      <c r="N185" s="16"/>
      <c r="O185" s="20"/>
      <c r="P185" s="124"/>
    </row>
    <row r="186" spans="2:16" ht="23.4" outlineLevel="1" x14ac:dyDescent="0.4">
      <c r="B186" s="110"/>
      <c r="C186" s="115"/>
      <c r="D186" s="111"/>
      <c r="E186" s="111" t="s">
        <v>66</v>
      </c>
      <c r="F186" s="111" t="s">
        <v>45</v>
      </c>
      <c r="G186" s="113">
        <v>1</v>
      </c>
      <c r="H186" s="113">
        <f>G186*H183</f>
        <v>42</v>
      </c>
      <c r="I186" s="16"/>
      <c r="J186" s="16"/>
      <c r="K186" s="16"/>
      <c r="L186" s="16"/>
      <c r="M186" s="16"/>
      <c r="N186" s="16"/>
      <c r="O186" s="20"/>
      <c r="P186" s="124"/>
    </row>
    <row r="187" spans="2:16" outlineLevel="1" x14ac:dyDescent="0.4">
      <c r="B187" s="110"/>
      <c r="C187" s="115"/>
      <c r="D187" s="111"/>
      <c r="E187" s="111"/>
      <c r="F187" s="111"/>
      <c r="G187" s="113"/>
      <c r="H187" s="113"/>
      <c r="I187" s="16"/>
      <c r="J187" s="16"/>
      <c r="K187" s="16"/>
      <c r="L187" s="16"/>
      <c r="M187" s="16"/>
      <c r="N187" s="16"/>
      <c r="O187" s="20"/>
      <c r="P187" s="124"/>
    </row>
    <row r="188" spans="2:16" ht="42" outlineLevel="1" x14ac:dyDescent="0.3">
      <c r="B188" s="110"/>
      <c r="C188" s="147" t="s">
        <v>452</v>
      </c>
      <c r="D188" s="111"/>
      <c r="E188" s="112" t="s">
        <v>198</v>
      </c>
      <c r="F188" s="166" t="s">
        <v>44</v>
      </c>
      <c r="G188" s="167"/>
      <c r="H188" s="167">
        <f>4.7+2</f>
        <v>6.7</v>
      </c>
      <c r="I188" s="11"/>
      <c r="J188" s="168"/>
      <c r="K188" s="11"/>
      <c r="L188" s="168"/>
      <c r="M188" s="11"/>
      <c r="N188" s="168"/>
      <c r="O188" s="168"/>
      <c r="P188" s="124"/>
    </row>
    <row r="189" spans="2:16" ht="23.4" outlineLevel="1" x14ac:dyDescent="0.4">
      <c r="B189" s="110"/>
      <c r="C189" s="115"/>
      <c r="D189" s="111"/>
      <c r="E189" s="111" t="s">
        <v>67</v>
      </c>
      <c r="F189" s="111" t="s">
        <v>43</v>
      </c>
      <c r="G189" s="113">
        <f>0.1*1.015</f>
        <v>0.10149999999999999</v>
      </c>
      <c r="H189" s="113">
        <f>G189*H188</f>
        <v>0.68004999999999993</v>
      </c>
      <c r="I189" s="16"/>
      <c r="J189" s="16"/>
      <c r="K189" s="16"/>
      <c r="L189" s="16"/>
      <c r="M189" s="16"/>
      <c r="N189" s="16"/>
      <c r="O189" s="20"/>
      <c r="P189" s="124"/>
    </row>
    <row r="190" spans="2:16" ht="23.4" outlineLevel="1" x14ac:dyDescent="0.4">
      <c r="B190" s="110"/>
      <c r="C190" s="115"/>
      <c r="D190" s="111"/>
      <c r="E190" s="111" t="s">
        <v>16</v>
      </c>
      <c r="F190" s="111" t="s">
        <v>43</v>
      </c>
      <c r="G190" s="113">
        <v>1</v>
      </c>
      <c r="H190" s="113">
        <f>G190*H189</f>
        <v>0.68004999999999993</v>
      </c>
      <c r="I190" s="16"/>
      <c r="J190" s="16"/>
      <c r="K190" s="16"/>
      <c r="L190" s="16"/>
      <c r="M190" s="16"/>
      <c r="N190" s="16"/>
      <c r="O190" s="20"/>
      <c r="P190" s="124"/>
    </row>
    <row r="191" spans="2:16" ht="23.4" outlineLevel="1" x14ac:dyDescent="0.4">
      <c r="B191" s="110"/>
      <c r="C191" s="115"/>
      <c r="D191" s="111"/>
      <c r="E191" s="111" t="s">
        <v>66</v>
      </c>
      <c r="F191" s="111" t="s">
        <v>45</v>
      </c>
      <c r="G191" s="113">
        <v>1</v>
      </c>
      <c r="H191" s="113">
        <f>G191*H188</f>
        <v>6.7</v>
      </c>
      <c r="I191" s="16"/>
      <c r="J191" s="16"/>
      <c r="K191" s="16"/>
      <c r="L191" s="16"/>
      <c r="M191" s="16"/>
      <c r="N191" s="16"/>
      <c r="O191" s="20"/>
      <c r="P191" s="124"/>
    </row>
    <row r="192" spans="2:16" outlineLevel="1" x14ac:dyDescent="0.4">
      <c r="B192" s="110"/>
      <c r="C192" s="115"/>
      <c r="D192" s="111"/>
      <c r="E192" s="111"/>
      <c r="F192" s="111"/>
      <c r="G192" s="113"/>
      <c r="H192" s="113"/>
      <c r="I192" s="16"/>
      <c r="J192" s="16"/>
      <c r="K192" s="16"/>
      <c r="L192" s="16"/>
      <c r="M192" s="16"/>
      <c r="N192" s="16"/>
      <c r="O192" s="20"/>
      <c r="P192" s="124"/>
    </row>
    <row r="193" spans="2:16" ht="42" outlineLevel="1" x14ac:dyDescent="0.3">
      <c r="B193" s="110"/>
      <c r="C193" s="147" t="s">
        <v>453</v>
      </c>
      <c r="D193" s="111"/>
      <c r="E193" s="112" t="s">
        <v>198</v>
      </c>
      <c r="F193" s="166" t="s">
        <v>44</v>
      </c>
      <c r="G193" s="167"/>
      <c r="H193" s="167">
        <f>14.9*2</f>
        <v>29.8</v>
      </c>
      <c r="I193" s="11"/>
      <c r="J193" s="168"/>
      <c r="K193" s="11"/>
      <c r="L193" s="168"/>
      <c r="M193" s="11"/>
      <c r="N193" s="168"/>
      <c r="O193" s="168"/>
      <c r="P193" s="124"/>
    </row>
    <row r="194" spans="2:16" ht="23.4" outlineLevel="1" x14ac:dyDescent="0.4">
      <c r="B194" s="110"/>
      <c r="C194" s="115"/>
      <c r="D194" s="111"/>
      <c r="E194" s="111" t="s">
        <v>67</v>
      </c>
      <c r="F194" s="111" t="s">
        <v>43</v>
      </c>
      <c r="G194" s="113">
        <f>0.1*1.015</f>
        <v>0.10149999999999999</v>
      </c>
      <c r="H194" s="113">
        <f>G194*H193</f>
        <v>3.0246999999999997</v>
      </c>
      <c r="I194" s="16"/>
      <c r="J194" s="16"/>
      <c r="K194" s="16"/>
      <c r="L194" s="16"/>
      <c r="M194" s="16"/>
      <c r="N194" s="16"/>
      <c r="O194" s="20"/>
      <c r="P194" s="124"/>
    </row>
    <row r="195" spans="2:16" ht="23.4" outlineLevel="1" x14ac:dyDescent="0.4">
      <c r="B195" s="110"/>
      <c r="C195" s="115"/>
      <c r="D195" s="111"/>
      <c r="E195" s="111" t="s">
        <v>16</v>
      </c>
      <c r="F195" s="111" t="s">
        <v>43</v>
      </c>
      <c r="G195" s="113">
        <v>1</v>
      </c>
      <c r="H195" s="113">
        <f>G195*H194</f>
        <v>3.0246999999999997</v>
      </c>
      <c r="I195" s="16"/>
      <c r="J195" s="16"/>
      <c r="K195" s="16"/>
      <c r="L195" s="16"/>
      <c r="M195" s="16"/>
      <c r="N195" s="16"/>
      <c r="O195" s="20"/>
      <c r="P195" s="124"/>
    </row>
    <row r="196" spans="2:16" ht="23.4" outlineLevel="1" x14ac:dyDescent="0.4">
      <c r="B196" s="110"/>
      <c r="C196" s="115"/>
      <c r="D196" s="111"/>
      <c r="E196" s="111" t="s">
        <v>66</v>
      </c>
      <c r="F196" s="111" t="s">
        <v>45</v>
      </c>
      <c r="G196" s="113">
        <v>1</v>
      </c>
      <c r="H196" s="113">
        <f>G196*H193</f>
        <v>29.8</v>
      </c>
      <c r="I196" s="16"/>
      <c r="J196" s="16"/>
      <c r="K196" s="16"/>
      <c r="L196" s="16"/>
      <c r="M196" s="16"/>
      <c r="N196" s="16"/>
      <c r="O196" s="20"/>
      <c r="P196" s="124"/>
    </row>
    <row r="197" spans="2:16" outlineLevel="1" x14ac:dyDescent="0.4">
      <c r="B197" s="110"/>
      <c r="C197" s="115"/>
      <c r="D197" s="111"/>
      <c r="E197" s="111"/>
      <c r="F197" s="111"/>
      <c r="G197" s="113"/>
      <c r="H197" s="113"/>
      <c r="I197" s="16"/>
      <c r="J197" s="16"/>
      <c r="K197" s="16"/>
      <c r="L197" s="16"/>
      <c r="M197" s="16"/>
      <c r="N197" s="16"/>
      <c r="O197" s="20"/>
      <c r="P197" s="124"/>
    </row>
    <row r="198" spans="2:16" ht="42" outlineLevel="1" x14ac:dyDescent="0.3">
      <c r="B198" s="110"/>
      <c r="C198" s="147" t="s">
        <v>454</v>
      </c>
      <c r="D198" s="111"/>
      <c r="E198" s="112" t="s">
        <v>198</v>
      </c>
      <c r="F198" s="166" t="s">
        <v>44</v>
      </c>
      <c r="G198" s="167"/>
      <c r="H198" s="167">
        <v>2.7</v>
      </c>
      <c r="I198" s="11"/>
      <c r="J198" s="168"/>
      <c r="K198" s="11"/>
      <c r="L198" s="168"/>
      <c r="M198" s="11"/>
      <c r="N198" s="168"/>
      <c r="O198" s="168"/>
      <c r="P198" s="124"/>
    </row>
    <row r="199" spans="2:16" ht="23.4" outlineLevel="1" x14ac:dyDescent="0.4">
      <c r="B199" s="110"/>
      <c r="C199" s="115"/>
      <c r="D199" s="111"/>
      <c r="E199" s="111" t="s">
        <v>67</v>
      </c>
      <c r="F199" s="111" t="s">
        <v>43</v>
      </c>
      <c r="G199" s="113">
        <f>0.1*1.015</f>
        <v>0.10149999999999999</v>
      </c>
      <c r="H199" s="113">
        <f>G199*H198</f>
        <v>0.27405000000000002</v>
      </c>
      <c r="I199" s="16"/>
      <c r="J199" s="16"/>
      <c r="K199" s="16"/>
      <c r="L199" s="16"/>
      <c r="M199" s="16"/>
      <c r="N199" s="16"/>
      <c r="O199" s="20"/>
      <c r="P199" s="124"/>
    </row>
    <row r="200" spans="2:16" ht="23.4" outlineLevel="1" x14ac:dyDescent="0.4">
      <c r="B200" s="110"/>
      <c r="C200" s="115"/>
      <c r="D200" s="111"/>
      <c r="E200" s="111" t="s">
        <v>16</v>
      </c>
      <c r="F200" s="111" t="s">
        <v>43</v>
      </c>
      <c r="G200" s="113">
        <v>1</v>
      </c>
      <c r="H200" s="113">
        <f>G200*H199</f>
        <v>0.27405000000000002</v>
      </c>
      <c r="I200" s="16"/>
      <c r="J200" s="16"/>
      <c r="K200" s="16"/>
      <c r="L200" s="16"/>
      <c r="M200" s="16"/>
      <c r="N200" s="16"/>
      <c r="O200" s="20"/>
      <c r="P200" s="124"/>
    </row>
    <row r="201" spans="2:16" ht="23.4" outlineLevel="1" x14ac:dyDescent="0.4">
      <c r="B201" s="110"/>
      <c r="C201" s="115"/>
      <c r="D201" s="111"/>
      <c r="E201" s="111" t="s">
        <v>66</v>
      </c>
      <c r="F201" s="111" t="s">
        <v>45</v>
      </c>
      <c r="G201" s="113">
        <v>1</v>
      </c>
      <c r="H201" s="113">
        <f>G201*H198</f>
        <v>2.7</v>
      </c>
      <c r="I201" s="16"/>
      <c r="J201" s="16"/>
      <c r="K201" s="16"/>
      <c r="L201" s="16"/>
      <c r="M201" s="16"/>
      <c r="N201" s="16"/>
      <c r="O201" s="20"/>
      <c r="P201" s="124"/>
    </row>
    <row r="202" spans="2:16" outlineLevel="1" x14ac:dyDescent="0.4">
      <c r="B202" s="110"/>
      <c r="C202" s="115"/>
      <c r="D202" s="111"/>
      <c r="E202" s="111"/>
      <c r="F202" s="111"/>
      <c r="G202" s="113"/>
      <c r="H202" s="113"/>
      <c r="I202" s="16"/>
      <c r="J202" s="16"/>
      <c r="K202" s="16"/>
      <c r="L202" s="16"/>
      <c r="M202" s="16"/>
      <c r="N202" s="16"/>
      <c r="O202" s="20"/>
      <c r="P202" s="124"/>
    </row>
    <row r="203" spans="2:16" ht="42" outlineLevel="1" x14ac:dyDescent="0.3">
      <c r="B203" s="110"/>
      <c r="C203" s="147" t="s">
        <v>455</v>
      </c>
      <c r="D203" s="111"/>
      <c r="E203" s="112" t="s">
        <v>198</v>
      </c>
      <c r="F203" s="166" t="s">
        <v>44</v>
      </c>
      <c r="G203" s="167"/>
      <c r="H203" s="167">
        <v>2.5</v>
      </c>
      <c r="I203" s="11"/>
      <c r="J203" s="168"/>
      <c r="K203" s="11"/>
      <c r="L203" s="168"/>
      <c r="M203" s="11"/>
      <c r="N203" s="168"/>
      <c r="O203" s="168"/>
      <c r="P203" s="124"/>
    </row>
    <row r="204" spans="2:16" ht="23.4" outlineLevel="1" x14ac:dyDescent="0.4">
      <c r="B204" s="110"/>
      <c r="C204" s="115"/>
      <c r="D204" s="111"/>
      <c r="E204" s="111" t="s">
        <v>67</v>
      </c>
      <c r="F204" s="111" t="s">
        <v>43</v>
      </c>
      <c r="G204" s="113">
        <f>0.1*1.015</f>
        <v>0.10149999999999999</v>
      </c>
      <c r="H204" s="113">
        <f>G204*H203</f>
        <v>0.25374999999999998</v>
      </c>
      <c r="I204" s="16"/>
      <c r="J204" s="16"/>
      <c r="K204" s="16"/>
      <c r="L204" s="16"/>
      <c r="M204" s="16"/>
      <c r="N204" s="16"/>
      <c r="O204" s="20"/>
      <c r="P204" s="124"/>
    </row>
    <row r="205" spans="2:16" ht="23.4" outlineLevel="1" x14ac:dyDescent="0.4">
      <c r="B205" s="110"/>
      <c r="C205" s="115"/>
      <c r="D205" s="111"/>
      <c r="E205" s="111" t="s">
        <v>16</v>
      </c>
      <c r="F205" s="111" t="s">
        <v>43</v>
      </c>
      <c r="G205" s="113">
        <v>1</v>
      </c>
      <c r="H205" s="113">
        <f>G205*H204</f>
        <v>0.25374999999999998</v>
      </c>
      <c r="I205" s="16"/>
      <c r="J205" s="16"/>
      <c r="K205" s="16"/>
      <c r="L205" s="16"/>
      <c r="M205" s="16"/>
      <c r="N205" s="16"/>
      <c r="O205" s="20"/>
      <c r="P205" s="124"/>
    </row>
    <row r="206" spans="2:16" ht="23.4" outlineLevel="1" x14ac:dyDescent="0.4">
      <c r="B206" s="110"/>
      <c r="C206" s="115"/>
      <c r="D206" s="111"/>
      <c r="E206" s="111" t="s">
        <v>66</v>
      </c>
      <c r="F206" s="111" t="s">
        <v>45</v>
      </c>
      <c r="G206" s="113">
        <v>1</v>
      </c>
      <c r="H206" s="113">
        <f>G206*H203</f>
        <v>2.5</v>
      </c>
      <c r="I206" s="16"/>
      <c r="J206" s="16"/>
      <c r="K206" s="16"/>
      <c r="L206" s="16"/>
      <c r="M206" s="16"/>
      <c r="N206" s="16"/>
      <c r="O206" s="20"/>
      <c r="P206" s="124"/>
    </row>
    <row r="207" spans="2:16" outlineLevel="1" x14ac:dyDescent="0.4">
      <c r="B207" s="110"/>
      <c r="C207" s="115"/>
      <c r="D207" s="111"/>
      <c r="E207" s="111"/>
      <c r="F207" s="111"/>
      <c r="G207" s="113"/>
      <c r="H207" s="113"/>
      <c r="I207" s="16"/>
      <c r="J207" s="16"/>
      <c r="K207" s="16"/>
      <c r="L207" s="16"/>
      <c r="M207" s="16"/>
      <c r="N207" s="16"/>
      <c r="O207" s="20"/>
      <c r="P207" s="124"/>
    </row>
    <row r="208" spans="2:16" ht="42" outlineLevel="1" x14ac:dyDescent="0.3">
      <c r="B208" s="110"/>
      <c r="C208" s="147" t="s">
        <v>453</v>
      </c>
      <c r="D208" s="111"/>
      <c r="E208" s="112" t="s">
        <v>207</v>
      </c>
      <c r="F208" s="166" t="s">
        <v>44</v>
      </c>
      <c r="G208" s="167"/>
      <c r="H208" s="167">
        <f>H193</f>
        <v>29.8</v>
      </c>
      <c r="I208" s="11"/>
      <c r="J208" s="168"/>
      <c r="K208" s="11"/>
      <c r="L208" s="168"/>
      <c r="M208" s="11"/>
      <c r="N208" s="168"/>
      <c r="O208" s="168"/>
      <c r="P208" s="124"/>
    </row>
    <row r="209" spans="2:16" outlineLevel="1" x14ac:dyDescent="0.4">
      <c r="B209" s="110"/>
      <c r="C209" s="115"/>
      <c r="D209" s="111"/>
      <c r="E209" s="111" t="s">
        <v>149</v>
      </c>
      <c r="F209" s="111" t="s">
        <v>20</v>
      </c>
      <c r="G209" s="113">
        <v>3.5</v>
      </c>
      <c r="H209" s="113">
        <f>G209*H208</f>
        <v>104.3</v>
      </c>
      <c r="I209" s="16"/>
      <c r="J209" s="16"/>
      <c r="K209" s="16"/>
      <c r="L209" s="16"/>
      <c r="M209" s="16"/>
      <c r="N209" s="16"/>
      <c r="O209" s="20"/>
      <c r="P209" s="124"/>
    </row>
    <row r="210" spans="2:16" outlineLevel="1" x14ac:dyDescent="0.4">
      <c r="B210" s="110"/>
      <c r="C210" s="115"/>
      <c r="D210" s="111"/>
      <c r="E210" s="111" t="s">
        <v>150</v>
      </c>
      <c r="F210" s="111" t="s">
        <v>56</v>
      </c>
      <c r="G210" s="113">
        <v>0.2</v>
      </c>
      <c r="H210" s="113">
        <f>G210*H208</f>
        <v>5.9600000000000009</v>
      </c>
      <c r="I210" s="16"/>
      <c r="J210" s="16"/>
      <c r="K210" s="16"/>
      <c r="L210" s="16"/>
      <c r="M210" s="16"/>
      <c r="N210" s="16"/>
      <c r="O210" s="20"/>
      <c r="P210" s="124"/>
    </row>
    <row r="211" spans="2:16" ht="23.4" outlineLevel="1" x14ac:dyDescent="0.4">
      <c r="B211" s="110"/>
      <c r="C211" s="115"/>
      <c r="D211" s="111"/>
      <c r="E211" s="111" t="s">
        <v>48</v>
      </c>
      <c r="F211" s="111" t="s">
        <v>45</v>
      </c>
      <c r="G211" s="113">
        <v>1</v>
      </c>
      <c r="H211" s="113">
        <f>G211*H208</f>
        <v>29.8</v>
      </c>
      <c r="I211" s="16"/>
      <c r="J211" s="16"/>
      <c r="K211" s="16"/>
      <c r="L211" s="16"/>
      <c r="M211" s="16"/>
      <c r="N211" s="16"/>
      <c r="O211" s="20"/>
      <c r="P211" s="124"/>
    </row>
    <row r="212" spans="2:16" outlineLevel="1" x14ac:dyDescent="0.4">
      <c r="B212" s="110"/>
      <c r="C212" s="115"/>
      <c r="D212" s="111"/>
      <c r="E212" s="111"/>
      <c r="F212" s="111"/>
      <c r="G212" s="113"/>
      <c r="H212" s="113"/>
      <c r="I212" s="16"/>
      <c r="J212" s="16"/>
      <c r="K212" s="16"/>
      <c r="L212" s="16"/>
      <c r="M212" s="16"/>
      <c r="N212" s="16"/>
      <c r="O212" s="20"/>
      <c r="P212" s="124"/>
    </row>
    <row r="213" spans="2:16" ht="23.4" outlineLevel="1" x14ac:dyDescent="0.3">
      <c r="B213" s="110"/>
      <c r="C213" s="147" t="s">
        <v>456</v>
      </c>
      <c r="D213" s="111"/>
      <c r="E213" s="112" t="s">
        <v>204</v>
      </c>
      <c r="F213" s="166" t="s">
        <v>44</v>
      </c>
      <c r="G213" s="167"/>
      <c r="H213" s="167">
        <f>H198+H203</f>
        <v>5.2</v>
      </c>
      <c r="I213" s="11"/>
      <c r="J213" s="168"/>
      <c r="K213" s="11"/>
      <c r="L213" s="168"/>
      <c r="M213" s="11"/>
      <c r="N213" s="168"/>
      <c r="O213" s="168"/>
      <c r="P213" s="124"/>
    </row>
    <row r="214" spans="2:16" ht="23.4" outlineLevel="1" x14ac:dyDescent="0.4">
      <c r="B214" s="110"/>
      <c r="C214" s="115"/>
      <c r="D214" s="111"/>
      <c r="E214" s="111" t="s">
        <v>158</v>
      </c>
      <c r="F214" s="111" t="s">
        <v>45</v>
      </c>
      <c r="G214" s="113">
        <v>1.05</v>
      </c>
      <c r="H214" s="113">
        <f>G214*H213</f>
        <v>5.4600000000000009</v>
      </c>
      <c r="I214" s="16"/>
      <c r="J214" s="16"/>
      <c r="K214" s="16"/>
      <c r="L214" s="16"/>
      <c r="M214" s="16"/>
      <c r="N214" s="16"/>
      <c r="O214" s="20"/>
      <c r="P214" s="124"/>
    </row>
    <row r="215" spans="2:16" outlineLevel="1" x14ac:dyDescent="0.4">
      <c r="B215" s="110"/>
      <c r="C215" s="115"/>
      <c r="D215" s="111"/>
      <c r="E215" s="111" t="s">
        <v>91</v>
      </c>
      <c r="F215" s="111" t="s">
        <v>20</v>
      </c>
      <c r="G215" s="113">
        <v>8</v>
      </c>
      <c r="H215" s="113">
        <f>G215*H213</f>
        <v>41.6</v>
      </c>
      <c r="I215" s="16"/>
      <c r="J215" s="16"/>
      <c r="K215" s="16"/>
      <c r="L215" s="16"/>
      <c r="M215" s="16"/>
      <c r="N215" s="16"/>
      <c r="O215" s="20"/>
      <c r="P215" s="124"/>
    </row>
    <row r="216" spans="2:16" outlineLevel="1" x14ac:dyDescent="0.4">
      <c r="B216" s="110"/>
      <c r="C216" s="115"/>
      <c r="D216" s="111"/>
      <c r="E216" s="111" t="s">
        <v>87</v>
      </c>
      <c r="F216" s="111" t="s">
        <v>20</v>
      </c>
      <c r="G216" s="113">
        <v>1</v>
      </c>
      <c r="H216" s="113">
        <f>G216*H213</f>
        <v>5.2</v>
      </c>
      <c r="I216" s="16"/>
      <c r="J216" s="16"/>
      <c r="K216" s="16"/>
      <c r="L216" s="16"/>
      <c r="M216" s="16"/>
      <c r="N216" s="16"/>
      <c r="O216" s="20"/>
      <c r="P216" s="124"/>
    </row>
    <row r="217" spans="2:16" outlineLevel="1" x14ac:dyDescent="0.4">
      <c r="B217" s="110"/>
      <c r="C217" s="115"/>
      <c r="D217" s="111"/>
      <c r="E217" s="111" t="s">
        <v>88</v>
      </c>
      <c r="F217" s="111" t="s">
        <v>1</v>
      </c>
      <c r="G217" s="113">
        <v>15</v>
      </c>
      <c r="H217" s="113">
        <f>G217*H213</f>
        <v>78</v>
      </c>
      <c r="I217" s="16"/>
      <c r="J217" s="16"/>
      <c r="K217" s="16"/>
      <c r="L217" s="16"/>
      <c r="M217" s="16"/>
      <c r="N217" s="16"/>
      <c r="O217" s="20"/>
      <c r="P217" s="124"/>
    </row>
    <row r="218" spans="2:16" outlineLevel="1" x14ac:dyDescent="0.4">
      <c r="B218" s="110"/>
      <c r="C218" s="115"/>
      <c r="D218" s="111"/>
      <c r="E218" s="111" t="s">
        <v>89</v>
      </c>
      <c r="F218" s="111" t="s">
        <v>1</v>
      </c>
      <c r="G218" s="113">
        <v>10</v>
      </c>
      <c r="H218" s="113">
        <f>G218*H213</f>
        <v>52</v>
      </c>
      <c r="I218" s="16"/>
      <c r="J218" s="16"/>
      <c r="K218" s="16"/>
      <c r="L218" s="16"/>
      <c r="M218" s="16"/>
      <c r="N218" s="16"/>
      <c r="O218" s="20"/>
      <c r="P218" s="124"/>
    </row>
    <row r="219" spans="2:16" ht="23.4" outlineLevel="1" x14ac:dyDescent="0.4">
      <c r="B219" s="110"/>
      <c r="C219" s="115"/>
      <c r="D219" s="111"/>
      <c r="E219" s="111" t="s">
        <v>90</v>
      </c>
      <c r="F219" s="111" t="s">
        <v>45</v>
      </c>
      <c r="G219" s="113">
        <v>1</v>
      </c>
      <c r="H219" s="113">
        <f>G219*H213</f>
        <v>5.2</v>
      </c>
      <c r="I219" s="16"/>
      <c r="J219" s="16"/>
      <c r="K219" s="16"/>
      <c r="L219" s="16"/>
      <c r="M219" s="16"/>
      <c r="N219" s="16"/>
      <c r="O219" s="20"/>
      <c r="P219" s="124"/>
    </row>
    <row r="220" spans="2:16" outlineLevel="1" x14ac:dyDescent="0.4">
      <c r="B220" s="110"/>
      <c r="C220" s="115"/>
      <c r="D220" s="111"/>
      <c r="E220" s="111"/>
      <c r="F220" s="111"/>
      <c r="G220" s="113"/>
      <c r="H220" s="113"/>
      <c r="I220" s="16"/>
      <c r="J220" s="16"/>
      <c r="K220" s="16"/>
      <c r="L220" s="16"/>
      <c r="M220" s="16"/>
      <c r="N220" s="16"/>
      <c r="O220" s="20"/>
      <c r="P220" s="124"/>
    </row>
    <row r="221" spans="2:16" ht="63" outlineLevel="1" x14ac:dyDescent="0.3">
      <c r="B221" s="110"/>
      <c r="C221" s="147" t="s">
        <v>456</v>
      </c>
      <c r="D221" s="111"/>
      <c r="E221" s="112" t="s">
        <v>355</v>
      </c>
      <c r="F221" s="166" t="s">
        <v>44</v>
      </c>
      <c r="G221" s="167"/>
      <c r="H221" s="167">
        <v>15.5</v>
      </c>
      <c r="I221" s="11"/>
      <c r="J221" s="168"/>
      <c r="K221" s="11"/>
      <c r="L221" s="168"/>
      <c r="M221" s="11"/>
      <c r="N221" s="168"/>
      <c r="O221" s="168"/>
      <c r="P221" s="124"/>
    </row>
    <row r="222" spans="2:16" ht="23.4" outlineLevel="1" x14ac:dyDescent="0.4">
      <c r="B222" s="110"/>
      <c r="C222" s="115"/>
      <c r="D222" s="111"/>
      <c r="E222" s="111" t="s">
        <v>125</v>
      </c>
      <c r="F222" s="111" t="s">
        <v>45</v>
      </c>
      <c r="G222" s="113">
        <v>1.05</v>
      </c>
      <c r="H222" s="113">
        <f>G222*H221</f>
        <v>16.275000000000002</v>
      </c>
      <c r="I222" s="16"/>
      <c r="J222" s="16"/>
      <c r="K222" s="16"/>
      <c r="L222" s="16"/>
      <c r="M222" s="16"/>
      <c r="N222" s="16"/>
      <c r="O222" s="20"/>
      <c r="P222" s="124"/>
    </row>
    <row r="223" spans="2:16" outlineLevel="1" x14ac:dyDescent="0.4">
      <c r="B223" s="110"/>
      <c r="C223" s="115"/>
      <c r="D223" s="111"/>
      <c r="E223" s="111" t="s">
        <v>91</v>
      </c>
      <c r="F223" s="111" t="s">
        <v>20</v>
      </c>
      <c r="G223" s="113">
        <v>5</v>
      </c>
      <c r="H223" s="113">
        <f>G223*H221</f>
        <v>77.5</v>
      </c>
      <c r="I223" s="16"/>
      <c r="J223" s="16"/>
      <c r="K223" s="16"/>
      <c r="L223" s="16"/>
      <c r="M223" s="16"/>
      <c r="N223" s="16"/>
      <c r="O223" s="20"/>
      <c r="P223" s="124"/>
    </row>
    <row r="224" spans="2:16" outlineLevel="1" x14ac:dyDescent="0.4">
      <c r="B224" s="110"/>
      <c r="C224" s="115"/>
      <c r="D224" s="111"/>
      <c r="E224" s="111" t="s">
        <v>87</v>
      </c>
      <c r="F224" s="111" t="s">
        <v>20</v>
      </c>
      <c r="G224" s="113">
        <v>1</v>
      </c>
      <c r="H224" s="113">
        <f>G224*H221</f>
        <v>15.5</v>
      </c>
      <c r="I224" s="16"/>
      <c r="J224" s="16"/>
      <c r="K224" s="16"/>
      <c r="L224" s="16"/>
      <c r="M224" s="16"/>
      <c r="N224" s="16"/>
      <c r="O224" s="20"/>
      <c r="P224" s="124"/>
    </row>
    <row r="225" spans="2:16" outlineLevel="1" x14ac:dyDescent="0.4">
      <c r="B225" s="110"/>
      <c r="C225" s="115"/>
      <c r="D225" s="111"/>
      <c r="E225" s="111" t="s">
        <v>88</v>
      </c>
      <c r="F225" s="111" t="s">
        <v>1</v>
      </c>
      <c r="G225" s="113">
        <v>15</v>
      </c>
      <c r="H225" s="113">
        <f>G225*H221</f>
        <v>232.5</v>
      </c>
      <c r="I225" s="16"/>
      <c r="J225" s="16"/>
      <c r="K225" s="16"/>
      <c r="L225" s="16"/>
      <c r="M225" s="16"/>
      <c r="N225" s="16"/>
      <c r="O225" s="20"/>
      <c r="P225" s="124"/>
    </row>
    <row r="226" spans="2:16" outlineLevel="1" x14ac:dyDescent="0.4">
      <c r="B226" s="110"/>
      <c r="C226" s="115"/>
      <c r="D226" s="111"/>
      <c r="E226" s="111" t="s">
        <v>89</v>
      </c>
      <c r="F226" s="111" t="s">
        <v>1</v>
      </c>
      <c r="G226" s="113">
        <v>10</v>
      </c>
      <c r="H226" s="113">
        <f>G226*H221</f>
        <v>155</v>
      </c>
      <c r="I226" s="16"/>
      <c r="J226" s="16"/>
      <c r="K226" s="16"/>
      <c r="L226" s="16"/>
      <c r="M226" s="16"/>
      <c r="N226" s="16"/>
      <c r="O226" s="20"/>
      <c r="P226" s="124"/>
    </row>
    <row r="227" spans="2:16" ht="23.4" outlineLevel="1" x14ac:dyDescent="0.4">
      <c r="B227" s="110"/>
      <c r="C227" s="115"/>
      <c r="D227" s="111"/>
      <c r="E227" s="111" t="s">
        <v>90</v>
      </c>
      <c r="F227" s="111" t="s">
        <v>45</v>
      </c>
      <c r="G227" s="113">
        <v>1</v>
      </c>
      <c r="H227" s="113">
        <f>G227*H221</f>
        <v>15.5</v>
      </c>
      <c r="I227" s="16"/>
      <c r="J227" s="16"/>
      <c r="K227" s="16"/>
      <c r="L227" s="16"/>
      <c r="M227" s="16"/>
      <c r="N227" s="16"/>
      <c r="O227" s="20"/>
      <c r="P227" s="124"/>
    </row>
    <row r="228" spans="2:16" outlineLevel="1" x14ac:dyDescent="0.4">
      <c r="B228" s="110"/>
      <c r="C228" s="115"/>
      <c r="D228" s="111"/>
      <c r="E228" s="111"/>
      <c r="F228" s="111"/>
      <c r="G228" s="113"/>
      <c r="H228" s="113"/>
      <c r="I228" s="16"/>
      <c r="J228" s="16"/>
      <c r="K228" s="16"/>
      <c r="L228" s="16"/>
      <c r="M228" s="16"/>
      <c r="N228" s="16"/>
      <c r="O228" s="20"/>
      <c r="P228" s="124"/>
    </row>
    <row r="229" spans="2:16" ht="42" outlineLevel="1" x14ac:dyDescent="0.3">
      <c r="B229" s="110"/>
      <c r="C229" s="147" t="s">
        <v>453</v>
      </c>
      <c r="D229" s="111"/>
      <c r="E229" s="112" t="s">
        <v>210</v>
      </c>
      <c r="F229" s="166" t="s">
        <v>44</v>
      </c>
      <c r="G229" s="167"/>
      <c r="H229" s="167">
        <f>H193</f>
        <v>29.8</v>
      </c>
      <c r="I229" s="11"/>
      <c r="J229" s="168"/>
      <c r="K229" s="11"/>
      <c r="L229" s="168"/>
      <c r="M229" s="11"/>
      <c r="N229" s="168"/>
      <c r="O229" s="168"/>
      <c r="P229" s="124"/>
    </row>
    <row r="230" spans="2:16" ht="23.4" outlineLevel="1" x14ac:dyDescent="0.4">
      <c r="B230" s="110"/>
      <c r="C230" s="115"/>
      <c r="D230" s="111"/>
      <c r="E230" s="111" t="s">
        <v>125</v>
      </c>
      <c r="F230" s="111" t="s">
        <v>45</v>
      </c>
      <c r="G230" s="113">
        <v>1.05</v>
      </c>
      <c r="H230" s="113">
        <f>G230*H229</f>
        <v>31.290000000000003</v>
      </c>
      <c r="I230" s="16"/>
      <c r="J230" s="16"/>
      <c r="K230" s="16"/>
      <c r="L230" s="16"/>
      <c r="M230" s="16"/>
      <c r="N230" s="16"/>
      <c r="O230" s="20"/>
      <c r="P230" s="124"/>
    </row>
    <row r="231" spans="2:16" outlineLevel="1" x14ac:dyDescent="0.4">
      <c r="B231" s="110"/>
      <c r="C231" s="115"/>
      <c r="D231" s="111"/>
      <c r="E231" s="111" t="s">
        <v>91</v>
      </c>
      <c r="F231" s="111" t="s">
        <v>20</v>
      </c>
      <c r="G231" s="113">
        <v>5</v>
      </c>
      <c r="H231" s="113">
        <f>G231*H229</f>
        <v>149</v>
      </c>
      <c r="I231" s="16"/>
      <c r="J231" s="16"/>
      <c r="K231" s="16"/>
      <c r="L231" s="16"/>
      <c r="M231" s="16"/>
      <c r="N231" s="16"/>
      <c r="O231" s="20"/>
      <c r="P231" s="124"/>
    </row>
    <row r="232" spans="2:16" outlineLevel="1" x14ac:dyDescent="0.4">
      <c r="B232" s="110"/>
      <c r="C232" s="115"/>
      <c r="D232" s="111"/>
      <c r="E232" s="111" t="s">
        <v>87</v>
      </c>
      <c r="F232" s="111" t="s">
        <v>20</v>
      </c>
      <c r="G232" s="113">
        <v>1</v>
      </c>
      <c r="H232" s="113">
        <f>G232*H229</f>
        <v>29.8</v>
      </c>
      <c r="I232" s="16"/>
      <c r="J232" s="16"/>
      <c r="K232" s="16"/>
      <c r="L232" s="16"/>
      <c r="M232" s="16"/>
      <c r="N232" s="16"/>
      <c r="O232" s="20"/>
      <c r="P232" s="124"/>
    </row>
    <row r="233" spans="2:16" outlineLevel="1" x14ac:dyDescent="0.4">
      <c r="B233" s="110"/>
      <c r="C233" s="115"/>
      <c r="D233" s="111"/>
      <c r="E233" s="111" t="s">
        <v>88</v>
      </c>
      <c r="F233" s="111" t="s">
        <v>1</v>
      </c>
      <c r="G233" s="113">
        <v>15</v>
      </c>
      <c r="H233" s="113">
        <f>G233*H229</f>
        <v>447</v>
      </c>
      <c r="I233" s="16"/>
      <c r="J233" s="16"/>
      <c r="K233" s="16"/>
      <c r="L233" s="16"/>
      <c r="M233" s="16"/>
      <c r="N233" s="16"/>
      <c r="O233" s="20"/>
      <c r="P233" s="124"/>
    </row>
    <row r="234" spans="2:16" outlineLevel="1" x14ac:dyDescent="0.4">
      <c r="B234" s="110"/>
      <c r="C234" s="115"/>
      <c r="D234" s="111"/>
      <c r="E234" s="111" t="s">
        <v>89</v>
      </c>
      <c r="F234" s="111" t="s">
        <v>1</v>
      </c>
      <c r="G234" s="113">
        <v>10</v>
      </c>
      <c r="H234" s="113">
        <f>G234*H229</f>
        <v>298</v>
      </c>
      <c r="I234" s="16"/>
      <c r="J234" s="16"/>
      <c r="K234" s="16"/>
      <c r="L234" s="16"/>
      <c r="M234" s="16"/>
      <c r="N234" s="16"/>
      <c r="O234" s="20"/>
      <c r="P234" s="124"/>
    </row>
    <row r="235" spans="2:16" ht="23.4" outlineLevel="1" x14ac:dyDescent="0.4">
      <c r="B235" s="110"/>
      <c r="C235" s="115"/>
      <c r="D235" s="111"/>
      <c r="E235" s="111" t="s">
        <v>90</v>
      </c>
      <c r="F235" s="111" t="s">
        <v>45</v>
      </c>
      <c r="G235" s="113">
        <v>1</v>
      </c>
      <c r="H235" s="113">
        <f>G235*H229</f>
        <v>29.8</v>
      </c>
      <c r="I235" s="16"/>
      <c r="J235" s="16"/>
      <c r="K235" s="16"/>
      <c r="L235" s="16"/>
      <c r="M235" s="16"/>
      <c r="N235" s="16"/>
      <c r="O235" s="20"/>
      <c r="P235" s="124"/>
    </row>
    <row r="236" spans="2:16" outlineLevel="1" x14ac:dyDescent="0.4">
      <c r="B236" s="110"/>
      <c r="C236" s="115"/>
      <c r="D236" s="111"/>
      <c r="E236" s="111"/>
      <c r="F236" s="111"/>
      <c r="G236" s="113"/>
      <c r="H236" s="113"/>
      <c r="I236" s="16"/>
      <c r="J236" s="16"/>
      <c r="K236" s="16"/>
      <c r="L236" s="16"/>
      <c r="M236" s="16"/>
      <c r="N236" s="16"/>
      <c r="O236" s="20"/>
      <c r="P236" s="124"/>
    </row>
    <row r="237" spans="2:16" ht="42" outlineLevel="1" x14ac:dyDescent="0.3">
      <c r="B237" s="110"/>
      <c r="C237" s="147" t="s">
        <v>453</v>
      </c>
      <c r="D237" s="111"/>
      <c r="E237" s="112" t="s">
        <v>211</v>
      </c>
      <c r="F237" s="166" t="s">
        <v>41</v>
      </c>
      <c r="G237" s="167"/>
      <c r="H237" s="167">
        <f>8.4*2</f>
        <v>16.8</v>
      </c>
      <c r="I237" s="11"/>
      <c r="J237" s="168"/>
      <c r="K237" s="11"/>
      <c r="L237" s="168"/>
      <c r="M237" s="11"/>
      <c r="N237" s="168"/>
      <c r="O237" s="168"/>
      <c r="P237" s="124"/>
    </row>
    <row r="238" spans="2:16" ht="23.4" outlineLevel="1" x14ac:dyDescent="0.4">
      <c r="B238" s="110"/>
      <c r="C238" s="115"/>
      <c r="D238" s="111"/>
      <c r="E238" s="111" t="s">
        <v>125</v>
      </c>
      <c r="F238" s="111" t="s">
        <v>45</v>
      </c>
      <c r="G238" s="113">
        <f>0.2*1.05</f>
        <v>0.21000000000000002</v>
      </c>
      <c r="H238" s="113">
        <f>G238*H237</f>
        <v>3.5280000000000005</v>
      </c>
      <c r="I238" s="16"/>
      <c r="J238" s="16"/>
      <c r="K238" s="16"/>
      <c r="L238" s="16"/>
      <c r="M238" s="16"/>
      <c r="N238" s="16"/>
      <c r="O238" s="20"/>
      <c r="P238" s="124"/>
    </row>
    <row r="239" spans="2:16" outlineLevel="1" x14ac:dyDescent="0.4">
      <c r="B239" s="110"/>
      <c r="C239" s="115"/>
      <c r="D239" s="111"/>
      <c r="E239" s="111" t="s">
        <v>91</v>
      </c>
      <c r="F239" s="111" t="s">
        <v>20</v>
      </c>
      <c r="G239" s="113">
        <v>5</v>
      </c>
      <c r="H239" s="113">
        <f>G239*H238</f>
        <v>17.64</v>
      </c>
      <c r="I239" s="16"/>
      <c r="J239" s="16"/>
      <c r="K239" s="16"/>
      <c r="L239" s="16"/>
      <c r="M239" s="16"/>
      <c r="N239" s="16"/>
      <c r="O239" s="20"/>
      <c r="P239" s="124"/>
    </row>
    <row r="240" spans="2:16" outlineLevel="1" x14ac:dyDescent="0.4">
      <c r="B240" s="110"/>
      <c r="C240" s="115"/>
      <c r="D240" s="111"/>
      <c r="E240" s="111" t="s">
        <v>87</v>
      </c>
      <c r="F240" s="111" t="s">
        <v>20</v>
      </c>
      <c r="G240" s="113">
        <v>2</v>
      </c>
      <c r="H240" s="113">
        <f>G240*H237</f>
        <v>33.6</v>
      </c>
      <c r="I240" s="16"/>
      <c r="J240" s="16"/>
      <c r="K240" s="16"/>
      <c r="L240" s="16"/>
      <c r="M240" s="16"/>
      <c r="N240" s="16"/>
      <c r="O240" s="20"/>
      <c r="P240" s="124"/>
    </row>
    <row r="241" spans="2:16" outlineLevel="1" x14ac:dyDescent="0.4">
      <c r="B241" s="110"/>
      <c r="C241" s="115"/>
      <c r="D241" s="111"/>
      <c r="E241" s="111" t="s">
        <v>93</v>
      </c>
      <c r="F241" s="111" t="s">
        <v>41</v>
      </c>
      <c r="G241" s="113">
        <v>1</v>
      </c>
      <c r="H241" s="113">
        <f>G241*H237</f>
        <v>16.8</v>
      </c>
      <c r="I241" s="16"/>
      <c r="J241" s="16"/>
      <c r="K241" s="16"/>
      <c r="L241" s="16"/>
      <c r="M241" s="16"/>
      <c r="N241" s="16"/>
      <c r="O241" s="20"/>
      <c r="P241" s="124"/>
    </row>
    <row r="242" spans="2:16" x14ac:dyDescent="0.3">
      <c r="B242" s="74"/>
      <c r="C242" s="86"/>
      <c r="D242" s="75"/>
      <c r="E242" s="76" t="s">
        <v>197</v>
      </c>
      <c r="F242" s="75"/>
      <c r="G242" s="75"/>
      <c r="H242" s="108"/>
      <c r="I242" s="80"/>
      <c r="J242" s="80"/>
      <c r="K242" s="80"/>
      <c r="L242" s="80"/>
      <c r="M242" s="80"/>
      <c r="N242" s="80"/>
      <c r="O242" s="80"/>
      <c r="P242" s="124"/>
    </row>
    <row r="243" spans="2:16" s="177" customFormat="1" ht="23.4" outlineLevel="1" x14ac:dyDescent="0.3">
      <c r="B243" s="170"/>
      <c r="C243" s="157" t="s">
        <v>457</v>
      </c>
      <c r="D243" s="171"/>
      <c r="E243" s="158" t="s">
        <v>212</v>
      </c>
      <c r="F243" s="172" t="s">
        <v>369</v>
      </c>
      <c r="G243" s="173"/>
      <c r="H243" s="173">
        <f>3.1+6.3+2.5</f>
        <v>11.9</v>
      </c>
      <c r="I243" s="155"/>
      <c r="J243" s="174"/>
      <c r="K243" s="155"/>
      <c r="L243" s="174"/>
      <c r="M243" s="155"/>
      <c r="N243" s="174"/>
      <c r="O243" s="174"/>
      <c r="P243" s="124"/>
    </row>
    <row r="244" spans="2:16" s="177" customFormat="1" outlineLevel="1" x14ac:dyDescent="0.4">
      <c r="B244" s="170"/>
      <c r="C244" s="153"/>
      <c r="D244" s="171"/>
      <c r="E244" s="171" t="s">
        <v>102</v>
      </c>
      <c r="F244" s="171" t="s">
        <v>1</v>
      </c>
      <c r="G244" s="175">
        <v>6.6666666666666666E-2</v>
      </c>
      <c r="H244" s="175">
        <f>G244*H243</f>
        <v>0.79333333333333333</v>
      </c>
      <c r="I244" s="16"/>
      <c r="J244" s="16"/>
      <c r="K244" s="16"/>
      <c r="L244" s="16"/>
      <c r="M244" s="16"/>
      <c r="N244" s="16"/>
      <c r="O244" s="20"/>
      <c r="P244" s="124"/>
    </row>
    <row r="245" spans="2:16" s="177" customFormat="1" outlineLevel="1" x14ac:dyDescent="0.4">
      <c r="B245" s="170"/>
      <c r="C245" s="153"/>
      <c r="D245" s="171"/>
      <c r="E245" s="171" t="s">
        <v>101</v>
      </c>
      <c r="F245" s="171" t="s">
        <v>56</v>
      </c>
      <c r="G245" s="175">
        <v>0.2</v>
      </c>
      <c r="H245" s="175">
        <f>G245*H243</f>
        <v>2.3800000000000003</v>
      </c>
      <c r="I245" s="16"/>
      <c r="J245" s="16"/>
      <c r="K245" s="16"/>
      <c r="L245" s="16"/>
      <c r="M245" s="16"/>
      <c r="N245" s="16"/>
      <c r="O245" s="20"/>
      <c r="P245" s="124"/>
    </row>
    <row r="246" spans="2:16" s="177" customFormat="1" outlineLevel="1" x14ac:dyDescent="0.4">
      <c r="B246" s="170"/>
      <c r="C246" s="153"/>
      <c r="D246" s="171"/>
      <c r="E246" s="171" t="s">
        <v>100</v>
      </c>
      <c r="F246" s="171" t="s">
        <v>1</v>
      </c>
      <c r="G246" s="175">
        <v>0.1</v>
      </c>
      <c r="H246" s="175">
        <f>G246*H243</f>
        <v>1.1900000000000002</v>
      </c>
      <c r="I246" s="16"/>
      <c r="J246" s="16"/>
      <c r="K246" s="16"/>
      <c r="L246" s="16"/>
      <c r="M246" s="16"/>
      <c r="N246" s="16"/>
      <c r="O246" s="20"/>
      <c r="P246" s="124"/>
    </row>
    <row r="247" spans="2:16" s="177" customFormat="1" ht="23.4" outlineLevel="1" x14ac:dyDescent="0.4">
      <c r="B247" s="170"/>
      <c r="C247" s="153"/>
      <c r="D247" s="171"/>
      <c r="E247" s="171" t="s">
        <v>99</v>
      </c>
      <c r="F247" s="171" t="s">
        <v>375</v>
      </c>
      <c r="G247" s="175">
        <v>1</v>
      </c>
      <c r="H247" s="175">
        <f>G247*H243</f>
        <v>11.9</v>
      </c>
      <c r="I247" s="16"/>
      <c r="J247" s="16"/>
      <c r="K247" s="16"/>
      <c r="L247" s="16"/>
      <c r="M247" s="16"/>
      <c r="N247" s="16"/>
      <c r="O247" s="20"/>
      <c r="P247" s="124"/>
    </row>
    <row r="248" spans="2:16" s="177" customFormat="1" outlineLevel="1" x14ac:dyDescent="0.4">
      <c r="B248" s="170"/>
      <c r="C248" s="153"/>
      <c r="D248" s="171"/>
      <c r="E248" s="171"/>
      <c r="F248" s="171"/>
      <c r="G248" s="175"/>
      <c r="H248" s="175"/>
      <c r="I248" s="16"/>
      <c r="J248" s="16"/>
      <c r="K248" s="16"/>
      <c r="L248" s="16"/>
      <c r="M248" s="16"/>
      <c r="N248" s="16"/>
      <c r="O248" s="20"/>
      <c r="P248" s="124"/>
    </row>
    <row r="249" spans="2:16" s="177" customFormat="1" ht="42" outlineLevel="1" x14ac:dyDescent="0.3">
      <c r="B249" s="170"/>
      <c r="C249" s="157" t="s">
        <v>458</v>
      </c>
      <c r="D249" s="171"/>
      <c r="E249" s="158" t="s">
        <v>212</v>
      </c>
      <c r="F249" s="172" t="s">
        <v>369</v>
      </c>
      <c r="G249" s="173"/>
      <c r="H249" s="173">
        <v>11.6</v>
      </c>
      <c r="I249" s="155"/>
      <c r="J249" s="174"/>
      <c r="K249" s="155"/>
      <c r="L249" s="174"/>
      <c r="M249" s="155"/>
      <c r="N249" s="174"/>
      <c r="O249" s="174"/>
      <c r="P249" s="124"/>
    </row>
    <row r="250" spans="2:16" s="177" customFormat="1" outlineLevel="1" x14ac:dyDescent="0.4">
      <c r="B250" s="170"/>
      <c r="C250" s="153"/>
      <c r="D250" s="171"/>
      <c r="E250" s="171" t="s">
        <v>102</v>
      </c>
      <c r="F250" s="171" t="s">
        <v>1</v>
      </c>
      <c r="G250" s="175">
        <v>6.6666666666666666E-2</v>
      </c>
      <c r="H250" s="175">
        <f>G250*H249</f>
        <v>0.77333333333333332</v>
      </c>
      <c r="I250" s="16"/>
      <c r="J250" s="16"/>
      <c r="K250" s="16"/>
      <c r="L250" s="16"/>
      <c r="M250" s="16"/>
      <c r="N250" s="16"/>
      <c r="O250" s="20"/>
      <c r="P250" s="124"/>
    </row>
    <row r="251" spans="2:16" s="177" customFormat="1" outlineLevel="1" x14ac:dyDescent="0.4">
      <c r="B251" s="170"/>
      <c r="C251" s="153"/>
      <c r="D251" s="171"/>
      <c r="E251" s="171" t="s">
        <v>101</v>
      </c>
      <c r="F251" s="171" t="s">
        <v>56</v>
      </c>
      <c r="G251" s="175">
        <v>0.2</v>
      </c>
      <c r="H251" s="175">
        <f>G251*H249</f>
        <v>2.3199999999999998</v>
      </c>
      <c r="I251" s="16"/>
      <c r="J251" s="16"/>
      <c r="K251" s="16"/>
      <c r="L251" s="16"/>
      <c r="M251" s="16"/>
      <c r="N251" s="16"/>
      <c r="O251" s="20"/>
      <c r="P251" s="124"/>
    </row>
    <row r="252" spans="2:16" s="177" customFormat="1" outlineLevel="1" x14ac:dyDescent="0.4">
      <c r="B252" s="170"/>
      <c r="C252" s="153"/>
      <c r="D252" s="171"/>
      <c r="E252" s="171" t="s">
        <v>100</v>
      </c>
      <c r="F252" s="171" t="s">
        <v>1</v>
      </c>
      <c r="G252" s="175">
        <v>0.1</v>
      </c>
      <c r="H252" s="175">
        <f>G252*H249</f>
        <v>1.1599999999999999</v>
      </c>
      <c r="I252" s="16"/>
      <c r="J252" s="16"/>
      <c r="K252" s="16"/>
      <c r="L252" s="16"/>
      <c r="M252" s="16"/>
      <c r="N252" s="16"/>
      <c r="O252" s="20"/>
      <c r="P252" s="124"/>
    </row>
    <row r="253" spans="2:16" s="177" customFormat="1" ht="23.4" outlineLevel="1" x14ac:dyDescent="0.4">
      <c r="B253" s="170"/>
      <c r="C253" s="153"/>
      <c r="D253" s="171"/>
      <c r="E253" s="171" t="s">
        <v>99</v>
      </c>
      <c r="F253" s="171" t="s">
        <v>375</v>
      </c>
      <c r="G253" s="175">
        <v>1</v>
      </c>
      <c r="H253" s="175">
        <f>G253*H249</f>
        <v>11.6</v>
      </c>
      <c r="I253" s="16"/>
      <c r="J253" s="16"/>
      <c r="K253" s="16"/>
      <c r="L253" s="16"/>
      <c r="M253" s="16"/>
      <c r="N253" s="16"/>
      <c r="O253" s="20"/>
      <c r="P253" s="124"/>
    </row>
    <row r="254" spans="2:16" s="177" customFormat="1" outlineLevel="1" x14ac:dyDescent="0.4">
      <c r="B254" s="170"/>
      <c r="C254" s="153"/>
      <c r="D254" s="171"/>
      <c r="E254" s="171"/>
      <c r="F254" s="171"/>
      <c r="G254" s="175"/>
      <c r="H254" s="175"/>
      <c r="I254" s="16"/>
      <c r="J254" s="16"/>
      <c r="K254" s="16"/>
      <c r="L254" s="16"/>
      <c r="M254" s="16"/>
      <c r="N254" s="16"/>
      <c r="O254" s="20"/>
      <c r="P254" s="124"/>
    </row>
    <row r="255" spans="2:16" s="177" customFormat="1" ht="42" outlineLevel="1" x14ac:dyDescent="0.3">
      <c r="B255" s="170"/>
      <c r="C255" s="157" t="s">
        <v>459</v>
      </c>
      <c r="D255" s="171"/>
      <c r="E255" s="158" t="s">
        <v>212</v>
      </c>
      <c r="F255" s="172" t="s">
        <v>369</v>
      </c>
      <c r="G255" s="173"/>
      <c r="H255" s="173">
        <v>11.5</v>
      </c>
      <c r="I255" s="155"/>
      <c r="J255" s="174"/>
      <c r="K255" s="155"/>
      <c r="L255" s="174"/>
      <c r="M255" s="155"/>
      <c r="N255" s="174"/>
      <c r="O255" s="174"/>
      <c r="P255" s="124"/>
    </row>
    <row r="256" spans="2:16" s="177" customFormat="1" outlineLevel="1" x14ac:dyDescent="0.4">
      <c r="B256" s="170"/>
      <c r="C256" s="153"/>
      <c r="D256" s="171"/>
      <c r="E256" s="171" t="s">
        <v>102</v>
      </c>
      <c r="F256" s="171" t="s">
        <v>1</v>
      </c>
      <c r="G256" s="175">
        <v>6.6666666666666666E-2</v>
      </c>
      <c r="H256" s="175">
        <f>G256*H255</f>
        <v>0.76666666666666661</v>
      </c>
      <c r="I256" s="16"/>
      <c r="J256" s="16"/>
      <c r="K256" s="16"/>
      <c r="L256" s="16"/>
      <c r="M256" s="16"/>
      <c r="N256" s="16"/>
      <c r="O256" s="20"/>
      <c r="P256" s="124"/>
    </row>
    <row r="257" spans="2:16" s="177" customFormat="1" outlineLevel="1" x14ac:dyDescent="0.4">
      <c r="B257" s="170"/>
      <c r="C257" s="153"/>
      <c r="D257" s="171"/>
      <c r="E257" s="171" t="s">
        <v>101</v>
      </c>
      <c r="F257" s="171" t="s">
        <v>56</v>
      </c>
      <c r="G257" s="175">
        <v>0.2</v>
      </c>
      <c r="H257" s="175">
        <f>G257*H255</f>
        <v>2.3000000000000003</v>
      </c>
      <c r="I257" s="16"/>
      <c r="J257" s="16"/>
      <c r="K257" s="16"/>
      <c r="L257" s="16"/>
      <c r="M257" s="16"/>
      <c r="N257" s="16"/>
      <c r="O257" s="20"/>
      <c r="P257" s="124"/>
    </row>
    <row r="258" spans="2:16" s="177" customFormat="1" outlineLevel="1" x14ac:dyDescent="0.4">
      <c r="B258" s="170"/>
      <c r="C258" s="153"/>
      <c r="D258" s="171"/>
      <c r="E258" s="171" t="s">
        <v>100</v>
      </c>
      <c r="F258" s="171" t="s">
        <v>1</v>
      </c>
      <c r="G258" s="175">
        <v>0.1</v>
      </c>
      <c r="H258" s="175">
        <f>G258*H255</f>
        <v>1.1500000000000001</v>
      </c>
      <c r="I258" s="16"/>
      <c r="J258" s="16"/>
      <c r="K258" s="16"/>
      <c r="L258" s="16"/>
      <c r="M258" s="16"/>
      <c r="N258" s="16"/>
      <c r="O258" s="20"/>
      <c r="P258" s="124"/>
    </row>
    <row r="259" spans="2:16" s="177" customFormat="1" ht="23.4" outlineLevel="1" x14ac:dyDescent="0.4">
      <c r="B259" s="170"/>
      <c r="C259" s="153"/>
      <c r="D259" s="171"/>
      <c r="E259" s="171" t="s">
        <v>99</v>
      </c>
      <c r="F259" s="171" t="s">
        <v>375</v>
      </c>
      <c r="G259" s="175">
        <v>1</v>
      </c>
      <c r="H259" s="175">
        <f>G259*H255</f>
        <v>11.5</v>
      </c>
      <c r="I259" s="16"/>
      <c r="J259" s="16"/>
      <c r="K259" s="16"/>
      <c r="L259" s="16"/>
      <c r="M259" s="16"/>
      <c r="N259" s="16"/>
      <c r="O259" s="20"/>
      <c r="P259" s="124"/>
    </row>
    <row r="260" spans="2:16" s="177" customFormat="1" outlineLevel="1" x14ac:dyDescent="0.4">
      <c r="B260" s="170"/>
      <c r="C260" s="153"/>
      <c r="D260" s="171"/>
      <c r="E260" s="171"/>
      <c r="F260" s="171"/>
      <c r="G260" s="175"/>
      <c r="H260" s="175"/>
      <c r="I260" s="16"/>
      <c r="J260" s="16"/>
      <c r="K260" s="16"/>
      <c r="L260" s="16"/>
      <c r="M260" s="16"/>
      <c r="N260" s="16"/>
      <c r="O260" s="20"/>
      <c r="P260" s="124"/>
    </row>
    <row r="261" spans="2:16" x14ac:dyDescent="0.3">
      <c r="B261" s="74"/>
      <c r="C261" s="86"/>
      <c r="D261" s="75"/>
      <c r="E261" s="76" t="s">
        <v>196</v>
      </c>
      <c r="F261" s="75"/>
      <c r="G261" s="75"/>
      <c r="H261" s="108"/>
      <c r="I261" s="80"/>
      <c r="J261" s="80"/>
      <c r="K261" s="80"/>
      <c r="L261" s="80"/>
      <c r="M261" s="80"/>
      <c r="N261" s="80"/>
      <c r="O261" s="80"/>
      <c r="P261" s="124"/>
    </row>
    <row r="262" spans="2:16" ht="33" customHeight="1" outlineLevel="1" x14ac:dyDescent="0.3">
      <c r="B262" s="110"/>
      <c r="C262" s="176" t="s">
        <v>460</v>
      </c>
      <c r="D262" s="111"/>
      <c r="E262" s="112" t="s">
        <v>370</v>
      </c>
      <c r="F262" s="166" t="s">
        <v>44</v>
      </c>
      <c r="G262" s="167"/>
      <c r="H262" s="167">
        <v>93.7</v>
      </c>
      <c r="I262" s="11"/>
      <c r="J262" s="168"/>
      <c r="K262" s="11"/>
      <c r="L262" s="168"/>
      <c r="M262" s="11"/>
      <c r="N262" s="168"/>
      <c r="O262" s="168"/>
      <c r="P262" s="124"/>
    </row>
    <row r="263" spans="2:16" ht="33" customHeight="1" outlineLevel="1" x14ac:dyDescent="0.4">
      <c r="B263" s="110"/>
      <c r="C263" s="176"/>
      <c r="D263" s="111"/>
      <c r="E263" s="111" t="s">
        <v>62</v>
      </c>
      <c r="F263" s="111" t="s">
        <v>1</v>
      </c>
      <c r="G263" s="113">
        <f>1/0.195/0.395</f>
        <v>12.982797792924373</v>
      </c>
      <c r="H263" s="113">
        <f>G263*H262</f>
        <v>1216.4881531970138</v>
      </c>
      <c r="I263" s="16"/>
      <c r="J263" s="16"/>
      <c r="K263" s="16"/>
      <c r="L263" s="16"/>
      <c r="M263" s="16"/>
      <c r="N263" s="16"/>
      <c r="O263" s="20"/>
      <c r="P263" s="124"/>
    </row>
    <row r="264" spans="2:16" ht="33" customHeight="1" outlineLevel="1" x14ac:dyDescent="0.4">
      <c r="B264" s="110"/>
      <c r="C264" s="176"/>
      <c r="D264" s="111"/>
      <c r="E264" s="111" t="s">
        <v>139</v>
      </c>
      <c r="F264" s="111" t="s">
        <v>15</v>
      </c>
      <c r="G264" s="113">
        <f>1*0.395/1000</f>
        <v>3.9500000000000001E-4</v>
      </c>
      <c r="H264" s="113">
        <f>G264*H262</f>
        <v>3.7011500000000003E-2</v>
      </c>
      <c r="I264" s="16"/>
      <c r="J264" s="16"/>
      <c r="K264" s="16"/>
      <c r="L264" s="16"/>
      <c r="M264" s="16"/>
      <c r="N264" s="16"/>
      <c r="O264" s="20"/>
      <c r="P264" s="124"/>
    </row>
    <row r="265" spans="2:16" ht="33" customHeight="1" outlineLevel="1" x14ac:dyDescent="0.4">
      <c r="B265" s="110"/>
      <c r="C265" s="176"/>
      <c r="D265" s="111"/>
      <c r="E265" s="111" t="s">
        <v>63</v>
      </c>
      <c r="F265" s="111" t="s">
        <v>43</v>
      </c>
      <c r="G265" s="113">
        <f>0.1*0.11</f>
        <v>1.1000000000000001E-2</v>
      </c>
      <c r="H265" s="113">
        <f>G265*H262</f>
        <v>1.0307000000000002</v>
      </c>
      <c r="I265" s="16"/>
      <c r="J265" s="16"/>
      <c r="K265" s="16"/>
      <c r="L265" s="16"/>
      <c r="M265" s="16"/>
      <c r="N265" s="16"/>
      <c r="O265" s="20"/>
      <c r="P265" s="124"/>
    </row>
    <row r="266" spans="2:16" ht="33" customHeight="1" outlineLevel="1" x14ac:dyDescent="0.4">
      <c r="B266" s="110"/>
      <c r="C266" s="176"/>
      <c r="D266" s="111"/>
      <c r="E266" s="111" t="s">
        <v>51</v>
      </c>
      <c r="F266" s="111" t="s">
        <v>43</v>
      </c>
      <c r="G266" s="113">
        <v>1.21</v>
      </c>
      <c r="H266" s="113">
        <f>G266*H265</f>
        <v>1.2471470000000002</v>
      </c>
      <c r="I266" s="16"/>
      <c r="J266" s="16"/>
      <c r="K266" s="16"/>
      <c r="L266" s="16"/>
      <c r="M266" s="16"/>
      <c r="N266" s="16"/>
      <c r="O266" s="20"/>
      <c r="P266" s="124"/>
    </row>
    <row r="267" spans="2:16" ht="33" customHeight="1" outlineLevel="1" x14ac:dyDescent="0.4">
      <c r="B267" s="110"/>
      <c r="C267" s="176"/>
      <c r="D267" s="111"/>
      <c r="E267" s="111" t="s">
        <v>52</v>
      </c>
      <c r="F267" s="111" t="s">
        <v>15</v>
      </c>
      <c r="G267" s="113">
        <f>31.9/100</f>
        <v>0.31900000000000001</v>
      </c>
      <c r="H267" s="113">
        <f>G267*H265</f>
        <v>0.32879330000000007</v>
      </c>
      <c r="I267" s="16"/>
      <c r="J267" s="16"/>
      <c r="K267" s="16"/>
      <c r="L267" s="16"/>
      <c r="M267" s="16"/>
      <c r="N267" s="16"/>
      <c r="O267" s="20"/>
      <c r="P267" s="124"/>
    </row>
    <row r="268" spans="2:16" ht="33" customHeight="1" outlineLevel="1" x14ac:dyDescent="0.4">
      <c r="B268" s="110"/>
      <c r="C268" s="176"/>
      <c r="D268" s="111"/>
      <c r="E268" s="111" t="s">
        <v>53</v>
      </c>
      <c r="F268" s="111" t="s">
        <v>56</v>
      </c>
      <c r="G268" s="113">
        <f>31/0.001/100</f>
        <v>310</v>
      </c>
      <c r="H268" s="113">
        <f>G268*H265</f>
        <v>319.51700000000005</v>
      </c>
      <c r="I268" s="16"/>
      <c r="J268" s="16"/>
      <c r="K268" s="16"/>
      <c r="L268" s="16"/>
      <c r="M268" s="16"/>
      <c r="N268" s="16"/>
      <c r="O268" s="20"/>
      <c r="P268" s="124"/>
    </row>
    <row r="269" spans="2:16" ht="33" customHeight="1" outlineLevel="1" x14ac:dyDescent="0.4">
      <c r="B269" s="110"/>
      <c r="C269" s="176"/>
      <c r="D269" s="111"/>
      <c r="E269" s="111" t="s">
        <v>54</v>
      </c>
      <c r="F269" s="111" t="s">
        <v>56</v>
      </c>
      <c r="G269" s="113">
        <v>0.1</v>
      </c>
      <c r="H269" s="113">
        <f>G269*H262</f>
        <v>9.370000000000001</v>
      </c>
      <c r="I269" s="16"/>
      <c r="J269" s="16"/>
      <c r="K269" s="16"/>
      <c r="L269" s="16"/>
      <c r="M269" s="16"/>
      <c r="N269" s="16"/>
      <c r="O269" s="20"/>
      <c r="P269" s="124"/>
    </row>
    <row r="270" spans="2:16" ht="33" customHeight="1" outlineLevel="1" x14ac:dyDescent="0.4">
      <c r="B270" s="110"/>
      <c r="C270" s="176"/>
      <c r="D270" s="111"/>
      <c r="E270" s="111" t="s">
        <v>55</v>
      </c>
      <c r="F270" s="111" t="s">
        <v>1</v>
      </c>
      <c r="G270" s="113">
        <v>1</v>
      </c>
      <c r="H270" s="113">
        <f>G270*H263</f>
        <v>1216.4881531970138</v>
      </c>
      <c r="I270" s="16"/>
      <c r="J270" s="16"/>
      <c r="K270" s="16"/>
      <c r="L270" s="16"/>
      <c r="M270" s="16"/>
      <c r="N270" s="16"/>
      <c r="O270" s="20"/>
      <c r="P270" s="124"/>
    </row>
    <row r="271" spans="2:16" ht="33" customHeight="1" outlineLevel="1" x14ac:dyDescent="0.4">
      <c r="B271" s="110"/>
      <c r="C271" s="176"/>
      <c r="D271" s="111"/>
      <c r="E271" s="111"/>
      <c r="F271" s="111"/>
      <c r="G271" s="113"/>
      <c r="H271" s="113"/>
      <c r="I271" s="16"/>
      <c r="J271" s="16"/>
      <c r="K271" s="16"/>
      <c r="L271" s="16"/>
      <c r="M271" s="16"/>
      <c r="N271" s="16"/>
      <c r="O271" s="20"/>
      <c r="P271" s="124"/>
    </row>
    <row r="272" spans="2:16" ht="33" customHeight="1" outlineLevel="1" x14ac:dyDescent="0.3">
      <c r="B272" s="110"/>
      <c r="C272" s="176" t="s">
        <v>460</v>
      </c>
      <c r="D272" s="111"/>
      <c r="E272" s="112" t="s">
        <v>371</v>
      </c>
      <c r="F272" s="166" t="s">
        <v>44</v>
      </c>
      <c r="G272" s="167"/>
      <c r="H272" s="167">
        <v>33.6</v>
      </c>
      <c r="I272" s="11"/>
      <c r="J272" s="168"/>
      <c r="K272" s="11"/>
      <c r="L272" s="168"/>
      <c r="M272" s="11"/>
      <c r="N272" s="168"/>
      <c r="O272" s="168"/>
      <c r="P272" s="124"/>
    </row>
    <row r="273" spans="2:16" ht="33" customHeight="1" outlineLevel="1" x14ac:dyDescent="0.4">
      <c r="B273" s="110"/>
      <c r="C273" s="176"/>
      <c r="D273" s="111"/>
      <c r="E273" s="111" t="s">
        <v>62</v>
      </c>
      <c r="F273" s="111" t="s">
        <v>1</v>
      </c>
      <c r="G273" s="113">
        <f>1/0.195/0.395</f>
        <v>12.982797792924373</v>
      </c>
      <c r="H273" s="113">
        <f>G273*H272</f>
        <v>436.22200584225897</v>
      </c>
      <c r="I273" s="16"/>
      <c r="J273" s="16"/>
      <c r="K273" s="16"/>
      <c r="L273" s="16"/>
      <c r="M273" s="16"/>
      <c r="N273" s="16"/>
      <c r="O273" s="20"/>
      <c r="P273" s="124"/>
    </row>
    <row r="274" spans="2:16" ht="33" customHeight="1" outlineLevel="1" x14ac:dyDescent="0.4">
      <c r="B274" s="110"/>
      <c r="C274" s="176"/>
      <c r="D274" s="111"/>
      <c r="E274" s="111" t="s">
        <v>139</v>
      </c>
      <c r="F274" s="111" t="s">
        <v>15</v>
      </c>
      <c r="G274" s="113">
        <f>1*0.395/1000</f>
        <v>3.9500000000000001E-4</v>
      </c>
      <c r="H274" s="113">
        <f>G274*H272</f>
        <v>1.3272000000000001E-2</v>
      </c>
      <c r="I274" s="16"/>
      <c r="J274" s="16"/>
      <c r="K274" s="16"/>
      <c r="L274" s="16"/>
      <c r="M274" s="16"/>
      <c r="N274" s="16"/>
      <c r="O274" s="20"/>
      <c r="P274" s="124"/>
    </row>
    <row r="275" spans="2:16" ht="33" customHeight="1" outlineLevel="1" x14ac:dyDescent="0.4">
      <c r="B275" s="110"/>
      <c r="C275" s="176"/>
      <c r="D275" s="111"/>
      <c r="E275" s="111" t="s">
        <v>63</v>
      </c>
      <c r="F275" s="111" t="s">
        <v>43</v>
      </c>
      <c r="G275" s="113">
        <f>0.1*0.11</f>
        <v>1.1000000000000001E-2</v>
      </c>
      <c r="H275" s="113">
        <f>G275*H272</f>
        <v>0.36960000000000004</v>
      </c>
      <c r="I275" s="16"/>
      <c r="J275" s="16"/>
      <c r="K275" s="16"/>
      <c r="L275" s="16"/>
      <c r="M275" s="16"/>
      <c r="N275" s="16"/>
      <c r="O275" s="20"/>
      <c r="P275" s="124"/>
    </row>
    <row r="276" spans="2:16" ht="33" customHeight="1" outlineLevel="1" x14ac:dyDescent="0.4">
      <c r="B276" s="110"/>
      <c r="C276" s="176"/>
      <c r="D276" s="111"/>
      <c r="E276" s="111" t="s">
        <v>51</v>
      </c>
      <c r="F276" s="111" t="s">
        <v>43</v>
      </c>
      <c r="G276" s="113">
        <v>1.21</v>
      </c>
      <c r="H276" s="113">
        <f>G276*H275</f>
        <v>0.44721600000000006</v>
      </c>
      <c r="I276" s="16"/>
      <c r="J276" s="16"/>
      <c r="K276" s="16"/>
      <c r="L276" s="16"/>
      <c r="M276" s="16"/>
      <c r="N276" s="16"/>
      <c r="O276" s="20"/>
      <c r="P276" s="124"/>
    </row>
    <row r="277" spans="2:16" ht="33" customHeight="1" outlineLevel="1" x14ac:dyDescent="0.4">
      <c r="B277" s="110"/>
      <c r="C277" s="176"/>
      <c r="D277" s="111"/>
      <c r="E277" s="111" t="s">
        <v>52</v>
      </c>
      <c r="F277" s="111" t="s">
        <v>15</v>
      </c>
      <c r="G277" s="113">
        <f>31.9/100</f>
        <v>0.31900000000000001</v>
      </c>
      <c r="H277" s="113">
        <f>G277*H275</f>
        <v>0.11790240000000002</v>
      </c>
      <c r="I277" s="16"/>
      <c r="J277" s="16"/>
      <c r="K277" s="16"/>
      <c r="L277" s="16"/>
      <c r="M277" s="16"/>
      <c r="N277" s="16"/>
      <c r="O277" s="20"/>
      <c r="P277" s="124"/>
    </row>
    <row r="278" spans="2:16" ht="33" customHeight="1" outlineLevel="1" x14ac:dyDescent="0.4">
      <c r="B278" s="110"/>
      <c r="C278" s="176"/>
      <c r="D278" s="111"/>
      <c r="E278" s="111" t="s">
        <v>53</v>
      </c>
      <c r="F278" s="111" t="s">
        <v>56</v>
      </c>
      <c r="G278" s="113">
        <f>31/0.001/100</f>
        <v>310</v>
      </c>
      <c r="H278" s="113">
        <f>G278*H275</f>
        <v>114.57600000000001</v>
      </c>
      <c r="I278" s="16"/>
      <c r="J278" s="16"/>
      <c r="K278" s="16"/>
      <c r="L278" s="16"/>
      <c r="M278" s="16"/>
      <c r="N278" s="16"/>
      <c r="O278" s="20"/>
      <c r="P278" s="124"/>
    </row>
    <row r="279" spans="2:16" ht="33" customHeight="1" outlineLevel="1" x14ac:dyDescent="0.4">
      <c r="B279" s="110"/>
      <c r="C279" s="176"/>
      <c r="D279" s="111"/>
      <c r="E279" s="111" t="s">
        <v>54</v>
      </c>
      <c r="F279" s="111" t="s">
        <v>56</v>
      </c>
      <c r="G279" s="113">
        <v>0.1</v>
      </c>
      <c r="H279" s="113">
        <f>G279*H272</f>
        <v>3.3600000000000003</v>
      </c>
      <c r="I279" s="16"/>
      <c r="J279" s="16"/>
      <c r="K279" s="16"/>
      <c r="L279" s="16"/>
      <c r="M279" s="16"/>
      <c r="N279" s="16"/>
      <c r="O279" s="20"/>
      <c r="P279" s="124"/>
    </row>
    <row r="280" spans="2:16" ht="33" customHeight="1" outlineLevel="1" x14ac:dyDescent="0.4">
      <c r="B280" s="110"/>
      <c r="C280" s="176"/>
      <c r="D280" s="111"/>
      <c r="E280" s="111" t="s">
        <v>55</v>
      </c>
      <c r="F280" s="111" t="s">
        <v>1</v>
      </c>
      <c r="G280" s="113">
        <v>1</v>
      </c>
      <c r="H280" s="113">
        <f>G280*H273</f>
        <v>436.22200584225897</v>
      </c>
      <c r="I280" s="16"/>
      <c r="J280" s="16"/>
      <c r="K280" s="16"/>
      <c r="L280" s="16"/>
      <c r="M280" s="16"/>
      <c r="N280" s="16"/>
      <c r="O280" s="20"/>
      <c r="P280" s="124"/>
    </row>
    <row r="281" spans="2:16" ht="33" customHeight="1" outlineLevel="1" x14ac:dyDescent="0.4">
      <c r="B281" s="110"/>
      <c r="C281" s="176"/>
      <c r="D281" s="111"/>
      <c r="E281" s="111"/>
      <c r="F281" s="111"/>
      <c r="G281" s="113"/>
      <c r="H281" s="113"/>
      <c r="I281" s="16"/>
      <c r="J281" s="16"/>
      <c r="K281" s="16"/>
      <c r="L281" s="16"/>
      <c r="M281" s="16"/>
      <c r="N281" s="16"/>
      <c r="O281" s="20"/>
      <c r="P281" s="124"/>
    </row>
    <row r="282" spans="2:16" ht="33" customHeight="1" outlineLevel="1" x14ac:dyDescent="0.3">
      <c r="B282" s="110"/>
      <c r="C282" s="176" t="s">
        <v>460</v>
      </c>
      <c r="D282" s="111"/>
      <c r="E282" s="112" t="s">
        <v>373</v>
      </c>
      <c r="F282" s="166" t="s">
        <v>44</v>
      </c>
      <c r="G282" s="167"/>
      <c r="H282" s="167">
        <v>116.2</v>
      </c>
      <c r="I282" s="11"/>
      <c r="J282" s="168"/>
      <c r="K282" s="11"/>
      <c r="L282" s="168"/>
      <c r="M282" s="11"/>
      <c r="N282" s="168"/>
      <c r="O282" s="168"/>
      <c r="P282" s="124"/>
    </row>
    <row r="283" spans="2:16" ht="33" customHeight="1" outlineLevel="1" x14ac:dyDescent="0.4">
      <c r="B283" s="110"/>
      <c r="C283" s="176"/>
      <c r="D283" s="111"/>
      <c r="E283" s="111" t="s">
        <v>62</v>
      </c>
      <c r="F283" s="111" t="s">
        <v>1</v>
      </c>
      <c r="G283" s="113">
        <f>1/0.195/0.395</f>
        <v>12.982797792924373</v>
      </c>
      <c r="H283" s="113">
        <f>G283*H282</f>
        <v>1508.6011035378122</v>
      </c>
      <c r="I283" s="16"/>
      <c r="J283" s="16"/>
      <c r="K283" s="16"/>
      <c r="L283" s="16"/>
      <c r="M283" s="16"/>
      <c r="N283" s="16"/>
      <c r="O283" s="20"/>
      <c r="P283" s="124"/>
    </row>
    <row r="284" spans="2:16" ht="33" customHeight="1" outlineLevel="1" x14ac:dyDescent="0.4">
      <c r="B284" s="110"/>
      <c r="C284" s="176"/>
      <c r="D284" s="111"/>
      <c r="E284" s="111" t="s">
        <v>139</v>
      </c>
      <c r="F284" s="111" t="s">
        <v>15</v>
      </c>
      <c r="G284" s="113">
        <f>1*0.395/1000</f>
        <v>3.9500000000000001E-4</v>
      </c>
      <c r="H284" s="113">
        <f>G284*H282</f>
        <v>4.5899000000000002E-2</v>
      </c>
      <c r="I284" s="16"/>
      <c r="J284" s="16"/>
      <c r="K284" s="16"/>
      <c r="L284" s="16"/>
      <c r="M284" s="16"/>
      <c r="N284" s="16"/>
      <c r="O284" s="20"/>
      <c r="P284" s="124"/>
    </row>
    <row r="285" spans="2:16" ht="33" customHeight="1" outlineLevel="1" x14ac:dyDescent="0.4">
      <c r="B285" s="110"/>
      <c r="C285" s="176"/>
      <c r="D285" s="111"/>
      <c r="E285" s="111" t="s">
        <v>63</v>
      </c>
      <c r="F285" s="111" t="s">
        <v>43</v>
      </c>
      <c r="G285" s="113">
        <f>0.1*0.11</f>
        <v>1.1000000000000001E-2</v>
      </c>
      <c r="H285" s="113">
        <f>G285*H282</f>
        <v>1.2782000000000002</v>
      </c>
      <c r="I285" s="16"/>
      <c r="J285" s="16"/>
      <c r="K285" s="16"/>
      <c r="L285" s="16"/>
      <c r="M285" s="16"/>
      <c r="N285" s="16"/>
      <c r="O285" s="20"/>
      <c r="P285" s="124"/>
    </row>
    <row r="286" spans="2:16" ht="33" customHeight="1" outlineLevel="1" x14ac:dyDescent="0.4">
      <c r="B286" s="110"/>
      <c r="C286" s="176"/>
      <c r="D286" s="111"/>
      <c r="E286" s="111" t="s">
        <v>51</v>
      </c>
      <c r="F286" s="111" t="s">
        <v>43</v>
      </c>
      <c r="G286" s="113">
        <v>1.21</v>
      </c>
      <c r="H286" s="113">
        <f>G286*H285</f>
        <v>1.5466220000000002</v>
      </c>
      <c r="I286" s="16"/>
      <c r="J286" s="16"/>
      <c r="K286" s="16"/>
      <c r="L286" s="16"/>
      <c r="M286" s="16"/>
      <c r="N286" s="16"/>
      <c r="O286" s="20"/>
      <c r="P286" s="124"/>
    </row>
    <row r="287" spans="2:16" ht="33" customHeight="1" outlineLevel="1" x14ac:dyDescent="0.4">
      <c r="B287" s="110"/>
      <c r="C287" s="176"/>
      <c r="D287" s="111"/>
      <c r="E287" s="111" t="s">
        <v>52</v>
      </c>
      <c r="F287" s="111" t="s">
        <v>15</v>
      </c>
      <c r="G287" s="113">
        <f>31.9/100</f>
        <v>0.31900000000000001</v>
      </c>
      <c r="H287" s="113">
        <f>G287*H285</f>
        <v>0.4077458000000001</v>
      </c>
      <c r="I287" s="16"/>
      <c r="J287" s="16"/>
      <c r="K287" s="16"/>
      <c r="L287" s="16"/>
      <c r="M287" s="16"/>
      <c r="N287" s="16"/>
      <c r="O287" s="20"/>
      <c r="P287" s="124"/>
    </row>
    <row r="288" spans="2:16" ht="33" customHeight="1" outlineLevel="1" x14ac:dyDescent="0.4">
      <c r="B288" s="110"/>
      <c r="C288" s="176"/>
      <c r="D288" s="111"/>
      <c r="E288" s="111" t="s">
        <v>53</v>
      </c>
      <c r="F288" s="111" t="s">
        <v>56</v>
      </c>
      <c r="G288" s="113">
        <f>31/0.001/100</f>
        <v>310</v>
      </c>
      <c r="H288" s="113">
        <f>G288*H285</f>
        <v>396.24200000000008</v>
      </c>
      <c r="I288" s="16"/>
      <c r="J288" s="16"/>
      <c r="K288" s="16"/>
      <c r="L288" s="16"/>
      <c r="M288" s="16"/>
      <c r="N288" s="16"/>
      <c r="O288" s="20"/>
      <c r="P288" s="124"/>
    </row>
    <row r="289" spans="2:16" ht="33" customHeight="1" outlineLevel="1" x14ac:dyDescent="0.4">
      <c r="B289" s="110"/>
      <c r="C289" s="176"/>
      <c r="D289" s="111"/>
      <c r="E289" s="111" t="s">
        <v>54</v>
      </c>
      <c r="F289" s="111" t="s">
        <v>56</v>
      </c>
      <c r="G289" s="113">
        <v>0.1</v>
      </c>
      <c r="H289" s="113">
        <f>G289*H282</f>
        <v>11.620000000000001</v>
      </c>
      <c r="I289" s="16"/>
      <c r="J289" s="16"/>
      <c r="K289" s="16"/>
      <c r="L289" s="16"/>
      <c r="M289" s="16"/>
      <c r="N289" s="16"/>
      <c r="O289" s="20"/>
      <c r="P289" s="124"/>
    </row>
    <row r="290" spans="2:16" ht="33" customHeight="1" outlineLevel="1" x14ac:dyDescent="0.4">
      <c r="B290" s="110"/>
      <c r="C290" s="176"/>
      <c r="D290" s="111"/>
      <c r="E290" s="111" t="s">
        <v>55</v>
      </c>
      <c r="F290" s="111" t="s">
        <v>1</v>
      </c>
      <c r="G290" s="113">
        <v>1</v>
      </c>
      <c r="H290" s="113">
        <f>G290*H283</f>
        <v>1508.6011035378122</v>
      </c>
      <c r="I290" s="16"/>
      <c r="J290" s="16"/>
      <c r="K290" s="16"/>
      <c r="L290" s="16"/>
      <c r="M290" s="16"/>
      <c r="N290" s="16"/>
      <c r="O290" s="20"/>
      <c r="P290" s="124"/>
    </row>
    <row r="291" spans="2:16" ht="33" customHeight="1" outlineLevel="1" x14ac:dyDescent="0.4">
      <c r="B291" s="110"/>
      <c r="C291" s="176"/>
      <c r="D291" s="111"/>
      <c r="E291" s="111"/>
      <c r="F291" s="111"/>
      <c r="G291" s="113"/>
      <c r="H291" s="113">
        <f t="shared" ref="H291" si="0">G291*H284</f>
        <v>0</v>
      </c>
      <c r="I291" s="16"/>
      <c r="J291" s="16"/>
      <c r="K291" s="16"/>
      <c r="L291" s="16"/>
      <c r="M291" s="16"/>
      <c r="N291" s="16"/>
      <c r="O291" s="20"/>
      <c r="P291" s="124"/>
    </row>
    <row r="292" spans="2:16" ht="33" customHeight="1" outlineLevel="1" x14ac:dyDescent="0.3">
      <c r="B292" s="110"/>
      <c r="C292" s="176" t="s">
        <v>460</v>
      </c>
      <c r="D292" s="111"/>
      <c r="E292" s="112" t="s">
        <v>372</v>
      </c>
      <c r="F292" s="111" t="s">
        <v>40</v>
      </c>
      <c r="G292" s="173"/>
      <c r="H292" s="173">
        <v>33.6</v>
      </c>
      <c r="I292" s="11"/>
      <c r="J292" s="168"/>
      <c r="K292" s="11"/>
      <c r="L292" s="168"/>
      <c r="M292" s="11"/>
      <c r="N292" s="168"/>
      <c r="O292" s="168"/>
      <c r="P292" s="124"/>
    </row>
    <row r="293" spans="2:16" ht="33" customHeight="1" outlineLevel="1" x14ac:dyDescent="0.4">
      <c r="B293" s="110"/>
      <c r="C293" s="176"/>
      <c r="D293" s="111"/>
      <c r="E293" s="111" t="s">
        <v>64</v>
      </c>
      <c r="F293" s="111" t="s">
        <v>20</v>
      </c>
      <c r="G293" s="175">
        <v>20</v>
      </c>
      <c r="H293" s="175">
        <f>G293*H292</f>
        <v>672</v>
      </c>
      <c r="I293" s="16"/>
      <c r="J293" s="16"/>
      <c r="K293" s="16"/>
      <c r="L293" s="16"/>
      <c r="M293" s="16"/>
      <c r="N293" s="16"/>
      <c r="O293" s="20"/>
      <c r="P293" s="124"/>
    </row>
    <row r="294" spans="2:16" ht="33" customHeight="1" outlineLevel="1" x14ac:dyDescent="0.4">
      <c r="B294" s="110"/>
      <c r="C294" s="176"/>
      <c r="D294" s="111"/>
      <c r="E294" s="111" t="s">
        <v>59</v>
      </c>
      <c r="F294" s="111" t="s">
        <v>56</v>
      </c>
      <c r="G294" s="175">
        <v>0.1</v>
      </c>
      <c r="H294" s="175">
        <f>G294*H292</f>
        <v>3.3600000000000003</v>
      </c>
      <c r="I294" s="16"/>
      <c r="J294" s="16"/>
      <c r="K294" s="16"/>
      <c r="L294" s="16"/>
      <c r="M294" s="16"/>
      <c r="N294" s="16"/>
      <c r="O294" s="20"/>
      <c r="P294" s="124"/>
    </row>
    <row r="295" spans="2:16" ht="33" customHeight="1" outlineLevel="1" x14ac:dyDescent="0.4">
      <c r="B295" s="110"/>
      <c r="C295" s="176"/>
      <c r="D295" s="111"/>
      <c r="E295" s="111" t="s">
        <v>81</v>
      </c>
      <c r="F295" s="111" t="s">
        <v>40</v>
      </c>
      <c r="G295" s="175"/>
      <c r="H295" s="175">
        <f>G295*H292</f>
        <v>0</v>
      </c>
      <c r="I295" s="16"/>
      <c r="J295" s="16"/>
      <c r="K295" s="16"/>
      <c r="L295" s="16"/>
      <c r="M295" s="16"/>
      <c r="N295" s="16"/>
      <c r="O295" s="20"/>
      <c r="P295" s="124"/>
    </row>
    <row r="296" spans="2:16" ht="33" customHeight="1" outlineLevel="1" x14ac:dyDescent="0.4">
      <c r="B296" s="110"/>
      <c r="C296" s="176"/>
      <c r="D296" s="111"/>
      <c r="E296" s="111" t="s">
        <v>111</v>
      </c>
      <c r="F296" s="111" t="s">
        <v>41</v>
      </c>
      <c r="G296" s="175">
        <f>12/18</f>
        <v>0.66666666666666663</v>
      </c>
      <c r="H296" s="175">
        <f>G296*H292</f>
        <v>22.4</v>
      </c>
      <c r="I296" s="16"/>
      <c r="J296" s="16"/>
      <c r="K296" s="16"/>
      <c r="L296" s="16"/>
      <c r="M296" s="16"/>
      <c r="N296" s="16"/>
      <c r="O296" s="20"/>
      <c r="P296" s="124"/>
    </row>
    <row r="297" spans="2:16" ht="33" customHeight="1" outlineLevel="1" x14ac:dyDescent="0.4">
      <c r="B297" s="110"/>
      <c r="C297" s="176"/>
      <c r="D297" s="111"/>
      <c r="E297" s="111" t="s">
        <v>58</v>
      </c>
      <c r="F297" s="111" t="s">
        <v>41</v>
      </c>
      <c r="G297" s="175">
        <f>1/3/3/2*3</f>
        <v>0.16666666666666666</v>
      </c>
      <c r="H297" s="175">
        <f>G297*H292</f>
        <v>5.6</v>
      </c>
      <c r="I297" s="16"/>
      <c r="J297" s="16"/>
      <c r="K297" s="16"/>
      <c r="L297" s="16"/>
      <c r="M297" s="16"/>
      <c r="N297" s="16"/>
      <c r="O297" s="20"/>
      <c r="P297" s="124"/>
    </row>
    <row r="298" spans="2:16" ht="33" customHeight="1" outlineLevel="1" x14ac:dyDescent="0.4">
      <c r="B298" s="110"/>
      <c r="C298" s="176"/>
      <c r="D298" s="111"/>
      <c r="E298" s="111" t="s">
        <v>57</v>
      </c>
      <c r="F298" s="111" t="s">
        <v>41</v>
      </c>
      <c r="G298" s="175">
        <f>1/3/3/2*3</f>
        <v>0.16666666666666666</v>
      </c>
      <c r="H298" s="175">
        <f>G298*H292</f>
        <v>5.6</v>
      </c>
      <c r="I298" s="16"/>
      <c r="J298" s="16"/>
      <c r="K298" s="16"/>
      <c r="L298" s="16"/>
      <c r="M298" s="16"/>
      <c r="N298" s="16"/>
      <c r="O298" s="20"/>
      <c r="P298" s="124"/>
    </row>
    <row r="299" spans="2:16" ht="33" customHeight="1" outlineLevel="1" x14ac:dyDescent="0.4">
      <c r="B299" s="110"/>
      <c r="C299" s="176"/>
      <c r="D299" s="111"/>
      <c r="E299" s="111" t="s">
        <v>60</v>
      </c>
      <c r="F299" s="111" t="s">
        <v>40</v>
      </c>
      <c r="G299" s="175">
        <v>1</v>
      </c>
      <c r="H299" s="175">
        <f>G299*H292</f>
        <v>33.6</v>
      </c>
      <c r="I299" s="16"/>
      <c r="J299" s="16"/>
      <c r="K299" s="16"/>
      <c r="L299" s="16"/>
      <c r="M299" s="16"/>
      <c r="N299" s="16"/>
      <c r="O299" s="20"/>
      <c r="P299" s="124"/>
    </row>
    <row r="300" spans="2:16" ht="33" customHeight="1" outlineLevel="1" x14ac:dyDescent="0.4">
      <c r="B300" s="110"/>
      <c r="C300" s="176"/>
      <c r="D300" s="111"/>
      <c r="E300" s="111"/>
      <c r="F300" s="111"/>
      <c r="G300" s="113"/>
      <c r="H300" s="113"/>
      <c r="I300" s="16"/>
      <c r="J300" s="16"/>
      <c r="K300" s="16"/>
      <c r="L300" s="16"/>
      <c r="M300" s="16"/>
      <c r="N300" s="16"/>
      <c r="O300" s="20"/>
      <c r="P300" s="124"/>
    </row>
    <row r="301" spans="2:16" ht="33" customHeight="1" outlineLevel="1" x14ac:dyDescent="0.3">
      <c r="B301" s="110"/>
      <c r="C301" s="176" t="s">
        <v>460</v>
      </c>
      <c r="D301" s="111"/>
      <c r="E301" s="158" t="s">
        <v>374</v>
      </c>
      <c r="F301" s="172" t="s">
        <v>369</v>
      </c>
      <c r="G301" s="173"/>
      <c r="H301" s="173">
        <f>H292</f>
        <v>33.6</v>
      </c>
      <c r="I301" s="11"/>
      <c r="J301" s="168"/>
      <c r="K301" s="11"/>
      <c r="L301" s="168"/>
      <c r="M301" s="11"/>
      <c r="N301" s="168"/>
      <c r="O301" s="168"/>
      <c r="P301" s="124"/>
    </row>
    <row r="302" spans="2:16" ht="33" customHeight="1" outlineLevel="1" x14ac:dyDescent="0.4">
      <c r="B302" s="110"/>
      <c r="C302" s="176"/>
      <c r="D302" s="111"/>
      <c r="E302" s="171" t="s">
        <v>82</v>
      </c>
      <c r="F302" s="171" t="s">
        <v>20</v>
      </c>
      <c r="G302" s="175">
        <v>0.1</v>
      </c>
      <c r="H302" s="175">
        <f>G302*H301</f>
        <v>3.3600000000000003</v>
      </c>
      <c r="I302" s="16"/>
      <c r="J302" s="16"/>
      <c r="K302" s="16"/>
      <c r="L302" s="16"/>
      <c r="M302" s="16"/>
      <c r="N302" s="16"/>
      <c r="O302" s="20"/>
      <c r="P302" s="124"/>
    </row>
    <row r="303" spans="2:16" ht="33" customHeight="1" outlineLevel="1" x14ac:dyDescent="0.4">
      <c r="B303" s="110"/>
      <c r="C303" s="176"/>
      <c r="D303" s="111"/>
      <c r="E303" s="171" t="s">
        <v>83</v>
      </c>
      <c r="F303" s="171" t="s">
        <v>20</v>
      </c>
      <c r="G303" s="175">
        <v>3.5</v>
      </c>
      <c r="H303" s="175">
        <f>G303*H301</f>
        <v>117.60000000000001</v>
      </c>
      <c r="I303" s="16"/>
      <c r="J303" s="16"/>
      <c r="K303" s="16"/>
      <c r="L303" s="16"/>
      <c r="M303" s="16"/>
      <c r="N303" s="16"/>
      <c r="O303" s="20"/>
      <c r="P303" s="124"/>
    </row>
    <row r="304" spans="2:16" ht="33" customHeight="1" outlineLevel="1" x14ac:dyDescent="0.4">
      <c r="B304" s="110"/>
      <c r="C304" s="176"/>
      <c r="D304" s="111"/>
      <c r="E304" s="171" t="s">
        <v>92</v>
      </c>
      <c r="F304" s="171" t="s">
        <v>56</v>
      </c>
      <c r="G304" s="175">
        <f>0.14*2</f>
        <v>0.28000000000000003</v>
      </c>
      <c r="H304" s="175">
        <f>G304*H301</f>
        <v>9.4080000000000013</v>
      </c>
      <c r="I304" s="16"/>
      <c r="J304" s="16"/>
      <c r="K304" s="16"/>
      <c r="L304" s="16"/>
      <c r="M304" s="16"/>
      <c r="N304" s="16"/>
      <c r="O304" s="20"/>
      <c r="P304" s="124"/>
    </row>
    <row r="305" spans="2:16" ht="33" customHeight="1" outlineLevel="1" x14ac:dyDescent="0.4">
      <c r="B305" s="110"/>
      <c r="C305" s="176"/>
      <c r="D305" s="111"/>
      <c r="E305" s="171" t="s">
        <v>65</v>
      </c>
      <c r="F305" s="171" t="s">
        <v>375</v>
      </c>
      <c r="G305" s="175">
        <v>0.5</v>
      </c>
      <c r="H305" s="175">
        <f>G305*H301</f>
        <v>16.8</v>
      </c>
      <c r="I305" s="16"/>
      <c r="J305" s="16"/>
      <c r="K305" s="16"/>
      <c r="L305" s="16"/>
      <c r="M305" s="16"/>
      <c r="N305" s="16"/>
      <c r="O305" s="20"/>
      <c r="P305" s="124"/>
    </row>
    <row r="306" spans="2:16" ht="33" customHeight="1" outlineLevel="1" x14ac:dyDescent="0.4">
      <c r="B306" s="110"/>
      <c r="C306" s="176"/>
      <c r="D306" s="111"/>
      <c r="E306" s="111"/>
      <c r="F306" s="111"/>
      <c r="G306" s="113"/>
      <c r="H306" s="113"/>
      <c r="I306" s="16"/>
      <c r="J306" s="16"/>
      <c r="K306" s="16"/>
      <c r="L306" s="16"/>
      <c r="M306" s="16"/>
      <c r="N306" s="16"/>
      <c r="O306" s="20"/>
      <c r="P306" s="124"/>
    </row>
    <row r="307" spans="2:16" ht="33" customHeight="1" outlineLevel="1" x14ac:dyDescent="0.3">
      <c r="B307" s="110"/>
      <c r="C307" s="176"/>
      <c r="D307" s="111"/>
      <c r="E307" s="158" t="s">
        <v>376</v>
      </c>
      <c r="F307" s="172" t="s">
        <v>369</v>
      </c>
      <c r="G307" s="173"/>
      <c r="H307" s="173">
        <f>H282</f>
        <v>116.2</v>
      </c>
      <c r="I307" s="11"/>
      <c r="J307" s="168"/>
      <c r="K307" s="11"/>
      <c r="L307" s="168"/>
      <c r="M307" s="11"/>
      <c r="N307" s="168"/>
      <c r="O307" s="168"/>
      <c r="P307" s="124"/>
    </row>
    <row r="308" spans="2:16" ht="33" customHeight="1" outlineLevel="1" x14ac:dyDescent="0.4">
      <c r="B308" s="110"/>
      <c r="C308" s="176"/>
      <c r="D308" s="111"/>
      <c r="E308" s="171" t="s">
        <v>64</v>
      </c>
      <c r="F308" s="171" t="s">
        <v>20</v>
      </c>
      <c r="G308" s="175">
        <v>20</v>
      </c>
      <c r="H308" s="175">
        <f>G308*H307</f>
        <v>2324</v>
      </c>
      <c r="I308" s="16"/>
      <c r="J308" s="16"/>
      <c r="K308" s="16"/>
      <c r="L308" s="16"/>
      <c r="M308" s="16"/>
      <c r="N308" s="16"/>
      <c r="O308" s="20"/>
      <c r="P308" s="124"/>
    </row>
    <row r="309" spans="2:16" ht="33" customHeight="1" outlineLevel="1" x14ac:dyDescent="0.4">
      <c r="B309" s="110"/>
      <c r="C309" s="176"/>
      <c r="D309" s="111"/>
      <c r="E309" s="171" t="s">
        <v>59</v>
      </c>
      <c r="F309" s="171" t="s">
        <v>56</v>
      </c>
      <c r="G309" s="175">
        <v>0.1</v>
      </c>
      <c r="H309" s="175">
        <f>G309*H307</f>
        <v>11.620000000000001</v>
      </c>
      <c r="I309" s="16"/>
      <c r="J309" s="16"/>
      <c r="K309" s="16"/>
      <c r="L309" s="16"/>
      <c r="M309" s="16"/>
      <c r="N309" s="16"/>
      <c r="O309" s="20"/>
      <c r="P309" s="124"/>
    </row>
    <row r="310" spans="2:16" ht="33" customHeight="1" outlineLevel="1" x14ac:dyDescent="0.4">
      <c r="B310" s="110"/>
      <c r="C310" s="176"/>
      <c r="D310" s="111"/>
      <c r="E310" s="171" t="s">
        <v>81</v>
      </c>
      <c r="F310" s="171" t="s">
        <v>375</v>
      </c>
      <c r="G310" s="175"/>
      <c r="H310" s="175">
        <f>G310*H307</f>
        <v>0</v>
      </c>
      <c r="I310" s="16"/>
      <c r="J310" s="16"/>
      <c r="K310" s="16"/>
      <c r="L310" s="16"/>
      <c r="M310" s="16"/>
      <c r="N310" s="16"/>
      <c r="O310" s="20"/>
      <c r="P310" s="124"/>
    </row>
    <row r="311" spans="2:16" ht="33" customHeight="1" outlineLevel="1" x14ac:dyDescent="0.4">
      <c r="B311" s="110"/>
      <c r="C311" s="176"/>
      <c r="D311" s="111"/>
      <c r="E311" s="171" t="s">
        <v>111</v>
      </c>
      <c r="F311" s="171" t="s">
        <v>41</v>
      </c>
      <c r="G311" s="175">
        <f>12/18</f>
        <v>0.66666666666666663</v>
      </c>
      <c r="H311" s="175">
        <f>G311*H307</f>
        <v>77.466666666666669</v>
      </c>
      <c r="I311" s="16"/>
      <c r="J311" s="16"/>
      <c r="K311" s="16"/>
      <c r="L311" s="16"/>
      <c r="M311" s="16"/>
      <c r="N311" s="16"/>
      <c r="O311" s="20"/>
      <c r="P311" s="124"/>
    </row>
    <row r="312" spans="2:16" ht="33" customHeight="1" outlineLevel="1" x14ac:dyDescent="0.4">
      <c r="B312" s="110"/>
      <c r="C312" s="176"/>
      <c r="D312" s="111"/>
      <c r="E312" s="171" t="s">
        <v>58</v>
      </c>
      <c r="F312" s="171" t="s">
        <v>41</v>
      </c>
      <c r="G312" s="175">
        <f>1/3/3/2*3</f>
        <v>0.16666666666666666</v>
      </c>
      <c r="H312" s="175">
        <f>G312*H307</f>
        <v>19.366666666666667</v>
      </c>
      <c r="I312" s="16"/>
      <c r="J312" s="16"/>
      <c r="K312" s="16"/>
      <c r="L312" s="16"/>
      <c r="M312" s="16"/>
      <c r="N312" s="16"/>
      <c r="O312" s="20"/>
      <c r="P312" s="124"/>
    </row>
    <row r="313" spans="2:16" ht="33" customHeight="1" outlineLevel="1" x14ac:dyDescent="0.4">
      <c r="B313" s="110"/>
      <c r="C313" s="176"/>
      <c r="D313" s="111"/>
      <c r="E313" s="171" t="s">
        <v>57</v>
      </c>
      <c r="F313" s="171" t="s">
        <v>41</v>
      </c>
      <c r="G313" s="175">
        <f>1/3/3/2*3</f>
        <v>0.16666666666666666</v>
      </c>
      <c r="H313" s="175">
        <f>G313*H307</f>
        <v>19.366666666666667</v>
      </c>
      <c r="I313" s="16"/>
      <c r="J313" s="16"/>
      <c r="K313" s="16"/>
      <c r="L313" s="16"/>
      <c r="M313" s="16"/>
      <c r="N313" s="16"/>
      <c r="O313" s="20"/>
      <c r="P313" s="124"/>
    </row>
    <row r="314" spans="2:16" ht="33" customHeight="1" outlineLevel="1" x14ac:dyDescent="0.4">
      <c r="B314" s="110"/>
      <c r="C314" s="176"/>
      <c r="D314" s="111"/>
      <c r="E314" s="171" t="s">
        <v>60</v>
      </c>
      <c r="F314" s="171" t="s">
        <v>375</v>
      </c>
      <c r="G314" s="175">
        <v>1</v>
      </c>
      <c r="H314" s="175">
        <f>G314*H307</f>
        <v>116.2</v>
      </c>
      <c r="I314" s="16"/>
      <c r="J314" s="16"/>
      <c r="K314" s="16"/>
      <c r="L314" s="16"/>
      <c r="M314" s="16"/>
      <c r="N314" s="16"/>
      <c r="O314" s="20"/>
      <c r="P314" s="124"/>
    </row>
    <row r="315" spans="2:16" ht="33" customHeight="1" outlineLevel="1" x14ac:dyDescent="0.4">
      <c r="B315" s="110"/>
      <c r="C315" s="176"/>
      <c r="D315" s="111"/>
      <c r="E315" s="171"/>
      <c r="F315" s="171"/>
      <c r="G315" s="175"/>
      <c r="H315" s="175"/>
      <c r="I315" s="16"/>
      <c r="J315" s="16"/>
      <c r="K315" s="16"/>
      <c r="L315" s="16"/>
      <c r="M315" s="16"/>
      <c r="N315" s="16"/>
      <c r="O315" s="20"/>
      <c r="P315" s="124"/>
    </row>
    <row r="316" spans="2:16" ht="33" customHeight="1" outlineLevel="1" x14ac:dyDescent="0.3">
      <c r="B316" s="110"/>
      <c r="C316" s="176" t="s">
        <v>461</v>
      </c>
      <c r="D316" s="111"/>
      <c r="E316" s="112" t="s">
        <v>370</v>
      </c>
      <c r="F316" s="166" t="s">
        <v>44</v>
      </c>
      <c r="G316" s="167"/>
      <c r="H316" s="167">
        <v>93.7</v>
      </c>
      <c r="I316" s="11"/>
      <c r="J316" s="168"/>
      <c r="K316" s="11"/>
      <c r="L316" s="168"/>
      <c r="M316" s="11"/>
      <c r="N316" s="168"/>
      <c r="O316" s="168"/>
      <c r="P316" s="124"/>
    </row>
    <row r="317" spans="2:16" ht="33" customHeight="1" outlineLevel="1" x14ac:dyDescent="0.4">
      <c r="B317" s="110"/>
      <c r="C317" s="176"/>
      <c r="D317" s="111"/>
      <c r="E317" s="111" t="s">
        <v>62</v>
      </c>
      <c r="F317" s="111" t="s">
        <v>1</v>
      </c>
      <c r="G317" s="113">
        <f>1/0.195/0.395</f>
        <v>12.982797792924373</v>
      </c>
      <c r="H317" s="113">
        <f>G317*H316</f>
        <v>1216.4881531970138</v>
      </c>
      <c r="I317" s="16"/>
      <c r="J317" s="16"/>
      <c r="K317" s="16"/>
      <c r="L317" s="16"/>
      <c r="M317" s="16"/>
      <c r="N317" s="16"/>
      <c r="O317" s="20"/>
      <c r="P317" s="124"/>
    </row>
    <row r="318" spans="2:16" ht="33" customHeight="1" outlineLevel="1" x14ac:dyDescent="0.4">
      <c r="B318" s="110"/>
      <c r="C318" s="176"/>
      <c r="D318" s="111"/>
      <c r="E318" s="111" t="s">
        <v>139</v>
      </c>
      <c r="F318" s="111" t="s">
        <v>15</v>
      </c>
      <c r="G318" s="113">
        <f>1*0.395/1000</f>
        <v>3.9500000000000001E-4</v>
      </c>
      <c r="H318" s="113">
        <f>G318*H316</f>
        <v>3.7011500000000003E-2</v>
      </c>
      <c r="I318" s="16"/>
      <c r="J318" s="16"/>
      <c r="K318" s="16"/>
      <c r="L318" s="16"/>
      <c r="M318" s="16"/>
      <c r="N318" s="16"/>
      <c r="O318" s="20"/>
      <c r="P318" s="124"/>
    </row>
    <row r="319" spans="2:16" ht="33" customHeight="1" outlineLevel="1" x14ac:dyDescent="0.4">
      <c r="B319" s="110"/>
      <c r="C319" s="176"/>
      <c r="D319" s="111"/>
      <c r="E319" s="111" t="s">
        <v>63</v>
      </c>
      <c r="F319" s="111" t="s">
        <v>43</v>
      </c>
      <c r="G319" s="113">
        <f>0.1*0.11</f>
        <v>1.1000000000000001E-2</v>
      </c>
      <c r="H319" s="113">
        <f>G319*H316</f>
        <v>1.0307000000000002</v>
      </c>
      <c r="I319" s="16"/>
      <c r="J319" s="16"/>
      <c r="K319" s="16"/>
      <c r="L319" s="16"/>
      <c r="M319" s="16"/>
      <c r="N319" s="16"/>
      <c r="O319" s="20"/>
      <c r="P319" s="124"/>
    </row>
    <row r="320" spans="2:16" ht="33" customHeight="1" outlineLevel="1" x14ac:dyDescent="0.4">
      <c r="B320" s="110"/>
      <c r="C320" s="176"/>
      <c r="D320" s="111"/>
      <c r="E320" s="111" t="s">
        <v>51</v>
      </c>
      <c r="F320" s="111" t="s">
        <v>43</v>
      </c>
      <c r="G320" s="113">
        <v>1.21</v>
      </c>
      <c r="H320" s="113">
        <f>G320*H319</f>
        <v>1.2471470000000002</v>
      </c>
      <c r="I320" s="16"/>
      <c r="J320" s="16"/>
      <c r="K320" s="16"/>
      <c r="L320" s="16"/>
      <c r="M320" s="16"/>
      <c r="N320" s="16"/>
      <c r="O320" s="20"/>
      <c r="P320" s="124"/>
    </row>
    <row r="321" spans="2:16" ht="33" customHeight="1" outlineLevel="1" x14ac:dyDescent="0.4">
      <c r="B321" s="110"/>
      <c r="C321" s="176"/>
      <c r="D321" s="111"/>
      <c r="E321" s="111" t="s">
        <v>52</v>
      </c>
      <c r="F321" s="111" t="s">
        <v>15</v>
      </c>
      <c r="G321" s="113">
        <f>31.9/100</f>
        <v>0.31900000000000001</v>
      </c>
      <c r="H321" s="113">
        <f>G321*H319</f>
        <v>0.32879330000000007</v>
      </c>
      <c r="I321" s="16"/>
      <c r="J321" s="16"/>
      <c r="K321" s="16"/>
      <c r="L321" s="16"/>
      <c r="M321" s="16"/>
      <c r="N321" s="16"/>
      <c r="O321" s="20"/>
      <c r="P321" s="124"/>
    </row>
    <row r="322" spans="2:16" ht="33" customHeight="1" outlineLevel="1" x14ac:dyDescent="0.4">
      <c r="B322" s="110"/>
      <c r="C322" s="176"/>
      <c r="D322" s="111"/>
      <c r="E322" s="111" t="s">
        <v>53</v>
      </c>
      <c r="F322" s="111" t="s">
        <v>56</v>
      </c>
      <c r="G322" s="113">
        <f>31/0.001/100</f>
        <v>310</v>
      </c>
      <c r="H322" s="113">
        <f>G322*H319</f>
        <v>319.51700000000005</v>
      </c>
      <c r="I322" s="16"/>
      <c r="J322" s="16"/>
      <c r="K322" s="16"/>
      <c r="L322" s="16"/>
      <c r="M322" s="16"/>
      <c r="N322" s="16"/>
      <c r="O322" s="20"/>
      <c r="P322" s="124"/>
    </row>
    <row r="323" spans="2:16" ht="33" customHeight="1" outlineLevel="1" x14ac:dyDescent="0.4">
      <c r="B323" s="110"/>
      <c r="C323" s="176"/>
      <c r="D323" s="111"/>
      <c r="E323" s="111" t="s">
        <v>54</v>
      </c>
      <c r="F323" s="111" t="s">
        <v>56</v>
      </c>
      <c r="G323" s="113">
        <v>0.1</v>
      </c>
      <c r="H323" s="113">
        <f>G323*H316</f>
        <v>9.370000000000001</v>
      </c>
      <c r="I323" s="16"/>
      <c r="J323" s="16"/>
      <c r="K323" s="16"/>
      <c r="L323" s="16"/>
      <c r="M323" s="16"/>
      <c r="N323" s="16"/>
      <c r="O323" s="20"/>
      <c r="P323" s="124"/>
    </row>
    <row r="324" spans="2:16" ht="33" customHeight="1" outlineLevel="1" x14ac:dyDescent="0.4">
      <c r="B324" s="110"/>
      <c r="C324" s="176"/>
      <c r="D324" s="111"/>
      <c r="E324" s="111" t="s">
        <v>55</v>
      </c>
      <c r="F324" s="111" t="s">
        <v>1</v>
      </c>
      <c r="G324" s="113">
        <v>1</v>
      </c>
      <c r="H324" s="113">
        <f>G324*H317</f>
        <v>1216.4881531970138</v>
      </c>
      <c r="I324" s="16"/>
      <c r="J324" s="16"/>
      <c r="K324" s="16"/>
      <c r="L324" s="16"/>
      <c r="M324" s="16"/>
      <c r="N324" s="16"/>
      <c r="O324" s="20"/>
      <c r="P324" s="124"/>
    </row>
    <row r="325" spans="2:16" ht="33" customHeight="1" outlineLevel="1" x14ac:dyDescent="0.4">
      <c r="B325" s="110"/>
      <c r="C325" s="176"/>
      <c r="D325" s="111"/>
      <c r="E325" s="111"/>
      <c r="F325" s="111"/>
      <c r="G325" s="113"/>
      <c r="H325" s="113"/>
      <c r="I325" s="16"/>
      <c r="J325" s="16"/>
      <c r="K325" s="16"/>
      <c r="L325" s="16"/>
      <c r="M325" s="16"/>
      <c r="N325" s="16"/>
      <c r="O325" s="20"/>
      <c r="P325" s="124"/>
    </row>
    <row r="326" spans="2:16" ht="33" customHeight="1" outlineLevel="1" x14ac:dyDescent="0.3">
      <c r="B326" s="110"/>
      <c r="C326" s="176" t="s">
        <v>461</v>
      </c>
      <c r="D326" s="111"/>
      <c r="E326" s="112" t="s">
        <v>371</v>
      </c>
      <c r="F326" s="166" t="s">
        <v>44</v>
      </c>
      <c r="G326" s="167"/>
      <c r="H326" s="167">
        <v>40.299999999999997</v>
      </c>
      <c r="I326" s="11"/>
      <c r="J326" s="168"/>
      <c r="K326" s="11"/>
      <c r="L326" s="168"/>
      <c r="M326" s="11"/>
      <c r="N326" s="168"/>
      <c r="O326" s="168"/>
      <c r="P326" s="124"/>
    </row>
    <row r="327" spans="2:16" ht="33" customHeight="1" outlineLevel="1" x14ac:dyDescent="0.4">
      <c r="B327" s="110"/>
      <c r="C327" s="176"/>
      <c r="D327" s="111"/>
      <c r="E327" s="111" t="s">
        <v>62</v>
      </c>
      <c r="F327" s="111" t="s">
        <v>1</v>
      </c>
      <c r="G327" s="113">
        <f>1/0.195/0.395</f>
        <v>12.982797792924373</v>
      </c>
      <c r="H327" s="113">
        <f>G327*H326</f>
        <v>523.20675105485225</v>
      </c>
      <c r="I327" s="16"/>
      <c r="J327" s="16"/>
      <c r="K327" s="16"/>
      <c r="L327" s="16"/>
      <c r="M327" s="16"/>
      <c r="N327" s="16"/>
      <c r="O327" s="20"/>
      <c r="P327" s="124"/>
    </row>
    <row r="328" spans="2:16" ht="33" customHeight="1" outlineLevel="1" x14ac:dyDescent="0.4">
      <c r="B328" s="110"/>
      <c r="C328" s="176"/>
      <c r="D328" s="111"/>
      <c r="E328" s="111" t="s">
        <v>139</v>
      </c>
      <c r="F328" s="111" t="s">
        <v>15</v>
      </c>
      <c r="G328" s="113">
        <f>1*0.395/1000</f>
        <v>3.9500000000000001E-4</v>
      </c>
      <c r="H328" s="113">
        <f>G328*H326</f>
        <v>1.5918499999999999E-2</v>
      </c>
      <c r="I328" s="16"/>
      <c r="J328" s="16"/>
      <c r="K328" s="16"/>
      <c r="L328" s="16"/>
      <c r="M328" s="16"/>
      <c r="N328" s="16"/>
      <c r="O328" s="20"/>
      <c r="P328" s="124"/>
    </row>
    <row r="329" spans="2:16" ht="33" customHeight="1" outlineLevel="1" x14ac:dyDescent="0.4">
      <c r="B329" s="110"/>
      <c r="C329" s="176"/>
      <c r="D329" s="111"/>
      <c r="E329" s="111" t="s">
        <v>63</v>
      </c>
      <c r="F329" s="111" t="s">
        <v>43</v>
      </c>
      <c r="G329" s="113">
        <f>0.1*0.11</f>
        <v>1.1000000000000001E-2</v>
      </c>
      <c r="H329" s="113">
        <f>G329*H326</f>
        <v>0.44330000000000003</v>
      </c>
      <c r="I329" s="16"/>
      <c r="J329" s="16"/>
      <c r="K329" s="16"/>
      <c r="L329" s="16"/>
      <c r="M329" s="16"/>
      <c r="N329" s="16"/>
      <c r="O329" s="20"/>
      <c r="P329" s="124"/>
    </row>
    <row r="330" spans="2:16" ht="33" customHeight="1" outlineLevel="1" x14ac:dyDescent="0.4">
      <c r="B330" s="110"/>
      <c r="C330" s="176"/>
      <c r="D330" s="111"/>
      <c r="E330" s="111" t="s">
        <v>51</v>
      </c>
      <c r="F330" s="111" t="s">
        <v>43</v>
      </c>
      <c r="G330" s="113">
        <v>1.21</v>
      </c>
      <c r="H330" s="113">
        <f>G330*H329</f>
        <v>0.53639300000000001</v>
      </c>
      <c r="I330" s="16"/>
      <c r="J330" s="16"/>
      <c r="K330" s="16"/>
      <c r="L330" s="16"/>
      <c r="M330" s="16"/>
      <c r="N330" s="16"/>
      <c r="O330" s="20"/>
      <c r="P330" s="124"/>
    </row>
    <row r="331" spans="2:16" ht="33" customHeight="1" outlineLevel="1" x14ac:dyDescent="0.4">
      <c r="B331" s="110"/>
      <c r="C331" s="176"/>
      <c r="D331" s="111"/>
      <c r="E331" s="111" t="s">
        <v>52</v>
      </c>
      <c r="F331" s="111" t="s">
        <v>15</v>
      </c>
      <c r="G331" s="113">
        <f>31.9/100</f>
        <v>0.31900000000000001</v>
      </c>
      <c r="H331" s="113">
        <f>G331*H329</f>
        <v>0.1414127</v>
      </c>
      <c r="I331" s="16"/>
      <c r="J331" s="16"/>
      <c r="K331" s="16"/>
      <c r="L331" s="16"/>
      <c r="M331" s="16"/>
      <c r="N331" s="16"/>
      <c r="O331" s="20"/>
      <c r="P331" s="124"/>
    </row>
    <row r="332" spans="2:16" ht="33" customHeight="1" outlineLevel="1" x14ac:dyDescent="0.4">
      <c r="B332" s="110"/>
      <c r="C332" s="176"/>
      <c r="D332" s="111"/>
      <c r="E332" s="111" t="s">
        <v>53</v>
      </c>
      <c r="F332" s="111" t="s">
        <v>56</v>
      </c>
      <c r="G332" s="113">
        <f>31/0.001/100</f>
        <v>310</v>
      </c>
      <c r="H332" s="113">
        <f>G332*H329</f>
        <v>137.423</v>
      </c>
      <c r="I332" s="16"/>
      <c r="J332" s="16"/>
      <c r="K332" s="16"/>
      <c r="L332" s="16"/>
      <c r="M332" s="16"/>
      <c r="N332" s="16"/>
      <c r="O332" s="20"/>
      <c r="P332" s="124"/>
    </row>
    <row r="333" spans="2:16" ht="33" customHeight="1" outlineLevel="1" x14ac:dyDescent="0.4">
      <c r="B333" s="110"/>
      <c r="C333" s="176"/>
      <c r="D333" s="111"/>
      <c r="E333" s="111" t="s">
        <v>54</v>
      </c>
      <c r="F333" s="111" t="s">
        <v>56</v>
      </c>
      <c r="G333" s="113">
        <v>0.1</v>
      </c>
      <c r="H333" s="113">
        <f>G333*H326</f>
        <v>4.03</v>
      </c>
      <c r="I333" s="16"/>
      <c r="J333" s="16"/>
      <c r="K333" s="16"/>
      <c r="L333" s="16"/>
      <c r="M333" s="16"/>
      <c r="N333" s="16"/>
      <c r="O333" s="20"/>
      <c r="P333" s="124"/>
    </row>
    <row r="334" spans="2:16" ht="33" customHeight="1" outlineLevel="1" x14ac:dyDescent="0.4">
      <c r="B334" s="110"/>
      <c r="C334" s="176"/>
      <c r="D334" s="111"/>
      <c r="E334" s="111" t="s">
        <v>55</v>
      </c>
      <c r="F334" s="111" t="s">
        <v>1</v>
      </c>
      <c r="G334" s="113">
        <v>1</v>
      </c>
      <c r="H334" s="113">
        <f>G334*H327</f>
        <v>523.20675105485225</v>
      </c>
      <c r="I334" s="16"/>
      <c r="J334" s="16"/>
      <c r="K334" s="16"/>
      <c r="L334" s="16"/>
      <c r="M334" s="16"/>
      <c r="N334" s="16"/>
      <c r="O334" s="20"/>
      <c r="P334" s="124"/>
    </row>
    <row r="335" spans="2:16" ht="33" customHeight="1" outlineLevel="1" x14ac:dyDescent="0.4">
      <c r="B335" s="110"/>
      <c r="C335" s="176"/>
      <c r="D335" s="111"/>
      <c r="E335" s="111"/>
      <c r="F335" s="111"/>
      <c r="G335" s="113"/>
      <c r="H335" s="113"/>
      <c r="I335" s="16"/>
      <c r="J335" s="16"/>
      <c r="K335" s="16"/>
      <c r="L335" s="16"/>
      <c r="M335" s="16"/>
      <c r="N335" s="16"/>
      <c r="O335" s="20"/>
      <c r="P335" s="124"/>
    </row>
    <row r="336" spans="2:16" ht="33" customHeight="1" outlineLevel="1" x14ac:dyDescent="0.3">
      <c r="B336" s="110"/>
      <c r="C336" s="176" t="s">
        <v>461</v>
      </c>
      <c r="D336" s="111"/>
      <c r="E336" s="112" t="s">
        <v>373</v>
      </c>
      <c r="F336" s="166" t="s">
        <v>44</v>
      </c>
      <c r="G336" s="167"/>
      <c r="H336" s="167">
        <v>48.2</v>
      </c>
      <c r="I336" s="11"/>
      <c r="J336" s="168"/>
      <c r="K336" s="11"/>
      <c r="L336" s="168"/>
      <c r="M336" s="11"/>
      <c r="N336" s="168"/>
      <c r="O336" s="168"/>
      <c r="P336" s="124"/>
    </row>
    <row r="337" spans="2:16" ht="33" customHeight="1" outlineLevel="1" x14ac:dyDescent="0.4">
      <c r="B337" s="110"/>
      <c r="C337" s="176"/>
      <c r="D337" s="111"/>
      <c r="E337" s="111" t="s">
        <v>62</v>
      </c>
      <c r="F337" s="111" t="s">
        <v>1</v>
      </c>
      <c r="G337" s="113">
        <f>1/0.195/0.395</f>
        <v>12.982797792924373</v>
      </c>
      <c r="H337" s="113">
        <f>G337*H336</f>
        <v>625.77085361895479</v>
      </c>
      <c r="I337" s="16"/>
      <c r="J337" s="16"/>
      <c r="K337" s="16"/>
      <c r="L337" s="16"/>
      <c r="M337" s="16"/>
      <c r="N337" s="16"/>
      <c r="O337" s="20"/>
      <c r="P337" s="124"/>
    </row>
    <row r="338" spans="2:16" ht="33" customHeight="1" outlineLevel="1" x14ac:dyDescent="0.4">
      <c r="B338" s="110"/>
      <c r="C338" s="176"/>
      <c r="D338" s="111"/>
      <c r="E338" s="111" t="s">
        <v>139</v>
      </c>
      <c r="F338" s="111" t="s">
        <v>15</v>
      </c>
      <c r="G338" s="113">
        <f>1*0.395/1000</f>
        <v>3.9500000000000001E-4</v>
      </c>
      <c r="H338" s="113">
        <f>G338*H336</f>
        <v>1.9039E-2</v>
      </c>
      <c r="I338" s="16"/>
      <c r="J338" s="16"/>
      <c r="K338" s="16"/>
      <c r="L338" s="16"/>
      <c r="M338" s="16"/>
      <c r="N338" s="16"/>
      <c r="O338" s="20"/>
      <c r="P338" s="124"/>
    </row>
    <row r="339" spans="2:16" ht="33" customHeight="1" outlineLevel="1" x14ac:dyDescent="0.4">
      <c r="B339" s="110"/>
      <c r="C339" s="176"/>
      <c r="D339" s="111"/>
      <c r="E339" s="111" t="s">
        <v>63</v>
      </c>
      <c r="F339" s="111" t="s">
        <v>43</v>
      </c>
      <c r="G339" s="113">
        <f>0.1*0.11</f>
        <v>1.1000000000000001E-2</v>
      </c>
      <c r="H339" s="113">
        <f>G339*H336</f>
        <v>0.53020000000000012</v>
      </c>
      <c r="I339" s="16"/>
      <c r="J339" s="16"/>
      <c r="K339" s="16"/>
      <c r="L339" s="16"/>
      <c r="M339" s="16"/>
      <c r="N339" s="16"/>
      <c r="O339" s="20"/>
      <c r="P339" s="124"/>
    </row>
    <row r="340" spans="2:16" ht="33" customHeight="1" outlineLevel="1" x14ac:dyDescent="0.4">
      <c r="B340" s="110"/>
      <c r="C340" s="176"/>
      <c r="D340" s="111"/>
      <c r="E340" s="111" t="s">
        <v>51</v>
      </c>
      <c r="F340" s="111" t="s">
        <v>43</v>
      </c>
      <c r="G340" s="113">
        <v>1.21</v>
      </c>
      <c r="H340" s="113">
        <f>G340*H339</f>
        <v>0.64154200000000017</v>
      </c>
      <c r="I340" s="16"/>
      <c r="J340" s="16"/>
      <c r="K340" s="16"/>
      <c r="L340" s="16"/>
      <c r="M340" s="16"/>
      <c r="N340" s="16"/>
      <c r="O340" s="20"/>
      <c r="P340" s="124"/>
    </row>
    <row r="341" spans="2:16" ht="33" customHeight="1" outlineLevel="1" x14ac:dyDescent="0.4">
      <c r="B341" s="110"/>
      <c r="C341" s="176"/>
      <c r="D341" s="111"/>
      <c r="E341" s="111" t="s">
        <v>52</v>
      </c>
      <c r="F341" s="111" t="s">
        <v>15</v>
      </c>
      <c r="G341" s="113">
        <f>31.9/100</f>
        <v>0.31900000000000001</v>
      </c>
      <c r="H341" s="113">
        <f>G341*H339</f>
        <v>0.16913380000000003</v>
      </c>
      <c r="I341" s="16"/>
      <c r="J341" s="16"/>
      <c r="K341" s="16"/>
      <c r="L341" s="16"/>
      <c r="M341" s="16"/>
      <c r="N341" s="16"/>
      <c r="O341" s="20"/>
      <c r="P341" s="124"/>
    </row>
    <row r="342" spans="2:16" ht="33" customHeight="1" outlineLevel="1" x14ac:dyDescent="0.4">
      <c r="B342" s="110"/>
      <c r="C342" s="176"/>
      <c r="D342" s="111"/>
      <c r="E342" s="111" t="s">
        <v>53</v>
      </c>
      <c r="F342" s="111" t="s">
        <v>56</v>
      </c>
      <c r="G342" s="113">
        <f>31/0.001/100</f>
        <v>310</v>
      </c>
      <c r="H342" s="113">
        <f>G342*H339</f>
        <v>164.36200000000002</v>
      </c>
      <c r="I342" s="16"/>
      <c r="J342" s="16"/>
      <c r="K342" s="16"/>
      <c r="L342" s="16"/>
      <c r="M342" s="16"/>
      <c r="N342" s="16"/>
      <c r="O342" s="20"/>
      <c r="P342" s="124"/>
    </row>
    <row r="343" spans="2:16" ht="33" customHeight="1" outlineLevel="1" x14ac:dyDescent="0.4">
      <c r="B343" s="110"/>
      <c r="C343" s="176"/>
      <c r="D343" s="111"/>
      <c r="E343" s="111" t="s">
        <v>54</v>
      </c>
      <c r="F343" s="111" t="s">
        <v>56</v>
      </c>
      <c r="G343" s="113">
        <v>0.1</v>
      </c>
      <c r="H343" s="113">
        <f>G343*H336</f>
        <v>4.82</v>
      </c>
      <c r="I343" s="16"/>
      <c r="J343" s="16"/>
      <c r="K343" s="16"/>
      <c r="L343" s="16"/>
      <c r="M343" s="16"/>
      <c r="N343" s="16"/>
      <c r="O343" s="20"/>
      <c r="P343" s="124"/>
    </row>
    <row r="344" spans="2:16" ht="33" customHeight="1" outlineLevel="1" x14ac:dyDescent="0.4">
      <c r="B344" s="110"/>
      <c r="C344" s="176"/>
      <c r="D344" s="111"/>
      <c r="E344" s="111" t="s">
        <v>55</v>
      </c>
      <c r="F344" s="111" t="s">
        <v>1</v>
      </c>
      <c r="G344" s="113">
        <v>1</v>
      </c>
      <c r="H344" s="113">
        <f>G344*H337</f>
        <v>625.77085361895479</v>
      </c>
      <c r="I344" s="16"/>
      <c r="J344" s="16"/>
      <c r="K344" s="16"/>
      <c r="L344" s="16"/>
      <c r="M344" s="16"/>
      <c r="N344" s="16"/>
      <c r="O344" s="20"/>
      <c r="P344" s="124"/>
    </row>
    <row r="345" spans="2:16" ht="33" customHeight="1" outlineLevel="1" x14ac:dyDescent="0.4">
      <c r="B345" s="110"/>
      <c r="C345" s="176"/>
      <c r="D345" s="111"/>
      <c r="E345" s="111"/>
      <c r="F345" s="111"/>
      <c r="G345" s="113"/>
      <c r="H345" s="113">
        <f t="shared" ref="H345" si="1">G345*H338</f>
        <v>0</v>
      </c>
      <c r="I345" s="16"/>
      <c r="J345" s="16"/>
      <c r="K345" s="16"/>
      <c r="L345" s="16"/>
      <c r="M345" s="16"/>
      <c r="N345" s="16"/>
      <c r="O345" s="20"/>
      <c r="P345" s="124"/>
    </row>
    <row r="346" spans="2:16" ht="33" customHeight="1" outlineLevel="1" x14ac:dyDescent="0.3">
      <c r="B346" s="110"/>
      <c r="C346" s="176" t="s">
        <v>461</v>
      </c>
      <c r="D346" s="111"/>
      <c r="E346" s="112" t="s">
        <v>372</v>
      </c>
      <c r="F346" s="111" t="s">
        <v>40</v>
      </c>
      <c r="G346" s="173"/>
      <c r="H346" s="173">
        <f>H326</f>
        <v>40.299999999999997</v>
      </c>
      <c r="I346" s="11"/>
      <c r="J346" s="168"/>
      <c r="K346" s="11"/>
      <c r="L346" s="168"/>
      <c r="M346" s="11"/>
      <c r="N346" s="168"/>
      <c r="O346" s="168"/>
      <c r="P346" s="124"/>
    </row>
    <row r="347" spans="2:16" ht="33" customHeight="1" outlineLevel="1" x14ac:dyDescent="0.4">
      <c r="B347" s="110"/>
      <c r="C347" s="176"/>
      <c r="D347" s="111"/>
      <c r="E347" s="111" t="s">
        <v>64</v>
      </c>
      <c r="F347" s="111" t="s">
        <v>20</v>
      </c>
      <c r="G347" s="175">
        <v>20</v>
      </c>
      <c r="H347" s="175">
        <f>G347*H346</f>
        <v>806</v>
      </c>
      <c r="I347" s="16"/>
      <c r="J347" s="16"/>
      <c r="K347" s="16"/>
      <c r="L347" s="16"/>
      <c r="M347" s="16"/>
      <c r="N347" s="16"/>
      <c r="O347" s="20"/>
      <c r="P347" s="124"/>
    </row>
    <row r="348" spans="2:16" ht="33" customHeight="1" outlineLevel="1" x14ac:dyDescent="0.4">
      <c r="B348" s="110"/>
      <c r="C348" s="176"/>
      <c r="D348" s="111"/>
      <c r="E348" s="111" t="s">
        <v>59</v>
      </c>
      <c r="F348" s="111" t="s">
        <v>56</v>
      </c>
      <c r="G348" s="175">
        <v>0.1</v>
      </c>
      <c r="H348" s="175">
        <f>G348*H346</f>
        <v>4.03</v>
      </c>
      <c r="I348" s="16"/>
      <c r="J348" s="16"/>
      <c r="K348" s="16"/>
      <c r="L348" s="16"/>
      <c r="M348" s="16"/>
      <c r="N348" s="16"/>
      <c r="O348" s="20"/>
      <c r="P348" s="124"/>
    </row>
    <row r="349" spans="2:16" ht="33" customHeight="1" outlineLevel="1" x14ac:dyDescent="0.4">
      <c r="B349" s="110"/>
      <c r="C349" s="176"/>
      <c r="D349" s="111"/>
      <c r="E349" s="111" t="s">
        <v>81</v>
      </c>
      <c r="F349" s="111" t="s">
        <v>40</v>
      </c>
      <c r="G349" s="175"/>
      <c r="H349" s="175">
        <f>G349*H346</f>
        <v>0</v>
      </c>
      <c r="I349" s="16"/>
      <c r="J349" s="16"/>
      <c r="K349" s="16"/>
      <c r="L349" s="16"/>
      <c r="M349" s="16"/>
      <c r="N349" s="16"/>
      <c r="O349" s="20"/>
      <c r="P349" s="124"/>
    </row>
    <row r="350" spans="2:16" ht="33" customHeight="1" outlineLevel="1" x14ac:dyDescent="0.4">
      <c r="B350" s="110"/>
      <c r="C350" s="176"/>
      <c r="D350" s="111"/>
      <c r="E350" s="111" t="s">
        <v>111</v>
      </c>
      <c r="F350" s="111" t="s">
        <v>41</v>
      </c>
      <c r="G350" s="175">
        <f>12/18</f>
        <v>0.66666666666666663</v>
      </c>
      <c r="H350" s="175">
        <f>G350*H346</f>
        <v>26.866666666666664</v>
      </c>
      <c r="I350" s="16"/>
      <c r="J350" s="16"/>
      <c r="K350" s="16"/>
      <c r="L350" s="16"/>
      <c r="M350" s="16"/>
      <c r="N350" s="16"/>
      <c r="O350" s="20"/>
      <c r="P350" s="124"/>
    </row>
    <row r="351" spans="2:16" ht="33" customHeight="1" outlineLevel="1" x14ac:dyDescent="0.4">
      <c r="B351" s="110"/>
      <c r="C351" s="176"/>
      <c r="D351" s="111"/>
      <c r="E351" s="111" t="s">
        <v>58</v>
      </c>
      <c r="F351" s="111" t="s">
        <v>41</v>
      </c>
      <c r="G351" s="175">
        <f>1/3/3/2*3</f>
        <v>0.16666666666666666</v>
      </c>
      <c r="H351" s="175">
        <f>G351*H346</f>
        <v>6.7166666666666659</v>
      </c>
      <c r="I351" s="16"/>
      <c r="J351" s="16"/>
      <c r="K351" s="16"/>
      <c r="L351" s="16"/>
      <c r="M351" s="16"/>
      <c r="N351" s="16"/>
      <c r="O351" s="20"/>
      <c r="P351" s="124"/>
    </row>
    <row r="352" spans="2:16" ht="33" customHeight="1" outlineLevel="1" x14ac:dyDescent="0.4">
      <c r="B352" s="110"/>
      <c r="C352" s="176"/>
      <c r="D352" s="111"/>
      <c r="E352" s="111" t="s">
        <v>57</v>
      </c>
      <c r="F352" s="111" t="s">
        <v>41</v>
      </c>
      <c r="G352" s="175">
        <f>1/3/3/2*3</f>
        <v>0.16666666666666666</v>
      </c>
      <c r="H352" s="175">
        <f>G352*H346</f>
        <v>6.7166666666666659</v>
      </c>
      <c r="I352" s="16"/>
      <c r="J352" s="16"/>
      <c r="K352" s="16"/>
      <c r="L352" s="16"/>
      <c r="M352" s="16"/>
      <c r="N352" s="16"/>
      <c r="O352" s="20"/>
      <c r="P352" s="124"/>
    </row>
    <row r="353" spans="2:16" ht="33" customHeight="1" outlineLevel="1" x14ac:dyDescent="0.4">
      <c r="B353" s="110"/>
      <c r="C353" s="176"/>
      <c r="D353" s="111"/>
      <c r="E353" s="111" t="s">
        <v>60</v>
      </c>
      <c r="F353" s="111" t="s">
        <v>40</v>
      </c>
      <c r="G353" s="175">
        <v>1</v>
      </c>
      <c r="H353" s="175">
        <f>G353*H346</f>
        <v>40.299999999999997</v>
      </c>
      <c r="I353" s="16"/>
      <c r="J353" s="16"/>
      <c r="K353" s="16"/>
      <c r="L353" s="16"/>
      <c r="M353" s="16"/>
      <c r="N353" s="16"/>
      <c r="O353" s="20"/>
      <c r="P353" s="124"/>
    </row>
    <row r="354" spans="2:16" ht="33" customHeight="1" outlineLevel="1" x14ac:dyDescent="0.4">
      <c r="B354" s="110"/>
      <c r="C354" s="176"/>
      <c r="D354" s="111"/>
      <c r="E354" s="111"/>
      <c r="F354" s="111"/>
      <c r="G354" s="113"/>
      <c r="H354" s="113"/>
      <c r="I354" s="16"/>
      <c r="J354" s="16"/>
      <c r="K354" s="16"/>
      <c r="L354" s="16"/>
      <c r="M354" s="16"/>
      <c r="N354" s="16"/>
      <c r="O354" s="20"/>
      <c r="P354" s="124"/>
    </row>
    <row r="355" spans="2:16" ht="33" customHeight="1" outlineLevel="1" x14ac:dyDescent="0.3">
      <c r="B355" s="110"/>
      <c r="C355" s="176" t="s">
        <v>461</v>
      </c>
      <c r="D355" s="111"/>
      <c r="E355" s="158" t="s">
        <v>374</v>
      </c>
      <c r="F355" s="172" t="s">
        <v>369</v>
      </c>
      <c r="G355" s="173"/>
      <c r="H355" s="173">
        <f>H346</f>
        <v>40.299999999999997</v>
      </c>
      <c r="I355" s="11"/>
      <c r="J355" s="168"/>
      <c r="K355" s="11"/>
      <c r="L355" s="168"/>
      <c r="M355" s="11"/>
      <c r="N355" s="168"/>
      <c r="O355" s="168"/>
      <c r="P355" s="124"/>
    </row>
    <row r="356" spans="2:16" ht="33" customHeight="1" outlineLevel="1" x14ac:dyDescent="0.4">
      <c r="B356" s="110"/>
      <c r="C356" s="176"/>
      <c r="D356" s="111"/>
      <c r="E356" s="171" t="s">
        <v>82</v>
      </c>
      <c r="F356" s="171" t="s">
        <v>20</v>
      </c>
      <c r="G356" s="175">
        <v>0.1</v>
      </c>
      <c r="H356" s="175">
        <f>G356*H355</f>
        <v>4.03</v>
      </c>
      <c r="I356" s="16"/>
      <c r="J356" s="16"/>
      <c r="K356" s="16"/>
      <c r="L356" s="16"/>
      <c r="M356" s="16"/>
      <c r="N356" s="16"/>
      <c r="O356" s="20"/>
      <c r="P356" s="124"/>
    </row>
    <row r="357" spans="2:16" ht="33" customHeight="1" outlineLevel="1" x14ac:dyDescent="0.4">
      <c r="B357" s="110"/>
      <c r="C357" s="176"/>
      <c r="D357" s="111"/>
      <c r="E357" s="171" t="s">
        <v>83</v>
      </c>
      <c r="F357" s="171" t="s">
        <v>20</v>
      </c>
      <c r="G357" s="175">
        <v>3.5</v>
      </c>
      <c r="H357" s="175">
        <f>G357*H355</f>
        <v>141.04999999999998</v>
      </c>
      <c r="I357" s="16"/>
      <c r="J357" s="16"/>
      <c r="K357" s="16"/>
      <c r="L357" s="16"/>
      <c r="M357" s="16"/>
      <c r="N357" s="16"/>
      <c r="O357" s="20"/>
      <c r="P357" s="124"/>
    </row>
    <row r="358" spans="2:16" ht="33" customHeight="1" outlineLevel="1" x14ac:dyDescent="0.4">
      <c r="B358" s="110"/>
      <c r="C358" s="176"/>
      <c r="D358" s="111"/>
      <c r="E358" s="171" t="s">
        <v>92</v>
      </c>
      <c r="F358" s="171" t="s">
        <v>56</v>
      </c>
      <c r="G358" s="175">
        <f>0.14*2</f>
        <v>0.28000000000000003</v>
      </c>
      <c r="H358" s="175">
        <f>G358*H355</f>
        <v>11.284000000000001</v>
      </c>
      <c r="I358" s="16"/>
      <c r="J358" s="16"/>
      <c r="K358" s="16"/>
      <c r="L358" s="16"/>
      <c r="M358" s="16"/>
      <c r="N358" s="16"/>
      <c r="O358" s="20"/>
      <c r="P358" s="124"/>
    </row>
    <row r="359" spans="2:16" ht="33" customHeight="1" outlineLevel="1" x14ac:dyDescent="0.4">
      <c r="B359" s="110"/>
      <c r="C359" s="176"/>
      <c r="D359" s="111"/>
      <c r="E359" s="171" t="s">
        <v>65</v>
      </c>
      <c r="F359" s="171" t="s">
        <v>375</v>
      </c>
      <c r="G359" s="175">
        <v>0.5</v>
      </c>
      <c r="H359" s="175">
        <f>G359*H355</f>
        <v>20.149999999999999</v>
      </c>
      <c r="I359" s="16"/>
      <c r="J359" s="16"/>
      <c r="K359" s="16"/>
      <c r="L359" s="16"/>
      <c r="M359" s="16"/>
      <c r="N359" s="16"/>
      <c r="O359" s="20"/>
      <c r="P359" s="124"/>
    </row>
    <row r="360" spans="2:16" ht="33" customHeight="1" outlineLevel="1" x14ac:dyDescent="0.4">
      <c r="B360" s="110"/>
      <c r="C360" s="176"/>
      <c r="D360" s="111"/>
      <c r="E360" s="111"/>
      <c r="F360" s="111"/>
      <c r="G360" s="113"/>
      <c r="H360" s="113"/>
      <c r="I360" s="16"/>
      <c r="J360" s="16"/>
      <c r="K360" s="16"/>
      <c r="L360" s="16"/>
      <c r="M360" s="16"/>
      <c r="N360" s="16"/>
      <c r="O360" s="20"/>
      <c r="P360" s="124"/>
    </row>
    <row r="361" spans="2:16" ht="54" customHeight="1" outlineLevel="1" x14ac:dyDescent="0.3">
      <c r="B361" s="110"/>
      <c r="C361" s="176" t="s">
        <v>461</v>
      </c>
      <c r="D361" s="111"/>
      <c r="E361" s="158" t="s">
        <v>376</v>
      </c>
      <c r="F361" s="172" t="s">
        <v>369</v>
      </c>
      <c r="G361" s="173"/>
      <c r="H361" s="173">
        <v>174.2</v>
      </c>
      <c r="I361" s="11"/>
      <c r="J361" s="168"/>
      <c r="K361" s="11"/>
      <c r="L361" s="168"/>
      <c r="M361" s="11"/>
      <c r="N361" s="168"/>
      <c r="O361" s="168"/>
      <c r="P361" s="124"/>
    </row>
    <row r="362" spans="2:16" ht="33" customHeight="1" outlineLevel="1" x14ac:dyDescent="0.4">
      <c r="B362" s="110"/>
      <c r="C362" s="176"/>
      <c r="D362" s="111"/>
      <c r="E362" s="171" t="s">
        <v>64</v>
      </c>
      <c r="F362" s="171" t="s">
        <v>20</v>
      </c>
      <c r="G362" s="175">
        <v>20</v>
      </c>
      <c r="H362" s="175">
        <f>G362*H361</f>
        <v>3484</v>
      </c>
      <c r="I362" s="16"/>
      <c r="J362" s="16"/>
      <c r="K362" s="16"/>
      <c r="L362" s="16"/>
      <c r="M362" s="16"/>
      <c r="N362" s="16"/>
      <c r="O362" s="20"/>
      <c r="P362" s="124"/>
    </row>
    <row r="363" spans="2:16" ht="33" customHeight="1" outlineLevel="1" x14ac:dyDescent="0.4">
      <c r="B363" s="110"/>
      <c r="C363" s="176"/>
      <c r="D363" s="111"/>
      <c r="E363" s="171" t="s">
        <v>59</v>
      </c>
      <c r="F363" s="171" t="s">
        <v>56</v>
      </c>
      <c r="G363" s="175">
        <v>0.1</v>
      </c>
      <c r="H363" s="175">
        <f>G363*H361</f>
        <v>17.419999999999998</v>
      </c>
      <c r="I363" s="16"/>
      <c r="J363" s="16"/>
      <c r="K363" s="16"/>
      <c r="L363" s="16"/>
      <c r="M363" s="16"/>
      <c r="N363" s="16"/>
      <c r="O363" s="20"/>
      <c r="P363" s="124"/>
    </row>
    <row r="364" spans="2:16" ht="33" customHeight="1" outlineLevel="1" x14ac:dyDescent="0.4">
      <c r="B364" s="110"/>
      <c r="C364" s="176"/>
      <c r="D364" s="111"/>
      <c r="E364" s="171" t="s">
        <v>81</v>
      </c>
      <c r="F364" s="171" t="s">
        <v>375</v>
      </c>
      <c r="G364" s="175"/>
      <c r="H364" s="175">
        <f>G364*H361</f>
        <v>0</v>
      </c>
      <c r="I364" s="16"/>
      <c r="J364" s="16"/>
      <c r="K364" s="16"/>
      <c r="L364" s="16"/>
      <c r="M364" s="16"/>
      <c r="N364" s="16"/>
      <c r="O364" s="20"/>
      <c r="P364" s="124"/>
    </row>
    <row r="365" spans="2:16" ht="33" customHeight="1" outlineLevel="1" x14ac:dyDescent="0.4">
      <c r="B365" s="110"/>
      <c r="C365" s="176"/>
      <c r="D365" s="111"/>
      <c r="E365" s="171" t="s">
        <v>111</v>
      </c>
      <c r="F365" s="171" t="s">
        <v>41</v>
      </c>
      <c r="G365" s="175">
        <f>12/18</f>
        <v>0.66666666666666663</v>
      </c>
      <c r="H365" s="175">
        <f>G365*H361</f>
        <v>116.13333333333333</v>
      </c>
      <c r="I365" s="16"/>
      <c r="J365" s="16"/>
      <c r="K365" s="16"/>
      <c r="L365" s="16"/>
      <c r="M365" s="16"/>
      <c r="N365" s="16"/>
      <c r="O365" s="20"/>
      <c r="P365" s="124"/>
    </row>
    <row r="366" spans="2:16" ht="33" customHeight="1" outlineLevel="1" x14ac:dyDescent="0.4">
      <c r="B366" s="110"/>
      <c r="C366" s="176"/>
      <c r="D366" s="111"/>
      <c r="E366" s="171" t="s">
        <v>58</v>
      </c>
      <c r="F366" s="171" t="s">
        <v>41</v>
      </c>
      <c r="G366" s="175">
        <f>1/3/3/2*3</f>
        <v>0.16666666666666666</v>
      </c>
      <c r="H366" s="175">
        <f>G366*H361</f>
        <v>29.033333333333331</v>
      </c>
      <c r="I366" s="16"/>
      <c r="J366" s="16"/>
      <c r="K366" s="16"/>
      <c r="L366" s="16"/>
      <c r="M366" s="16"/>
      <c r="N366" s="16"/>
      <c r="O366" s="20"/>
      <c r="P366" s="124"/>
    </row>
    <row r="367" spans="2:16" ht="33" customHeight="1" outlineLevel="1" x14ac:dyDescent="0.4">
      <c r="B367" s="110"/>
      <c r="C367" s="176"/>
      <c r="D367" s="111"/>
      <c r="E367" s="171" t="s">
        <v>57</v>
      </c>
      <c r="F367" s="171" t="s">
        <v>41</v>
      </c>
      <c r="G367" s="175">
        <f>1/3/3/2*3</f>
        <v>0.16666666666666666</v>
      </c>
      <c r="H367" s="175">
        <f>G367*H361</f>
        <v>29.033333333333331</v>
      </c>
      <c r="I367" s="16"/>
      <c r="J367" s="16"/>
      <c r="K367" s="16"/>
      <c r="L367" s="16"/>
      <c r="M367" s="16"/>
      <c r="N367" s="16"/>
      <c r="O367" s="20"/>
      <c r="P367" s="124"/>
    </row>
    <row r="368" spans="2:16" ht="33" customHeight="1" outlineLevel="1" x14ac:dyDescent="0.4">
      <c r="B368" s="110"/>
      <c r="C368" s="176"/>
      <c r="D368" s="111"/>
      <c r="E368" s="171" t="s">
        <v>60</v>
      </c>
      <c r="F368" s="171" t="s">
        <v>375</v>
      </c>
      <c r="G368" s="175">
        <v>1</v>
      </c>
      <c r="H368" s="175">
        <f>G368*H361</f>
        <v>174.2</v>
      </c>
      <c r="I368" s="16"/>
      <c r="J368" s="16"/>
      <c r="K368" s="16"/>
      <c r="L368" s="16"/>
      <c r="M368" s="16"/>
      <c r="N368" s="16"/>
      <c r="O368" s="20"/>
      <c r="P368" s="124"/>
    </row>
    <row r="369" spans="2:16" ht="33" customHeight="1" outlineLevel="1" x14ac:dyDescent="0.4">
      <c r="B369" s="110"/>
      <c r="C369" s="176"/>
      <c r="D369" s="111"/>
      <c r="E369" s="171"/>
      <c r="F369" s="171"/>
      <c r="G369" s="175"/>
      <c r="H369" s="175"/>
      <c r="I369" s="16"/>
      <c r="J369" s="16"/>
      <c r="K369" s="16"/>
      <c r="L369" s="16"/>
      <c r="M369" s="16"/>
      <c r="N369" s="16"/>
      <c r="O369" s="20"/>
      <c r="P369" s="124"/>
    </row>
    <row r="370" spans="2:16" ht="33" customHeight="1" outlineLevel="1" x14ac:dyDescent="0.3">
      <c r="B370" s="110"/>
      <c r="C370" s="176" t="s">
        <v>462</v>
      </c>
      <c r="D370" s="111"/>
      <c r="E370" s="112" t="s">
        <v>370</v>
      </c>
      <c r="F370" s="166" t="s">
        <v>44</v>
      </c>
      <c r="G370" s="167"/>
      <c r="H370" s="167">
        <v>93.7</v>
      </c>
      <c r="I370" s="11"/>
      <c r="J370" s="168"/>
      <c r="K370" s="11"/>
      <c r="L370" s="168"/>
      <c r="M370" s="11"/>
      <c r="N370" s="168"/>
      <c r="O370" s="168"/>
      <c r="P370" s="124"/>
    </row>
    <row r="371" spans="2:16" ht="33" customHeight="1" outlineLevel="1" x14ac:dyDescent="0.4">
      <c r="B371" s="110"/>
      <c r="C371" s="176"/>
      <c r="D371" s="111"/>
      <c r="E371" s="111" t="s">
        <v>62</v>
      </c>
      <c r="F371" s="111" t="s">
        <v>1</v>
      </c>
      <c r="G371" s="113">
        <f>1/0.195/0.395</f>
        <v>12.982797792924373</v>
      </c>
      <c r="H371" s="113">
        <f>G371*H370</f>
        <v>1216.4881531970138</v>
      </c>
      <c r="I371" s="16"/>
      <c r="J371" s="16"/>
      <c r="K371" s="16"/>
      <c r="L371" s="16"/>
      <c r="M371" s="16"/>
      <c r="N371" s="16"/>
      <c r="O371" s="20"/>
      <c r="P371" s="124"/>
    </row>
    <row r="372" spans="2:16" ht="33" customHeight="1" outlineLevel="1" x14ac:dyDescent="0.4">
      <c r="B372" s="110"/>
      <c r="C372" s="176"/>
      <c r="D372" s="111"/>
      <c r="E372" s="111" t="s">
        <v>139</v>
      </c>
      <c r="F372" s="111" t="s">
        <v>15</v>
      </c>
      <c r="G372" s="113">
        <f>1*0.395/1000</f>
        <v>3.9500000000000001E-4</v>
      </c>
      <c r="H372" s="113">
        <f>G372*H370</f>
        <v>3.7011500000000003E-2</v>
      </c>
      <c r="I372" s="16"/>
      <c r="J372" s="16"/>
      <c r="K372" s="16"/>
      <c r="L372" s="16"/>
      <c r="M372" s="16"/>
      <c r="N372" s="16"/>
      <c r="O372" s="20"/>
      <c r="P372" s="124"/>
    </row>
    <row r="373" spans="2:16" ht="33" customHeight="1" outlineLevel="1" x14ac:dyDescent="0.4">
      <c r="B373" s="110"/>
      <c r="C373" s="176"/>
      <c r="D373" s="111"/>
      <c r="E373" s="111" t="s">
        <v>63</v>
      </c>
      <c r="F373" s="111" t="s">
        <v>43</v>
      </c>
      <c r="G373" s="113">
        <f>0.1*0.11</f>
        <v>1.1000000000000001E-2</v>
      </c>
      <c r="H373" s="113">
        <f>G373*H370</f>
        <v>1.0307000000000002</v>
      </c>
      <c r="I373" s="16"/>
      <c r="J373" s="16"/>
      <c r="K373" s="16"/>
      <c r="L373" s="16"/>
      <c r="M373" s="16"/>
      <c r="N373" s="16"/>
      <c r="O373" s="20"/>
      <c r="P373" s="124"/>
    </row>
    <row r="374" spans="2:16" ht="33" customHeight="1" outlineLevel="1" x14ac:dyDescent="0.4">
      <c r="B374" s="110"/>
      <c r="C374" s="176"/>
      <c r="D374" s="111"/>
      <c r="E374" s="111" t="s">
        <v>51</v>
      </c>
      <c r="F374" s="111" t="s">
        <v>43</v>
      </c>
      <c r="G374" s="113">
        <v>1.21</v>
      </c>
      <c r="H374" s="113">
        <f>G374*H373</f>
        <v>1.2471470000000002</v>
      </c>
      <c r="I374" s="16"/>
      <c r="J374" s="16"/>
      <c r="K374" s="16"/>
      <c r="L374" s="16"/>
      <c r="M374" s="16"/>
      <c r="N374" s="16"/>
      <c r="O374" s="20"/>
      <c r="P374" s="124"/>
    </row>
    <row r="375" spans="2:16" ht="33" customHeight="1" outlineLevel="1" x14ac:dyDescent="0.4">
      <c r="B375" s="110"/>
      <c r="C375" s="176"/>
      <c r="D375" s="111"/>
      <c r="E375" s="111" t="s">
        <v>52</v>
      </c>
      <c r="F375" s="111" t="s">
        <v>15</v>
      </c>
      <c r="G375" s="113">
        <f>31.9/100</f>
        <v>0.31900000000000001</v>
      </c>
      <c r="H375" s="113">
        <f>G375*H373</f>
        <v>0.32879330000000007</v>
      </c>
      <c r="I375" s="16"/>
      <c r="J375" s="16"/>
      <c r="K375" s="16"/>
      <c r="L375" s="16"/>
      <c r="M375" s="16"/>
      <c r="N375" s="16"/>
      <c r="O375" s="20"/>
      <c r="P375" s="124"/>
    </row>
    <row r="376" spans="2:16" ht="33" customHeight="1" outlineLevel="1" x14ac:dyDescent="0.4">
      <c r="B376" s="110"/>
      <c r="C376" s="176"/>
      <c r="D376" s="111"/>
      <c r="E376" s="111" t="s">
        <v>53</v>
      </c>
      <c r="F376" s="111" t="s">
        <v>56</v>
      </c>
      <c r="G376" s="113">
        <f>31/0.001/100</f>
        <v>310</v>
      </c>
      <c r="H376" s="113">
        <f>G376*H373</f>
        <v>319.51700000000005</v>
      </c>
      <c r="I376" s="16"/>
      <c r="J376" s="16"/>
      <c r="K376" s="16"/>
      <c r="L376" s="16"/>
      <c r="M376" s="16"/>
      <c r="N376" s="16"/>
      <c r="O376" s="20"/>
      <c r="P376" s="124"/>
    </row>
    <row r="377" spans="2:16" ht="33" customHeight="1" outlineLevel="1" x14ac:dyDescent="0.4">
      <c r="B377" s="110"/>
      <c r="C377" s="176"/>
      <c r="D377" s="111"/>
      <c r="E377" s="111" t="s">
        <v>54</v>
      </c>
      <c r="F377" s="111" t="s">
        <v>56</v>
      </c>
      <c r="G377" s="113">
        <v>0.1</v>
      </c>
      <c r="H377" s="113">
        <f>G377*H370</f>
        <v>9.370000000000001</v>
      </c>
      <c r="I377" s="16"/>
      <c r="J377" s="16"/>
      <c r="K377" s="16"/>
      <c r="L377" s="16"/>
      <c r="M377" s="16"/>
      <c r="N377" s="16"/>
      <c r="O377" s="20"/>
      <c r="P377" s="124"/>
    </row>
    <row r="378" spans="2:16" ht="33" customHeight="1" outlineLevel="1" x14ac:dyDescent="0.4">
      <c r="B378" s="110"/>
      <c r="C378" s="176"/>
      <c r="D378" s="111"/>
      <c r="E378" s="111" t="s">
        <v>55</v>
      </c>
      <c r="F378" s="111" t="s">
        <v>1</v>
      </c>
      <c r="G378" s="113">
        <v>1</v>
      </c>
      <c r="H378" s="113">
        <f>G378*H371</f>
        <v>1216.4881531970138</v>
      </c>
      <c r="I378" s="16"/>
      <c r="J378" s="16"/>
      <c r="K378" s="16"/>
      <c r="L378" s="16"/>
      <c r="M378" s="16"/>
      <c r="N378" s="16"/>
      <c r="O378" s="20"/>
      <c r="P378" s="124"/>
    </row>
    <row r="379" spans="2:16" ht="33" customHeight="1" outlineLevel="1" x14ac:dyDescent="0.4">
      <c r="B379" s="110"/>
      <c r="C379" s="176"/>
      <c r="D379" s="111"/>
      <c r="E379" s="111"/>
      <c r="F379" s="111"/>
      <c r="G379" s="113"/>
      <c r="H379" s="113"/>
      <c r="I379" s="16"/>
      <c r="J379" s="16"/>
      <c r="K379" s="16"/>
      <c r="L379" s="16"/>
      <c r="M379" s="16"/>
      <c r="N379" s="16"/>
      <c r="O379" s="20"/>
      <c r="P379" s="124"/>
    </row>
    <row r="380" spans="2:16" ht="33" customHeight="1" outlineLevel="1" x14ac:dyDescent="0.3">
      <c r="B380" s="110"/>
      <c r="C380" s="176" t="s">
        <v>462</v>
      </c>
      <c r="D380" s="111"/>
      <c r="E380" s="112" t="s">
        <v>371</v>
      </c>
      <c r="F380" s="166" t="s">
        <v>44</v>
      </c>
      <c r="G380" s="167"/>
      <c r="H380" s="167">
        <v>42.9</v>
      </c>
      <c r="I380" s="11"/>
      <c r="J380" s="168"/>
      <c r="K380" s="11"/>
      <c r="L380" s="168"/>
      <c r="M380" s="11"/>
      <c r="N380" s="168"/>
      <c r="O380" s="168"/>
      <c r="P380" s="124"/>
    </row>
    <row r="381" spans="2:16" ht="33" customHeight="1" outlineLevel="1" x14ac:dyDescent="0.4">
      <c r="B381" s="110"/>
      <c r="C381" s="176"/>
      <c r="D381" s="111"/>
      <c r="E381" s="111" t="s">
        <v>62</v>
      </c>
      <c r="F381" s="111" t="s">
        <v>1</v>
      </c>
      <c r="G381" s="113">
        <f>1/0.195/0.395</f>
        <v>12.982797792924373</v>
      </c>
      <c r="H381" s="113">
        <f>G381*H380</f>
        <v>556.96202531645554</v>
      </c>
      <c r="I381" s="16"/>
      <c r="J381" s="16"/>
      <c r="K381" s="16"/>
      <c r="L381" s="16"/>
      <c r="M381" s="16"/>
      <c r="N381" s="16"/>
      <c r="O381" s="20"/>
      <c r="P381" s="124"/>
    </row>
    <row r="382" spans="2:16" ht="33" customHeight="1" outlineLevel="1" x14ac:dyDescent="0.4">
      <c r="B382" s="110"/>
      <c r="C382" s="176"/>
      <c r="D382" s="111"/>
      <c r="E382" s="111" t="s">
        <v>139</v>
      </c>
      <c r="F382" s="111" t="s">
        <v>15</v>
      </c>
      <c r="G382" s="113">
        <f>1*0.395/1000</f>
        <v>3.9500000000000001E-4</v>
      </c>
      <c r="H382" s="113">
        <f>G382*H380</f>
        <v>1.6945499999999999E-2</v>
      </c>
      <c r="I382" s="16"/>
      <c r="J382" s="16"/>
      <c r="K382" s="16"/>
      <c r="L382" s="16"/>
      <c r="M382" s="16"/>
      <c r="N382" s="16"/>
      <c r="O382" s="20"/>
      <c r="P382" s="124"/>
    </row>
    <row r="383" spans="2:16" ht="33" customHeight="1" outlineLevel="1" x14ac:dyDescent="0.4">
      <c r="B383" s="110"/>
      <c r="C383" s="176"/>
      <c r="D383" s="111"/>
      <c r="E383" s="111" t="s">
        <v>63</v>
      </c>
      <c r="F383" s="111" t="s">
        <v>43</v>
      </c>
      <c r="G383" s="113">
        <f>0.1*0.11</f>
        <v>1.1000000000000001E-2</v>
      </c>
      <c r="H383" s="113">
        <f>G383*H380</f>
        <v>0.47190000000000004</v>
      </c>
      <c r="I383" s="16"/>
      <c r="J383" s="16"/>
      <c r="K383" s="16"/>
      <c r="L383" s="16"/>
      <c r="M383" s="16"/>
      <c r="N383" s="16"/>
      <c r="O383" s="20"/>
      <c r="P383" s="124"/>
    </row>
    <row r="384" spans="2:16" ht="33" customHeight="1" outlineLevel="1" x14ac:dyDescent="0.4">
      <c r="B384" s="110"/>
      <c r="C384" s="176"/>
      <c r="D384" s="111"/>
      <c r="E384" s="111" t="s">
        <v>51</v>
      </c>
      <c r="F384" s="111" t="s">
        <v>43</v>
      </c>
      <c r="G384" s="113">
        <v>1.21</v>
      </c>
      <c r="H384" s="113">
        <f>G384*H383</f>
        <v>0.57099900000000003</v>
      </c>
      <c r="I384" s="16"/>
      <c r="J384" s="16"/>
      <c r="K384" s="16"/>
      <c r="L384" s="16"/>
      <c r="M384" s="16"/>
      <c r="N384" s="16"/>
      <c r="O384" s="20"/>
      <c r="P384" s="124"/>
    </row>
    <row r="385" spans="2:16" ht="33" customHeight="1" outlineLevel="1" x14ac:dyDescent="0.4">
      <c r="B385" s="110"/>
      <c r="C385" s="176"/>
      <c r="D385" s="111"/>
      <c r="E385" s="111" t="s">
        <v>52</v>
      </c>
      <c r="F385" s="111" t="s">
        <v>15</v>
      </c>
      <c r="G385" s="113">
        <f>31.9/100</f>
        <v>0.31900000000000001</v>
      </c>
      <c r="H385" s="113">
        <f>G385*H383</f>
        <v>0.15053610000000001</v>
      </c>
      <c r="I385" s="16"/>
      <c r="J385" s="16"/>
      <c r="K385" s="16"/>
      <c r="L385" s="16"/>
      <c r="M385" s="16"/>
      <c r="N385" s="16"/>
      <c r="O385" s="20"/>
      <c r="P385" s="124"/>
    </row>
    <row r="386" spans="2:16" ht="33" customHeight="1" outlineLevel="1" x14ac:dyDescent="0.4">
      <c r="B386" s="110"/>
      <c r="C386" s="176"/>
      <c r="D386" s="111"/>
      <c r="E386" s="111" t="s">
        <v>53</v>
      </c>
      <c r="F386" s="111" t="s">
        <v>56</v>
      </c>
      <c r="G386" s="113">
        <f>31/0.001/100</f>
        <v>310</v>
      </c>
      <c r="H386" s="113">
        <f>G386*H383</f>
        <v>146.28900000000002</v>
      </c>
      <c r="I386" s="16"/>
      <c r="J386" s="16"/>
      <c r="K386" s="16"/>
      <c r="L386" s="16"/>
      <c r="M386" s="16"/>
      <c r="N386" s="16"/>
      <c r="O386" s="20"/>
      <c r="P386" s="124"/>
    </row>
    <row r="387" spans="2:16" ht="33" customHeight="1" outlineLevel="1" x14ac:dyDescent="0.4">
      <c r="B387" s="110"/>
      <c r="C387" s="176"/>
      <c r="D387" s="111"/>
      <c r="E387" s="111" t="s">
        <v>54</v>
      </c>
      <c r="F387" s="111" t="s">
        <v>56</v>
      </c>
      <c r="G387" s="113">
        <v>0.1</v>
      </c>
      <c r="H387" s="113">
        <f>G387*H380</f>
        <v>4.29</v>
      </c>
      <c r="I387" s="16"/>
      <c r="J387" s="16"/>
      <c r="K387" s="16"/>
      <c r="L387" s="16"/>
      <c r="M387" s="16"/>
      <c r="N387" s="16"/>
      <c r="O387" s="20"/>
      <c r="P387" s="124"/>
    </row>
    <row r="388" spans="2:16" ht="33" customHeight="1" outlineLevel="1" x14ac:dyDescent="0.4">
      <c r="B388" s="110"/>
      <c r="C388" s="176"/>
      <c r="D388" s="111"/>
      <c r="E388" s="111" t="s">
        <v>55</v>
      </c>
      <c r="F388" s="111" t="s">
        <v>1</v>
      </c>
      <c r="G388" s="113">
        <v>1</v>
      </c>
      <c r="H388" s="113">
        <f>G388*H381</f>
        <v>556.96202531645554</v>
      </c>
      <c r="I388" s="16"/>
      <c r="J388" s="16"/>
      <c r="K388" s="16"/>
      <c r="L388" s="16"/>
      <c r="M388" s="16"/>
      <c r="N388" s="16"/>
      <c r="O388" s="20"/>
      <c r="P388" s="124"/>
    </row>
    <row r="389" spans="2:16" ht="33" customHeight="1" outlineLevel="1" x14ac:dyDescent="0.4">
      <c r="B389" s="110"/>
      <c r="C389" s="176"/>
      <c r="D389" s="111"/>
      <c r="E389" s="111"/>
      <c r="F389" s="111"/>
      <c r="G389" s="113"/>
      <c r="H389" s="113"/>
      <c r="I389" s="16"/>
      <c r="J389" s="16"/>
      <c r="K389" s="16"/>
      <c r="L389" s="16"/>
      <c r="M389" s="16"/>
      <c r="N389" s="16"/>
      <c r="O389" s="20"/>
      <c r="P389" s="124"/>
    </row>
    <row r="390" spans="2:16" ht="33" customHeight="1" outlineLevel="1" x14ac:dyDescent="0.3">
      <c r="B390" s="110"/>
      <c r="C390" s="176" t="s">
        <v>462</v>
      </c>
      <c r="D390" s="111"/>
      <c r="E390" s="112" t="s">
        <v>373</v>
      </c>
      <c r="F390" s="166" t="s">
        <v>44</v>
      </c>
      <c r="G390" s="167"/>
      <c r="H390" s="167">
        <v>21.1</v>
      </c>
      <c r="I390" s="11"/>
      <c r="J390" s="168"/>
      <c r="K390" s="11"/>
      <c r="L390" s="168"/>
      <c r="M390" s="11"/>
      <c r="N390" s="168"/>
      <c r="O390" s="168"/>
      <c r="P390" s="124"/>
    </row>
    <row r="391" spans="2:16" ht="33" customHeight="1" outlineLevel="1" x14ac:dyDescent="0.4">
      <c r="B391" s="110"/>
      <c r="C391" s="176"/>
      <c r="D391" s="111"/>
      <c r="E391" s="111" t="s">
        <v>62</v>
      </c>
      <c r="F391" s="111" t="s">
        <v>1</v>
      </c>
      <c r="G391" s="113">
        <f>1/0.195/0.395</f>
        <v>12.982797792924373</v>
      </c>
      <c r="H391" s="113">
        <f>G391*H390</f>
        <v>273.93703343070428</v>
      </c>
      <c r="I391" s="16"/>
      <c r="J391" s="16"/>
      <c r="K391" s="16"/>
      <c r="L391" s="16"/>
      <c r="M391" s="16"/>
      <c r="N391" s="16"/>
      <c r="O391" s="20"/>
      <c r="P391" s="124"/>
    </row>
    <row r="392" spans="2:16" ht="33" customHeight="1" outlineLevel="1" x14ac:dyDescent="0.4">
      <c r="B392" s="110"/>
      <c r="C392" s="176"/>
      <c r="D392" s="111"/>
      <c r="E392" s="111" t="s">
        <v>139</v>
      </c>
      <c r="F392" s="111" t="s">
        <v>15</v>
      </c>
      <c r="G392" s="113">
        <f>1*0.395/1000</f>
        <v>3.9500000000000001E-4</v>
      </c>
      <c r="H392" s="113">
        <f>G392*H390</f>
        <v>8.3344999999999999E-3</v>
      </c>
      <c r="I392" s="16"/>
      <c r="J392" s="16"/>
      <c r="K392" s="16"/>
      <c r="L392" s="16"/>
      <c r="M392" s="16"/>
      <c r="N392" s="16"/>
      <c r="O392" s="20"/>
      <c r="P392" s="124"/>
    </row>
    <row r="393" spans="2:16" ht="33" customHeight="1" outlineLevel="1" x14ac:dyDescent="0.4">
      <c r="B393" s="110"/>
      <c r="C393" s="176"/>
      <c r="D393" s="111"/>
      <c r="E393" s="111" t="s">
        <v>63</v>
      </c>
      <c r="F393" s="111" t="s">
        <v>43</v>
      </c>
      <c r="G393" s="113">
        <f>0.1*0.11</f>
        <v>1.1000000000000001E-2</v>
      </c>
      <c r="H393" s="113">
        <f>G393*H390</f>
        <v>0.23210000000000003</v>
      </c>
      <c r="I393" s="16"/>
      <c r="J393" s="16"/>
      <c r="K393" s="16"/>
      <c r="L393" s="16"/>
      <c r="M393" s="16"/>
      <c r="N393" s="16"/>
      <c r="O393" s="20"/>
      <c r="P393" s="124"/>
    </row>
    <row r="394" spans="2:16" ht="33" customHeight="1" outlineLevel="1" x14ac:dyDescent="0.4">
      <c r="B394" s="110"/>
      <c r="C394" s="176"/>
      <c r="D394" s="111"/>
      <c r="E394" s="111" t="s">
        <v>51</v>
      </c>
      <c r="F394" s="111" t="s">
        <v>43</v>
      </c>
      <c r="G394" s="113">
        <v>1.21</v>
      </c>
      <c r="H394" s="113">
        <f>G394*H393</f>
        <v>0.28084100000000001</v>
      </c>
      <c r="I394" s="16"/>
      <c r="J394" s="16"/>
      <c r="K394" s="16"/>
      <c r="L394" s="16"/>
      <c r="M394" s="16"/>
      <c r="N394" s="16"/>
      <c r="O394" s="20"/>
      <c r="P394" s="124"/>
    </row>
    <row r="395" spans="2:16" ht="33" customHeight="1" outlineLevel="1" x14ac:dyDescent="0.4">
      <c r="B395" s="110"/>
      <c r="C395" s="176"/>
      <c r="D395" s="111"/>
      <c r="E395" s="111" t="s">
        <v>52</v>
      </c>
      <c r="F395" s="111" t="s">
        <v>15</v>
      </c>
      <c r="G395" s="113">
        <f>31.9/100</f>
        <v>0.31900000000000001</v>
      </c>
      <c r="H395" s="113">
        <f>G395*H393</f>
        <v>7.4039900000000006E-2</v>
      </c>
      <c r="I395" s="16"/>
      <c r="J395" s="16"/>
      <c r="K395" s="16"/>
      <c r="L395" s="16"/>
      <c r="M395" s="16"/>
      <c r="N395" s="16"/>
      <c r="O395" s="20"/>
      <c r="P395" s="124"/>
    </row>
    <row r="396" spans="2:16" ht="33" customHeight="1" outlineLevel="1" x14ac:dyDescent="0.4">
      <c r="B396" s="110"/>
      <c r="C396" s="176"/>
      <c r="D396" s="111"/>
      <c r="E396" s="111" t="s">
        <v>53</v>
      </c>
      <c r="F396" s="111" t="s">
        <v>56</v>
      </c>
      <c r="G396" s="113">
        <f>31/0.001/100</f>
        <v>310</v>
      </c>
      <c r="H396" s="113">
        <f>G396*H393</f>
        <v>71.951000000000008</v>
      </c>
      <c r="I396" s="16"/>
      <c r="J396" s="16"/>
      <c r="K396" s="16"/>
      <c r="L396" s="16"/>
      <c r="M396" s="16"/>
      <c r="N396" s="16"/>
      <c r="O396" s="20"/>
      <c r="P396" s="124"/>
    </row>
    <row r="397" spans="2:16" ht="33" customHeight="1" outlineLevel="1" x14ac:dyDescent="0.4">
      <c r="B397" s="110"/>
      <c r="C397" s="176"/>
      <c r="D397" s="111"/>
      <c r="E397" s="111" t="s">
        <v>54</v>
      </c>
      <c r="F397" s="111" t="s">
        <v>56</v>
      </c>
      <c r="G397" s="113">
        <v>0.1</v>
      </c>
      <c r="H397" s="113">
        <f>G397*H390</f>
        <v>2.1100000000000003</v>
      </c>
      <c r="I397" s="16"/>
      <c r="J397" s="16"/>
      <c r="K397" s="16"/>
      <c r="L397" s="16"/>
      <c r="M397" s="16"/>
      <c r="N397" s="16"/>
      <c r="O397" s="20"/>
      <c r="P397" s="124"/>
    </row>
    <row r="398" spans="2:16" ht="33" customHeight="1" outlineLevel="1" x14ac:dyDescent="0.4">
      <c r="B398" s="110"/>
      <c r="C398" s="176"/>
      <c r="D398" s="111"/>
      <c r="E398" s="111" t="s">
        <v>55</v>
      </c>
      <c r="F398" s="111" t="s">
        <v>1</v>
      </c>
      <c r="G398" s="113">
        <v>1</v>
      </c>
      <c r="H398" s="113">
        <f>G398*H391</f>
        <v>273.93703343070428</v>
      </c>
      <c r="I398" s="16"/>
      <c r="J398" s="16"/>
      <c r="K398" s="16"/>
      <c r="L398" s="16"/>
      <c r="M398" s="16"/>
      <c r="N398" s="16"/>
      <c r="O398" s="20"/>
      <c r="P398" s="124"/>
    </row>
    <row r="399" spans="2:16" ht="33" customHeight="1" outlineLevel="1" x14ac:dyDescent="0.4">
      <c r="B399" s="110"/>
      <c r="C399" s="176"/>
      <c r="D399" s="111"/>
      <c r="E399" s="111"/>
      <c r="F399" s="111"/>
      <c r="G399" s="113"/>
      <c r="H399" s="113">
        <f t="shared" ref="H399" si="2">G399*H392</f>
        <v>0</v>
      </c>
      <c r="I399" s="16"/>
      <c r="J399" s="16"/>
      <c r="K399" s="16"/>
      <c r="L399" s="16"/>
      <c r="M399" s="16"/>
      <c r="N399" s="16"/>
      <c r="O399" s="20"/>
      <c r="P399" s="124"/>
    </row>
    <row r="400" spans="2:16" ht="33" customHeight="1" outlineLevel="1" x14ac:dyDescent="0.3">
      <c r="B400" s="110"/>
      <c r="C400" s="176" t="s">
        <v>462</v>
      </c>
      <c r="D400" s="111"/>
      <c r="E400" s="112" t="s">
        <v>372</v>
      </c>
      <c r="F400" s="111" t="s">
        <v>40</v>
      </c>
      <c r="G400" s="173"/>
      <c r="H400" s="173">
        <f>H380</f>
        <v>42.9</v>
      </c>
      <c r="I400" s="11"/>
      <c r="J400" s="168"/>
      <c r="K400" s="11"/>
      <c r="L400" s="168"/>
      <c r="M400" s="11"/>
      <c r="N400" s="168"/>
      <c r="O400" s="168"/>
      <c r="P400" s="124"/>
    </row>
    <row r="401" spans="2:16" ht="33" customHeight="1" outlineLevel="1" x14ac:dyDescent="0.4">
      <c r="B401" s="110"/>
      <c r="C401" s="176"/>
      <c r="D401" s="111"/>
      <c r="E401" s="111" t="s">
        <v>64</v>
      </c>
      <c r="F401" s="111" t="s">
        <v>20</v>
      </c>
      <c r="G401" s="175">
        <v>20</v>
      </c>
      <c r="H401" s="175">
        <f>G401*H400</f>
        <v>858</v>
      </c>
      <c r="I401" s="16"/>
      <c r="J401" s="16"/>
      <c r="K401" s="16"/>
      <c r="L401" s="16"/>
      <c r="M401" s="16"/>
      <c r="N401" s="16"/>
      <c r="O401" s="20"/>
      <c r="P401" s="124"/>
    </row>
    <row r="402" spans="2:16" ht="33" customHeight="1" outlineLevel="1" x14ac:dyDescent="0.4">
      <c r="B402" s="110"/>
      <c r="C402" s="176"/>
      <c r="D402" s="111"/>
      <c r="E402" s="111" t="s">
        <v>59</v>
      </c>
      <c r="F402" s="111" t="s">
        <v>56</v>
      </c>
      <c r="G402" s="175">
        <v>0.1</v>
      </c>
      <c r="H402" s="175">
        <f>G402*H400</f>
        <v>4.29</v>
      </c>
      <c r="I402" s="16"/>
      <c r="J402" s="16"/>
      <c r="K402" s="16"/>
      <c r="L402" s="16"/>
      <c r="M402" s="16"/>
      <c r="N402" s="16"/>
      <c r="O402" s="20"/>
      <c r="P402" s="124"/>
    </row>
    <row r="403" spans="2:16" ht="33" customHeight="1" outlineLevel="1" x14ac:dyDescent="0.4">
      <c r="B403" s="110"/>
      <c r="C403" s="176"/>
      <c r="D403" s="111"/>
      <c r="E403" s="111" t="s">
        <v>81</v>
      </c>
      <c r="F403" s="111" t="s">
        <v>40</v>
      </c>
      <c r="G403" s="175"/>
      <c r="H403" s="175">
        <f>G403*H400</f>
        <v>0</v>
      </c>
      <c r="I403" s="16"/>
      <c r="J403" s="16"/>
      <c r="K403" s="16"/>
      <c r="L403" s="16"/>
      <c r="M403" s="16"/>
      <c r="N403" s="16"/>
      <c r="O403" s="20"/>
      <c r="P403" s="124"/>
    </row>
    <row r="404" spans="2:16" ht="33" customHeight="1" outlineLevel="1" x14ac:dyDescent="0.4">
      <c r="B404" s="110"/>
      <c r="C404" s="176"/>
      <c r="D404" s="111"/>
      <c r="E404" s="111" t="s">
        <v>111</v>
      </c>
      <c r="F404" s="111" t="s">
        <v>41</v>
      </c>
      <c r="G404" s="175">
        <f>12/18</f>
        <v>0.66666666666666663</v>
      </c>
      <c r="H404" s="175">
        <f>G404*H400</f>
        <v>28.599999999999998</v>
      </c>
      <c r="I404" s="16"/>
      <c r="J404" s="16"/>
      <c r="K404" s="16"/>
      <c r="L404" s="16"/>
      <c r="M404" s="16"/>
      <c r="N404" s="16"/>
      <c r="O404" s="20"/>
      <c r="P404" s="124"/>
    </row>
    <row r="405" spans="2:16" ht="33" customHeight="1" outlineLevel="1" x14ac:dyDescent="0.4">
      <c r="B405" s="110"/>
      <c r="C405" s="176"/>
      <c r="D405" s="111"/>
      <c r="E405" s="111" t="s">
        <v>58</v>
      </c>
      <c r="F405" s="111" t="s">
        <v>41</v>
      </c>
      <c r="G405" s="175">
        <f>1/3/3/2*3</f>
        <v>0.16666666666666666</v>
      </c>
      <c r="H405" s="175">
        <f>G405*H400</f>
        <v>7.1499999999999995</v>
      </c>
      <c r="I405" s="16"/>
      <c r="J405" s="16"/>
      <c r="K405" s="16"/>
      <c r="L405" s="16"/>
      <c r="M405" s="16"/>
      <c r="N405" s="16"/>
      <c r="O405" s="20"/>
      <c r="P405" s="124"/>
    </row>
    <row r="406" spans="2:16" ht="33" customHeight="1" outlineLevel="1" x14ac:dyDescent="0.4">
      <c r="B406" s="110"/>
      <c r="C406" s="176"/>
      <c r="D406" s="111"/>
      <c r="E406" s="111" t="s">
        <v>57</v>
      </c>
      <c r="F406" s="111" t="s">
        <v>41</v>
      </c>
      <c r="G406" s="175">
        <f>1/3/3/2*3</f>
        <v>0.16666666666666666</v>
      </c>
      <c r="H406" s="175">
        <f>G406*H400</f>
        <v>7.1499999999999995</v>
      </c>
      <c r="I406" s="16"/>
      <c r="J406" s="16"/>
      <c r="K406" s="16"/>
      <c r="L406" s="16"/>
      <c r="M406" s="16"/>
      <c r="N406" s="16"/>
      <c r="O406" s="20"/>
      <c r="P406" s="124"/>
    </row>
    <row r="407" spans="2:16" ht="33" customHeight="1" outlineLevel="1" x14ac:dyDescent="0.4">
      <c r="B407" s="110"/>
      <c r="C407" s="176"/>
      <c r="D407" s="111"/>
      <c r="E407" s="111" t="s">
        <v>60</v>
      </c>
      <c r="F407" s="111" t="s">
        <v>40</v>
      </c>
      <c r="G407" s="175">
        <v>1</v>
      </c>
      <c r="H407" s="175">
        <f>G407*H400</f>
        <v>42.9</v>
      </c>
      <c r="I407" s="16"/>
      <c r="J407" s="16"/>
      <c r="K407" s="16"/>
      <c r="L407" s="16"/>
      <c r="M407" s="16"/>
      <c r="N407" s="16"/>
      <c r="O407" s="20"/>
      <c r="P407" s="124"/>
    </row>
    <row r="408" spans="2:16" ht="33" customHeight="1" outlineLevel="1" x14ac:dyDescent="0.4">
      <c r="B408" s="110"/>
      <c r="C408" s="176"/>
      <c r="D408" s="111"/>
      <c r="E408" s="111"/>
      <c r="F408" s="111"/>
      <c r="G408" s="113"/>
      <c r="H408" s="113"/>
      <c r="I408" s="16"/>
      <c r="J408" s="16"/>
      <c r="K408" s="16"/>
      <c r="L408" s="16"/>
      <c r="M408" s="16"/>
      <c r="N408" s="16"/>
      <c r="O408" s="20"/>
      <c r="P408" s="124"/>
    </row>
    <row r="409" spans="2:16" ht="33" customHeight="1" outlineLevel="1" x14ac:dyDescent="0.3">
      <c r="B409" s="110"/>
      <c r="C409" s="176" t="s">
        <v>462</v>
      </c>
      <c r="D409" s="111"/>
      <c r="E409" s="158" t="s">
        <v>374</v>
      </c>
      <c r="F409" s="172" t="s">
        <v>369</v>
      </c>
      <c r="G409" s="173"/>
      <c r="H409" s="173">
        <f>H400</f>
        <v>42.9</v>
      </c>
      <c r="I409" s="11"/>
      <c r="J409" s="168"/>
      <c r="K409" s="11"/>
      <c r="L409" s="168"/>
      <c r="M409" s="11"/>
      <c r="N409" s="168"/>
      <c r="O409" s="168"/>
      <c r="P409" s="124"/>
    </row>
    <row r="410" spans="2:16" ht="33" customHeight="1" outlineLevel="1" x14ac:dyDescent="0.4">
      <c r="B410" s="110"/>
      <c r="C410" s="176"/>
      <c r="D410" s="111"/>
      <c r="E410" s="171" t="s">
        <v>82</v>
      </c>
      <c r="F410" s="171" t="s">
        <v>20</v>
      </c>
      <c r="G410" s="175">
        <v>0.1</v>
      </c>
      <c r="H410" s="175">
        <f>G410*H409</f>
        <v>4.29</v>
      </c>
      <c r="I410" s="16"/>
      <c r="J410" s="16"/>
      <c r="K410" s="16"/>
      <c r="L410" s="16"/>
      <c r="M410" s="16"/>
      <c r="N410" s="16"/>
      <c r="O410" s="20"/>
      <c r="P410" s="124"/>
    </row>
    <row r="411" spans="2:16" ht="33" customHeight="1" outlineLevel="1" x14ac:dyDescent="0.4">
      <c r="B411" s="110"/>
      <c r="C411" s="176"/>
      <c r="D411" s="111"/>
      <c r="E411" s="171" t="s">
        <v>83</v>
      </c>
      <c r="F411" s="171" t="s">
        <v>20</v>
      </c>
      <c r="G411" s="175">
        <v>3.5</v>
      </c>
      <c r="H411" s="175">
        <f>G411*H409</f>
        <v>150.15</v>
      </c>
      <c r="I411" s="16"/>
      <c r="J411" s="16"/>
      <c r="K411" s="16"/>
      <c r="L411" s="16"/>
      <c r="M411" s="16"/>
      <c r="N411" s="16"/>
      <c r="O411" s="20"/>
      <c r="P411" s="124"/>
    </row>
    <row r="412" spans="2:16" ht="33" customHeight="1" outlineLevel="1" x14ac:dyDescent="0.4">
      <c r="B412" s="110"/>
      <c r="C412" s="176"/>
      <c r="D412" s="111"/>
      <c r="E412" s="171" t="s">
        <v>92</v>
      </c>
      <c r="F412" s="171" t="s">
        <v>56</v>
      </c>
      <c r="G412" s="175">
        <f>0.14*2</f>
        <v>0.28000000000000003</v>
      </c>
      <c r="H412" s="175">
        <f>G412*H409</f>
        <v>12.012</v>
      </c>
      <c r="I412" s="16"/>
      <c r="J412" s="16"/>
      <c r="K412" s="16"/>
      <c r="L412" s="16"/>
      <c r="M412" s="16"/>
      <c r="N412" s="16"/>
      <c r="O412" s="20"/>
      <c r="P412" s="124"/>
    </row>
    <row r="413" spans="2:16" ht="33" customHeight="1" outlineLevel="1" x14ac:dyDescent="0.4">
      <c r="B413" s="110"/>
      <c r="C413" s="176"/>
      <c r="D413" s="111"/>
      <c r="E413" s="171" t="s">
        <v>65</v>
      </c>
      <c r="F413" s="171" t="s">
        <v>375</v>
      </c>
      <c r="G413" s="175">
        <v>0.5</v>
      </c>
      <c r="H413" s="175">
        <f>G413*H409</f>
        <v>21.45</v>
      </c>
      <c r="I413" s="16"/>
      <c r="J413" s="16"/>
      <c r="K413" s="16"/>
      <c r="L413" s="16"/>
      <c r="M413" s="16"/>
      <c r="N413" s="16"/>
      <c r="O413" s="20"/>
      <c r="P413" s="124"/>
    </row>
    <row r="414" spans="2:16" ht="33" customHeight="1" outlineLevel="1" x14ac:dyDescent="0.4">
      <c r="B414" s="110"/>
      <c r="C414" s="176"/>
      <c r="D414" s="111"/>
      <c r="E414" s="111"/>
      <c r="F414" s="111"/>
      <c r="G414" s="113"/>
      <c r="H414" s="113"/>
      <c r="I414" s="16"/>
      <c r="J414" s="16"/>
      <c r="K414" s="16"/>
      <c r="L414" s="16"/>
      <c r="M414" s="16"/>
      <c r="N414" s="16"/>
      <c r="O414" s="20"/>
      <c r="P414" s="124"/>
    </row>
    <row r="415" spans="2:16" ht="54" customHeight="1" outlineLevel="1" x14ac:dyDescent="0.3">
      <c r="B415" s="110"/>
      <c r="C415" s="176" t="s">
        <v>462</v>
      </c>
      <c r="D415" s="111"/>
      <c r="E415" s="158" t="s">
        <v>376</v>
      </c>
      <c r="F415" s="172" t="s">
        <v>369</v>
      </c>
      <c r="G415" s="173"/>
      <c r="H415" s="173">
        <v>115.5</v>
      </c>
      <c r="I415" s="11"/>
      <c r="J415" s="168"/>
      <c r="K415" s="11"/>
      <c r="L415" s="168"/>
      <c r="M415" s="11"/>
      <c r="N415" s="168"/>
      <c r="O415" s="168"/>
      <c r="P415" s="124"/>
    </row>
    <row r="416" spans="2:16" ht="33" customHeight="1" outlineLevel="1" x14ac:dyDescent="0.4">
      <c r="B416" s="110"/>
      <c r="C416" s="176"/>
      <c r="D416" s="111"/>
      <c r="E416" s="171" t="s">
        <v>64</v>
      </c>
      <c r="F416" s="171" t="s">
        <v>20</v>
      </c>
      <c r="G416" s="175">
        <v>20</v>
      </c>
      <c r="H416" s="175">
        <f>G416*H415</f>
        <v>2310</v>
      </c>
      <c r="I416" s="16"/>
      <c r="J416" s="16"/>
      <c r="K416" s="16"/>
      <c r="L416" s="16"/>
      <c r="M416" s="16"/>
      <c r="N416" s="16"/>
      <c r="O416" s="20"/>
      <c r="P416" s="124"/>
    </row>
    <row r="417" spans="2:16" ht="33" customHeight="1" outlineLevel="1" x14ac:dyDescent="0.4">
      <c r="B417" s="110"/>
      <c r="C417" s="176"/>
      <c r="D417" s="111"/>
      <c r="E417" s="171" t="s">
        <v>59</v>
      </c>
      <c r="F417" s="171" t="s">
        <v>56</v>
      </c>
      <c r="G417" s="175">
        <v>0.1</v>
      </c>
      <c r="H417" s="175">
        <f>G417*H415</f>
        <v>11.55</v>
      </c>
      <c r="I417" s="16"/>
      <c r="J417" s="16"/>
      <c r="K417" s="16"/>
      <c r="L417" s="16"/>
      <c r="M417" s="16"/>
      <c r="N417" s="16"/>
      <c r="O417" s="20"/>
      <c r="P417" s="124"/>
    </row>
    <row r="418" spans="2:16" ht="33" customHeight="1" outlineLevel="1" x14ac:dyDescent="0.4">
      <c r="B418" s="110"/>
      <c r="C418" s="176"/>
      <c r="D418" s="111"/>
      <c r="E418" s="171" t="s">
        <v>81</v>
      </c>
      <c r="F418" s="171" t="s">
        <v>375</v>
      </c>
      <c r="G418" s="175"/>
      <c r="H418" s="175">
        <f>G418*H415</f>
        <v>0</v>
      </c>
      <c r="I418" s="16"/>
      <c r="J418" s="16"/>
      <c r="K418" s="16"/>
      <c r="L418" s="16"/>
      <c r="M418" s="16"/>
      <c r="N418" s="16"/>
      <c r="O418" s="20"/>
      <c r="P418" s="124"/>
    </row>
    <row r="419" spans="2:16" ht="33" customHeight="1" outlineLevel="1" x14ac:dyDescent="0.4">
      <c r="B419" s="110"/>
      <c r="C419" s="176"/>
      <c r="D419" s="111"/>
      <c r="E419" s="171" t="s">
        <v>111</v>
      </c>
      <c r="F419" s="171" t="s">
        <v>41</v>
      </c>
      <c r="G419" s="175">
        <f>12/18</f>
        <v>0.66666666666666663</v>
      </c>
      <c r="H419" s="175">
        <f>G419*H415</f>
        <v>77</v>
      </c>
      <c r="I419" s="16"/>
      <c r="J419" s="16"/>
      <c r="K419" s="16"/>
      <c r="L419" s="16"/>
      <c r="M419" s="16"/>
      <c r="N419" s="16"/>
      <c r="O419" s="20"/>
      <c r="P419" s="124"/>
    </row>
    <row r="420" spans="2:16" ht="33" customHeight="1" outlineLevel="1" x14ac:dyDescent="0.4">
      <c r="B420" s="110"/>
      <c r="C420" s="176"/>
      <c r="D420" s="111"/>
      <c r="E420" s="171" t="s">
        <v>58</v>
      </c>
      <c r="F420" s="171" t="s">
        <v>41</v>
      </c>
      <c r="G420" s="175">
        <f>1/3/3/2*3</f>
        <v>0.16666666666666666</v>
      </c>
      <c r="H420" s="175">
        <f>G420*H415</f>
        <v>19.25</v>
      </c>
      <c r="I420" s="16"/>
      <c r="J420" s="16"/>
      <c r="K420" s="16"/>
      <c r="L420" s="16"/>
      <c r="M420" s="16"/>
      <c r="N420" s="16"/>
      <c r="O420" s="20"/>
      <c r="P420" s="124"/>
    </row>
    <row r="421" spans="2:16" ht="33" customHeight="1" outlineLevel="1" x14ac:dyDescent="0.4">
      <c r="B421" s="110"/>
      <c r="C421" s="176"/>
      <c r="D421" s="111"/>
      <c r="E421" s="171" t="s">
        <v>57</v>
      </c>
      <c r="F421" s="171" t="s">
        <v>41</v>
      </c>
      <c r="G421" s="175">
        <f>1/3/3/2*3</f>
        <v>0.16666666666666666</v>
      </c>
      <c r="H421" s="175">
        <f>G421*H415</f>
        <v>19.25</v>
      </c>
      <c r="I421" s="16"/>
      <c r="J421" s="16"/>
      <c r="K421" s="16"/>
      <c r="L421" s="16"/>
      <c r="M421" s="16"/>
      <c r="N421" s="16"/>
      <c r="O421" s="20"/>
      <c r="P421" s="124"/>
    </row>
    <row r="422" spans="2:16" ht="33" customHeight="1" outlineLevel="1" x14ac:dyDescent="0.4">
      <c r="B422" s="110"/>
      <c r="C422" s="176"/>
      <c r="D422" s="111"/>
      <c r="E422" s="171" t="s">
        <v>60</v>
      </c>
      <c r="F422" s="171" t="s">
        <v>375</v>
      </c>
      <c r="G422" s="175">
        <v>1</v>
      </c>
      <c r="H422" s="175">
        <f>G422*H415</f>
        <v>115.5</v>
      </c>
      <c r="I422" s="16"/>
      <c r="J422" s="16"/>
      <c r="K422" s="16"/>
      <c r="L422" s="16"/>
      <c r="M422" s="16"/>
      <c r="N422" s="16"/>
      <c r="O422" s="20"/>
      <c r="P422" s="124"/>
    </row>
    <row r="423" spans="2:16" ht="33" customHeight="1" outlineLevel="1" x14ac:dyDescent="0.4">
      <c r="B423" s="110"/>
      <c r="C423" s="176"/>
      <c r="D423" s="111"/>
      <c r="E423" s="171"/>
      <c r="F423" s="171"/>
      <c r="G423" s="175"/>
      <c r="H423" s="175"/>
      <c r="I423" s="16"/>
      <c r="J423" s="16"/>
      <c r="K423" s="16"/>
      <c r="L423" s="16"/>
      <c r="M423" s="16"/>
      <c r="N423" s="16"/>
      <c r="O423" s="20"/>
      <c r="P423" s="124"/>
    </row>
    <row r="424" spans="2:16" ht="33" customHeight="1" outlineLevel="1" x14ac:dyDescent="0.3">
      <c r="B424" s="110"/>
      <c r="C424" s="176" t="s">
        <v>463</v>
      </c>
      <c r="D424" s="111"/>
      <c r="E424" s="112" t="s">
        <v>370</v>
      </c>
      <c r="F424" s="166" t="s">
        <v>44</v>
      </c>
      <c r="G424" s="167"/>
      <c r="H424" s="167">
        <v>141.80000000000001</v>
      </c>
      <c r="I424" s="11"/>
      <c r="J424" s="168"/>
      <c r="K424" s="11"/>
      <c r="L424" s="168"/>
      <c r="M424" s="11"/>
      <c r="N424" s="168"/>
      <c r="O424" s="168"/>
      <c r="P424" s="124"/>
    </row>
    <row r="425" spans="2:16" ht="33" customHeight="1" outlineLevel="1" x14ac:dyDescent="0.4">
      <c r="B425" s="110"/>
      <c r="C425" s="176"/>
      <c r="D425" s="111"/>
      <c r="E425" s="111" t="s">
        <v>62</v>
      </c>
      <c r="F425" s="111" t="s">
        <v>1</v>
      </c>
      <c r="G425" s="113">
        <f>1/0.195/0.395</f>
        <v>12.982797792924373</v>
      </c>
      <c r="H425" s="113">
        <f>G425*H424</f>
        <v>1840.9607270366762</v>
      </c>
      <c r="I425" s="16"/>
      <c r="J425" s="16"/>
      <c r="K425" s="16"/>
      <c r="L425" s="16"/>
      <c r="M425" s="16"/>
      <c r="N425" s="16"/>
      <c r="O425" s="20"/>
      <c r="P425" s="124"/>
    </row>
    <row r="426" spans="2:16" ht="33" customHeight="1" outlineLevel="1" x14ac:dyDescent="0.4">
      <c r="B426" s="110"/>
      <c r="C426" s="176"/>
      <c r="D426" s="111"/>
      <c r="E426" s="111" t="s">
        <v>139</v>
      </c>
      <c r="F426" s="111" t="s">
        <v>15</v>
      </c>
      <c r="G426" s="113">
        <f>1*0.395/1000</f>
        <v>3.9500000000000001E-4</v>
      </c>
      <c r="H426" s="113">
        <f>G426*H424</f>
        <v>5.6011000000000005E-2</v>
      </c>
      <c r="I426" s="16"/>
      <c r="J426" s="16"/>
      <c r="K426" s="16"/>
      <c r="L426" s="16"/>
      <c r="M426" s="16"/>
      <c r="N426" s="16"/>
      <c r="O426" s="20"/>
      <c r="P426" s="124"/>
    </row>
    <row r="427" spans="2:16" ht="33" customHeight="1" outlineLevel="1" x14ac:dyDescent="0.4">
      <c r="B427" s="110"/>
      <c r="C427" s="176"/>
      <c r="D427" s="111"/>
      <c r="E427" s="111" t="s">
        <v>63</v>
      </c>
      <c r="F427" s="111" t="s">
        <v>43</v>
      </c>
      <c r="G427" s="113">
        <f>0.1*0.11</f>
        <v>1.1000000000000001E-2</v>
      </c>
      <c r="H427" s="113">
        <f>G427*H424</f>
        <v>1.5598000000000003</v>
      </c>
      <c r="I427" s="16"/>
      <c r="J427" s="16"/>
      <c r="K427" s="16"/>
      <c r="L427" s="16"/>
      <c r="M427" s="16"/>
      <c r="N427" s="16"/>
      <c r="O427" s="20"/>
      <c r="P427" s="124"/>
    </row>
    <row r="428" spans="2:16" ht="33" customHeight="1" outlineLevel="1" x14ac:dyDescent="0.4">
      <c r="B428" s="110"/>
      <c r="C428" s="176"/>
      <c r="D428" s="111"/>
      <c r="E428" s="111" t="s">
        <v>51</v>
      </c>
      <c r="F428" s="111" t="s">
        <v>43</v>
      </c>
      <c r="G428" s="113">
        <v>1.21</v>
      </c>
      <c r="H428" s="113">
        <f>G428*H427</f>
        <v>1.8873580000000003</v>
      </c>
      <c r="I428" s="16"/>
      <c r="J428" s="16"/>
      <c r="K428" s="16"/>
      <c r="L428" s="16"/>
      <c r="M428" s="16"/>
      <c r="N428" s="16"/>
      <c r="O428" s="20"/>
      <c r="P428" s="124"/>
    </row>
    <row r="429" spans="2:16" ht="33" customHeight="1" outlineLevel="1" x14ac:dyDescent="0.4">
      <c r="B429" s="110"/>
      <c r="C429" s="176"/>
      <c r="D429" s="111"/>
      <c r="E429" s="111" t="s">
        <v>52</v>
      </c>
      <c r="F429" s="111" t="s">
        <v>15</v>
      </c>
      <c r="G429" s="113">
        <f>31.9/100</f>
        <v>0.31900000000000001</v>
      </c>
      <c r="H429" s="113">
        <f>G429*H427</f>
        <v>0.49757620000000008</v>
      </c>
      <c r="I429" s="16"/>
      <c r="J429" s="16"/>
      <c r="K429" s="16"/>
      <c r="L429" s="16"/>
      <c r="M429" s="16"/>
      <c r="N429" s="16"/>
      <c r="O429" s="20"/>
      <c r="P429" s="124"/>
    </row>
    <row r="430" spans="2:16" ht="33" customHeight="1" outlineLevel="1" x14ac:dyDescent="0.4">
      <c r="B430" s="110"/>
      <c r="C430" s="176"/>
      <c r="D430" s="111"/>
      <c r="E430" s="111" t="s">
        <v>53</v>
      </c>
      <c r="F430" s="111" t="s">
        <v>56</v>
      </c>
      <c r="G430" s="113">
        <f>31/0.001/100</f>
        <v>310</v>
      </c>
      <c r="H430" s="113">
        <f>G430*H427</f>
        <v>483.53800000000007</v>
      </c>
      <c r="I430" s="16"/>
      <c r="J430" s="16"/>
      <c r="K430" s="16"/>
      <c r="L430" s="16"/>
      <c r="M430" s="16"/>
      <c r="N430" s="16"/>
      <c r="O430" s="20"/>
      <c r="P430" s="124"/>
    </row>
    <row r="431" spans="2:16" ht="33" customHeight="1" outlineLevel="1" x14ac:dyDescent="0.4">
      <c r="B431" s="110"/>
      <c r="C431" s="176"/>
      <c r="D431" s="111"/>
      <c r="E431" s="111" t="s">
        <v>54</v>
      </c>
      <c r="F431" s="111" t="s">
        <v>56</v>
      </c>
      <c r="G431" s="113">
        <v>0.1</v>
      </c>
      <c r="H431" s="113">
        <f>G431*H424</f>
        <v>14.180000000000001</v>
      </c>
      <c r="I431" s="16"/>
      <c r="J431" s="16"/>
      <c r="K431" s="16"/>
      <c r="L431" s="16"/>
      <c r="M431" s="16"/>
      <c r="N431" s="16"/>
      <c r="O431" s="20"/>
      <c r="P431" s="124"/>
    </row>
    <row r="432" spans="2:16" ht="33" customHeight="1" outlineLevel="1" x14ac:dyDescent="0.4">
      <c r="B432" s="110"/>
      <c r="C432" s="176"/>
      <c r="D432" s="111"/>
      <c r="E432" s="111" t="s">
        <v>55</v>
      </c>
      <c r="F432" s="111" t="s">
        <v>1</v>
      </c>
      <c r="G432" s="113">
        <v>1</v>
      </c>
      <c r="H432" s="113">
        <f>G432*H425</f>
        <v>1840.9607270366762</v>
      </c>
      <c r="I432" s="16"/>
      <c r="J432" s="16"/>
      <c r="K432" s="16"/>
      <c r="L432" s="16"/>
      <c r="M432" s="16"/>
      <c r="N432" s="16"/>
      <c r="O432" s="20"/>
      <c r="P432" s="124"/>
    </row>
    <row r="433" spans="2:16" ht="33" customHeight="1" outlineLevel="1" x14ac:dyDescent="0.4">
      <c r="B433" s="110"/>
      <c r="C433" s="176"/>
      <c r="D433" s="111"/>
      <c r="E433" s="111"/>
      <c r="F433" s="111"/>
      <c r="G433" s="113"/>
      <c r="H433" s="113"/>
      <c r="I433" s="16"/>
      <c r="J433" s="16"/>
      <c r="K433" s="16"/>
      <c r="L433" s="16"/>
      <c r="M433" s="16"/>
      <c r="N433" s="16"/>
      <c r="O433" s="20"/>
      <c r="P433" s="124"/>
    </row>
    <row r="434" spans="2:16" ht="33" customHeight="1" outlineLevel="1" x14ac:dyDescent="0.3">
      <c r="B434" s="110"/>
      <c r="C434" s="176" t="s">
        <v>463</v>
      </c>
      <c r="D434" s="111"/>
      <c r="E434" s="112" t="s">
        <v>373</v>
      </c>
      <c r="F434" s="166" t="s">
        <v>44</v>
      </c>
      <c r="G434" s="167"/>
      <c r="H434" s="167">
        <v>42.2</v>
      </c>
      <c r="I434" s="11"/>
      <c r="J434" s="168"/>
      <c r="K434" s="11"/>
      <c r="L434" s="168"/>
      <c r="M434" s="11"/>
      <c r="N434" s="168"/>
      <c r="O434" s="168"/>
      <c r="P434" s="124"/>
    </row>
    <row r="435" spans="2:16" ht="33" customHeight="1" outlineLevel="1" x14ac:dyDescent="0.4">
      <c r="B435" s="110"/>
      <c r="C435" s="176"/>
      <c r="D435" s="111"/>
      <c r="E435" s="111" t="s">
        <v>62</v>
      </c>
      <c r="F435" s="111" t="s">
        <v>1</v>
      </c>
      <c r="G435" s="113">
        <f>1/0.195/0.395</f>
        <v>12.982797792924373</v>
      </c>
      <c r="H435" s="113">
        <f>G435*H434</f>
        <v>547.87406686140855</v>
      </c>
      <c r="I435" s="16"/>
      <c r="J435" s="16"/>
      <c r="K435" s="16"/>
      <c r="L435" s="16"/>
      <c r="M435" s="16"/>
      <c r="N435" s="16"/>
      <c r="O435" s="20"/>
      <c r="P435" s="124"/>
    </row>
    <row r="436" spans="2:16" ht="33" customHeight="1" outlineLevel="1" x14ac:dyDescent="0.4">
      <c r="B436" s="110"/>
      <c r="C436" s="176"/>
      <c r="D436" s="111"/>
      <c r="E436" s="111" t="s">
        <v>139</v>
      </c>
      <c r="F436" s="111" t="s">
        <v>15</v>
      </c>
      <c r="G436" s="113">
        <f>1*0.395/1000</f>
        <v>3.9500000000000001E-4</v>
      </c>
      <c r="H436" s="113">
        <f>G436*H434</f>
        <v>1.6669E-2</v>
      </c>
      <c r="I436" s="16"/>
      <c r="J436" s="16"/>
      <c r="K436" s="16"/>
      <c r="L436" s="16"/>
      <c r="M436" s="16"/>
      <c r="N436" s="16"/>
      <c r="O436" s="20"/>
      <c r="P436" s="124"/>
    </row>
    <row r="437" spans="2:16" ht="33" customHeight="1" outlineLevel="1" x14ac:dyDescent="0.4">
      <c r="B437" s="110"/>
      <c r="C437" s="176"/>
      <c r="D437" s="111"/>
      <c r="E437" s="111" t="s">
        <v>63</v>
      </c>
      <c r="F437" s="111" t="s">
        <v>43</v>
      </c>
      <c r="G437" s="113">
        <f>0.1*0.11</f>
        <v>1.1000000000000001E-2</v>
      </c>
      <c r="H437" s="113">
        <f>G437*H434</f>
        <v>0.46420000000000006</v>
      </c>
      <c r="I437" s="16"/>
      <c r="J437" s="16"/>
      <c r="K437" s="16"/>
      <c r="L437" s="16"/>
      <c r="M437" s="16"/>
      <c r="N437" s="16"/>
      <c r="O437" s="20"/>
      <c r="P437" s="124"/>
    </row>
    <row r="438" spans="2:16" ht="33" customHeight="1" outlineLevel="1" x14ac:dyDescent="0.4">
      <c r="B438" s="110"/>
      <c r="C438" s="176"/>
      <c r="D438" s="111"/>
      <c r="E438" s="111" t="s">
        <v>51</v>
      </c>
      <c r="F438" s="111" t="s">
        <v>43</v>
      </c>
      <c r="G438" s="113">
        <v>1.21</v>
      </c>
      <c r="H438" s="113">
        <f>G438*H437</f>
        <v>0.56168200000000001</v>
      </c>
      <c r="I438" s="16"/>
      <c r="J438" s="16"/>
      <c r="K438" s="16"/>
      <c r="L438" s="16"/>
      <c r="M438" s="16"/>
      <c r="N438" s="16"/>
      <c r="O438" s="20"/>
      <c r="P438" s="124"/>
    </row>
    <row r="439" spans="2:16" ht="33" customHeight="1" outlineLevel="1" x14ac:dyDescent="0.4">
      <c r="B439" s="110"/>
      <c r="C439" s="176"/>
      <c r="D439" s="111"/>
      <c r="E439" s="111" t="s">
        <v>52</v>
      </c>
      <c r="F439" s="111" t="s">
        <v>15</v>
      </c>
      <c r="G439" s="113">
        <f>31.9/100</f>
        <v>0.31900000000000001</v>
      </c>
      <c r="H439" s="113">
        <f>G439*H437</f>
        <v>0.14807980000000001</v>
      </c>
      <c r="I439" s="16"/>
      <c r="J439" s="16"/>
      <c r="K439" s="16"/>
      <c r="L439" s="16"/>
      <c r="M439" s="16"/>
      <c r="N439" s="16"/>
      <c r="O439" s="20"/>
      <c r="P439" s="124"/>
    </row>
    <row r="440" spans="2:16" ht="33" customHeight="1" outlineLevel="1" x14ac:dyDescent="0.4">
      <c r="B440" s="110"/>
      <c r="C440" s="176"/>
      <c r="D440" s="111"/>
      <c r="E440" s="111" t="s">
        <v>53</v>
      </c>
      <c r="F440" s="111" t="s">
        <v>56</v>
      </c>
      <c r="G440" s="113">
        <f>31/0.001/100</f>
        <v>310</v>
      </c>
      <c r="H440" s="113">
        <f>G440*H437</f>
        <v>143.90200000000002</v>
      </c>
      <c r="I440" s="16"/>
      <c r="J440" s="16"/>
      <c r="K440" s="16"/>
      <c r="L440" s="16"/>
      <c r="M440" s="16"/>
      <c r="N440" s="16"/>
      <c r="O440" s="20"/>
      <c r="P440" s="124"/>
    </row>
    <row r="441" spans="2:16" ht="33" customHeight="1" outlineLevel="1" x14ac:dyDescent="0.4">
      <c r="B441" s="110"/>
      <c r="C441" s="176"/>
      <c r="D441" s="111"/>
      <c r="E441" s="111" t="s">
        <v>54</v>
      </c>
      <c r="F441" s="111" t="s">
        <v>56</v>
      </c>
      <c r="G441" s="113">
        <v>0.1</v>
      </c>
      <c r="H441" s="113">
        <f>G441*H434</f>
        <v>4.2200000000000006</v>
      </c>
      <c r="I441" s="16"/>
      <c r="J441" s="16"/>
      <c r="K441" s="16"/>
      <c r="L441" s="16"/>
      <c r="M441" s="16"/>
      <c r="N441" s="16"/>
      <c r="O441" s="20"/>
      <c r="P441" s="124"/>
    </row>
    <row r="442" spans="2:16" ht="33" customHeight="1" outlineLevel="1" x14ac:dyDescent="0.4">
      <c r="B442" s="110"/>
      <c r="C442" s="176"/>
      <c r="D442" s="111"/>
      <c r="E442" s="111" t="s">
        <v>55</v>
      </c>
      <c r="F442" s="111" t="s">
        <v>1</v>
      </c>
      <c r="G442" s="113">
        <v>1</v>
      </c>
      <c r="H442" s="113">
        <f>G442*H435</f>
        <v>547.87406686140855</v>
      </c>
      <c r="I442" s="16"/>
      <c r="J442" s="16"/>
      <c r="K442" s="16"/>
      <c r="L442" s="16"/>
      <c r="M442" s="16"/>
      <c r="N442" s="16"/>
      <c r="O442" s="20"/>
      <c r="P442" s="124"/>
    </row>
    <row r="443" spans="2:16" ht="33" customHeight="1" outlineLevel="1" x14ac:dyDescent="0.4">
      <c r="B443" s="110"/>
      <c r="C443" s="176"/>
      <c r="D443" s="111"/>
      <c r="E443" s="111"/>
      <c r="F443" s="111"/>
      <c r="G443" s="113"/>
      <c r="H443" s="113">
        <f t="shared" ref="H443" si="3">G443*H436</f>
        <v>0</v>
      </c>
      <c r="I443" s="16"/>
      <c r="J443" s="16"/>
      <c r="K443" s="16"/>
      <c r="L443" s="16"/>
      <c r="M443" s="16"/>
      <c r="N443" s="16"/>
      <c r="O443" s="20"/>
      <c r="P443" s="124"/>
    </row>
    <row r="444" spans="2:16" ht="54" customHeight="1" outlineLevel="1" x14ac:dyDescent="0.3">
      <c r="B444" s="110"/>
      <c r="C444" s="176" t="s">
        <v>463</v>
      </c>
      <c r="D444" s="111"/>
      <c r="E444" s="158" t="s">
        <v>376</v>
      </c>
      <c r="F444" s="172" t="s">
        <v>369</v>
      </c>
      <c r="G444" s="173"/>
      <c r="H444" s="173">
        <v>152.69999999999999</v>
      </c>
      <c r="I444" s="11"/>
      <c r="J444" s="168"/>
      <c r="K444" s="11"/>
      <c r="L444" s="168"/>
      <c r="M444" s="11"/>
      <c r="N444" s="168"/>
      <c r="O444" s="168"/>
      <c r="P444" s="124"/>
    </row>
    <row r="445" spans="2:16" ht="33" customHeight="1" outlineLevel="1" x14ac:dyDescent="0.4">
      <c r="B445" s="110"/>
      <c r="C445" s="176"/>
      <c r="D445" s="111"/>
      <c r="E445" s="171" t="s">
        <v>64</v>
      </c>
      <c r="F445" s="171" t="s">
        <v>20</v>
      </c>
      <c r="G445" s="175">
        <v>20</v>
      </c>
      <c r="H445" s="175">
        <f>G445*H444</f>
        <v>3054</v>
      </c>
      <c r="I445" s="16"/>
      <c r="J445" s="16"/>
      <c r="K445" s="16"/>
      <c r="L445" s="16"/>
      <c r="M445" s="16"/>
      <c r="N445" s="16"/>
      <c r="O445" s="20"/>
      <c r="P445" s="124"/>
    </row>
    <row r="446" spans="2:16" ht="33" customHeight="1" outlineLevel="1" x14ac:dyDescent="0.4">
      <c r="B446" s="110"/>
      <c r="C446" s="176"/>
      <c r="D446" s="111"/>
      <c r="E446" s="171" t="s">
        <v>59</v>
      </c>
      <c r="F446" s="171" t="s">
        <v>56</v>
      </c>
      <c r="G446" s="175">
        <v>0.1</v>
      </c>
      <c r="H446" s="175">
        <f>G446*H444</f>
        <v>15.27</v>
      </c>
      <c r="I446" s="16"/>
      <c r="J446" s="16"/>
      <c r="K446" s="16"/>
      <c r="L446" s="16"/>
      <c r="M446" s="16"/>
      <c r="N446" s="16"/>
      <c r="O446" s="20"/>
      <c r="P446" s="124"/>
    </row>
    <row r="447" spans="2:16" ht="33" customHeight="1" outlineLevel="1" x14ac:dyDescent="0.4">
      <c r="B447" s="110"/>
      <c r="C447" s="176"/>
      <c r="D447" s="111"/>
      <c r="E447" s="171" t="s">
        <v>81</v>
      </c>
      <c r="F447" s="171" t="s">
        <v>375</v>
      </c>
      <c r="G447" s="175"/>
      <c r="H447" s="175">
        <f>G447*H444</f>
        <v>0</v>
      </c>
      <c r="I447" s="16"/>
      <c r="J447" s="16"/>
      <c r="K447" s="16"/>
      <c r="L447" s="16"/>
      <c r="M447" s="16"/>
      <c r="N447" s="16"/>
      <c r="O447" s="20"/>
      <c r="P447" s="124"/>
    </row>
    <row r="448" spans="2:16" ht="33" customHeight="1" outlineLevel="1" x14ac:dyDescent="0.4">
      <c r="B448" s="110"/>
      <c r="C448" s="176"/>
      <c r="D448" s="111"/>
      <c r="E448" s="171" t="s">
        <v>111</v>
      </c>
      <c r="F448" s="171" t="s">
        <v>41</v>
      </c>
      <c r="G448" s="175">
        <f>12/18</f>
        <v>0.66666666666666663</v>
      </c>
      <c r="H448" s="175">
        <f>G448*H444</f>
        <v>101.79999999999998</v>
      </c>
      <c r="I448" s="16"/>
      <c r="J448" s="16"/>
      <c r="K448" s="16"/>
      <c r="L448" s="16"/>
      <c r="M448" s="16"/>
      <c r="N448" s="16"/>
      <c r="O448" s="20"/>
      <c r="P448" s="124"/>
    </row>
    <row r="449" spans="2:16" ht="33" customHeight="1" outlineLevel="1" x14ac:dyDescent="0.4">
      <c r="B449" s="110"/>
      <c r="C449" s="176"/>
      <c r="D449" s="111"/>
      <c r="E449" s="171" t="s">
        <v>58</v>
      </c>
      <c r="F449" s="171" t="s">
        <v>41</v>
      </c>
      <c r="G449" s="175">
        <f>1/3/3/2*3</f>
        <v>0.16666666666666666</v>
      </c>
      <c r="H449" s="175">
        <f>G449*H444</f>
        <v>25.449999999999996</v>
      </c>
      <c r="I449" s="16"/>
      <c r="J449" s="16"/>
      <c r="K449" s="16"/>
      <c r="L449" s="16"/>
      <c r="M449" s="16"/>
      <c r="N449" s="16"/>
      <c r="O449" s="20"/>
      <c r="P449" s="124"/>
    </row>
    <row r="450" spans="2:16" ht="33" customHeight="1" outlineLevel="1" x14ac:dyDescent="0.4">
      <c r="B450" s="110"/>
      <c r="C450" s="176"/>
      <c r="D450" s="111"/>
      <c r="E450" s="171" t="s">
        <v>57</v>
      </c>
      <c r="F450" s="171" t="s">
        <v>41</v>
      </c>
      <c r="G450" s="175">
        <f>1/3/3/2*3</f>
        <v>0.16666666666666666</v>
      </c>
      <c r="H450" s="175">
        <f>G450*H444</f>
        <v>25.449999999999996</v>
      </c>
      <c r="I450" s="16"/>
      <c r="J450" s="16"/>
      <c r="K450" s="16"/>
      <c r="L450" s="16"/>
      <c r="M450" s="16"/>
      <c r="N450" s="16"/>
      <c r="O450" s="20"/>
      <c r="P450" s="124"/>
    </row>
    <row r="451" spans="2:16" ht="33" customHeight="1" outlineLevel="1" x14ac:dyDescent="0.4">
      <c r="B451" s="110"/>
      <c r="C451" s="176"/>
      <c r="D451" s="111"/>
      <c r="E451" s="171" t="s">
        <v>60</v>
      </c>
      <c r="F451" s="171" t="s">
        <v>375</v>
      </c>
      <c r="G451" s="175">
        <v>1</v>
      </c>
      <c r="H451" s="175">
        <f>G451*H444</f>
        <v>152.69999999999999</v>
      </c>
      <c r="I451" s="16"/>
      <c r="J451" s="16"/>
      <c r="K451" s="16"/>
      <c r="L451" s="16"/>
      <c r="M451" s="16"/>
      <c r="N451" s="16"/>
      <c r="O451" s="20"/>
      <c r="P451" s="124"/>
    </row>
    <row r="452" spans="2:16" x14ac:dyDescent="0.3">
      <c r="B452" s="74"/>
      <c r="C452" s="86"/>
      <c r="D452" s="75"/>
      <c r="E452" s="76" t="s">
        <v>195</v>
      </c>
      <c r="F452" s="75"/>
      <c r="G452" s="75"/>
      <c r="H452" s="108"/>
      <c r="I452" s="80"/>
      <c r="J452" s="80"/>
      <c r="K452" s="80"/>
      <c r="L452" s="80"/>
      <c r="M452" s="80"/>
      <c r="N452" s="80"/>
      <c r="O452" s="80"/>
      <c r="P452" s="124"/>
    </row>
    <row r="453" spans="2:16" ht="63" outlineLevel="1" x14ac:dyDescent="0.3">
      <c r="B453" s="110"/>
      <c r="C453" s="147" t="s">
        <v>436</v>
      </c>
      <c r="D453" s="111"/>
      <c r="E453" s="112" t="s">
        <v>222</v>
      </c>
      <c r="F453" s="166" t="s">
        <v>41</v>
      </c>
      <c r="G453" s="167"/>
      <c r="H453" s="167">
        <v>7.5</v>
      </c>
      <c r="I453" s="11"/>
      <c r="J453" s="168"/>
      <c r="K453" s="11"/>
      <c r="L453" s="168"/>
      <c r="M453" s="11"/>
      <c r="N453" s="168"/>
      <c r="O453" s="168"/>
      <c r="P453" s="124"/>
    </row>
    <row r="454" spans="2:16" outlineLevel="1" x14ac:dyDescent="0.4">
      <c r="B454" s="110"/>
      <c r="C454" s="115"/>
      <c r="D454" s="111"/>
      <c r="E454" s="111" t="s">
        <v>117</v>
      </c>
      <c r="F454" s="111" t="s">
        <v>41</v>
      </c>
      <c r="G454" s="113">
        <v>2</v>
      </c>
      <c r="H454" s="113">
        <f>G454*H453</f>
        <v>15</v>
      </c>
      <c r="I454" s="16"/>
      <c r="J454" s="16"/>
      <c r="K454" s="16"/>
      <c r="L454" s="16"/>
      <c r="M454" s="16"/>
      <c r="N454" s="16"/>
      <c r="O454" s="20"/>
      <c r="P454" s="124"/>
    </row>
    <row r="455" spans="2:16" outlineLevel="1" x14ac:dyDescent="0.4">
      <c r="B455" s="110"/>
      <c r="C455" s="115"/>
      <c r="D455" s="111"/>
      <c r="E455" s="111" t="s">
        <v>120</v>
      </c>
      <c r="F455" s="111" t="s">
        <v>41</v>
      </c>
      <c r="G455" s="113">
        <v>4</v>
      </c>
      <c r="H455" s="113">
        <f>G455*H453</f>
        <v>30</v>
      </c>
      <c r="I455" s="16"/>
      <c r="J455" s="16"/>
      <c r="K455" s="16"/>
      <c r="L455" s="16"/>
      <c r="M455" s="16"/>
      <c r="N455" s="16"/>
      <c r="O455" s="20"/>
      <c r="P455" s="124"/>
    </row>
    <row r="456" spans="2:16" outlineLevel="1" x14ac:dyDescent="0.4">
      <c r="B456" s="110"/>
      <c r="C456" s="115"/>
      <c r="D456" s="111"/>
      <c r="E456" s="111" t="s">
        <v>173</v>
      </c>
      <c r="F456" s="111" t="s">
        <v>41</v>
      </c>
      <c r="G456" s="113">
        <v>1</v>
      </c>
      <c r="H456" s="113">
        <f>G456*H453</f>
        <v>7.5</v>
      </c>
      <c r="I456" s="16"/>
      <c r="J456" s="16"/>
      <c r="K456" s="16"/>
      <c r="L456" s="16"/>
      <c r="M456" s="16"/>
      <c r="N456" s="16"/>
      <c r="O456" s="20"/>
      <c r="P456" s="124"/>
    </row>
    <row r="457" spans="2:16" outlineLevel="1" x14ac:dyDescent="0.4">
      <c r="B457" s="110"/>
      <c r="C457" s="115"/>
      <c r="D457" s="111"/>
      <c r="E457" s="111" t="s">
        <v>169</v>
      </c>
      <c r="F457" s="111" t="s">
        <v>15</v>
      </c>
      <c r="G457" s="113">
        <v>2E-3</v>
      </c>
      <c r="H457" s="113">
        <f>G457*H453</f>
        <v>1.4999999999999999E-2</v>
      </c>
      <c r="I457" s="16"/>
      <c r="J457" s="16"/>
      <c r="K457" s="16"/>
      <c r="L457" s="16"/>
      <c r="M457" s="16"/>
      <c r="N457" s="16"/>
      <c r="O457" s="20"/>
      <c r="P457" s="124"/>
    </row>
    <row r="458" spans="2:16" outlineLevel="1" x14ac:dyDescent="0.4">
      <c r="B458" s="110"/>
      <c r="C458" s="115"/>
      <c r="D458" s="111"/>
      <c r="E458" s="111" t="s">
        <v>154</v>
      </c>
      <c r="F458" s="111" t="s">
        <v>1</v>
      </c>
      <c r="G458" s="113">
        <v>8</v>
      </c>
      <c r="H458" s="113">
        <f>G458*H453</f>
        <v>60</v>
      </c>
      <c r="I458" s="16"/>
      <c r="J458" s="16"/>
      <c r="K458" s="16"/>
      <c r="L458" s="16"/>
      <c r="M458" s="16"/>
      <c r="N458" s="16"/>
      <c r="O458" s="20"/>
      <c r="P458" s="124"/>
    </row>
    <row r="459" spans="2:16" outlineLevel="1" x14ac:dyDescent="0.4">
      <c r="B459" s="110"/>
      <c r="C459" s="115"/>
      <c r="D459" s="111"/>
      <c r="E459" s="111" t="s">
        <v>153</v>
      </c>
      <c r="F459" s="111" t="s">
        <v>1</v>
      </c>
      <c r="G459" s="113">
        <v>8</v>
      </c>
      <c r="H459" s="113">
        <f>G459*H453</f>
        <v>60</v>
      </c>
      <c r="I459" s="16"/>
      <c r="J459" s="16"/>
      <c r="K459" s="16"/>
      <c r="L459" s="16"/>
      <c r="M459" s="16"/>
      <c r="N459" s="16"/>
      <c r="O459" s="20"/>
      <c r="P459" s="124"/>
    </row>
    <row r="460" spans="2:16" outlineLevel="1" x14ac:dyDescent="0.4">
      <c r="B460" s="110"/>
      <c r="C460" s="115"/>
      <c r="D460" s="111"/>
      <c r="E460" s="111" t="s">
        <v>119</v>
      </c>
      <c r="F460" s="111" t="s">
        <v>56</v>
      </c>
      <c r="G460" s="113">
        <v>0.05</v>
      </c>
      <c r="H460" s="113">
        <f>G460*H453</f>
        <v>0.375</v>
      </c>
      <c r="I460" s="16"/>
      <c r="J460" s="16"/>
      <c r="K460" s="16"/>
      <c r="L460" s="16"/>
      <c r="M460" s="16"/>
      <c r="N460" s="16"/>
      <c r="O460" s="20"/>
      <c r="P460" s="124"/>
    </row>
    <row r="461" spans="2:16" outlineLevel="1" x14ac:dyDescent="0.4">
      <c r="B461" s="110"/>
      <c r="C461" s="115"/>
      <c r="D461" s="111"/>
      <c r="E461" s="111" t="s">
        <v>118</v>
      </c>
      <c r="F461" s="111" t="s">
        <v>20</v>
      </c>
      <c r="G461" s="113">
        <v>0.2</v>
      </c>
      <c r="H461" s="113">
        <f>G461*H453</f>
        <v>1.5</v>
      </c>
      <c r="I461" s="16"/>
      <c r="J461" s="16"/>
      <c r="K461" s="16"/>
      <c r="L461" s="16"/>
      <c r="M461" s="16"/>
      <c r="N461" s="16"/>
      <c r="O461" s="20"/>
      <c r="P461" s="124"/>
    </row>
    <row r="462" spans="2:16" outlineLevel="1" x14ac:dyDescent="0.4">
      <c r="B462" s="110"/>
      <c r="C462" s="115"/>
      <c r="D462" s="111"/>
      <c r="E462" s="111" t="s">
        <v>70</v>
      </c>
      <c r="F462" s="111" t="s">
        <v>41</v>
      </c>
      <c r="G462" s="113">
        <v>1</v>
      </c>
      <c r="H462" s="113">
        <f>G462*H453</f>
        <v>7.5</v>
      </c>
      <c r="I462" s="16"/>
      <c r="J462" s="16"/>
      <c r="K462" s="16"/>
      <c r="L462" s="16"/>
      <c r="M462" s="16"/>
      <c r="N462" s="16"/>
      <c r="O462" s="20"/>
      <c r="P462" s="124"/>
    </row>
    <row r="463" spans="2:16" outlineLevel="1" x14ac:dyDescent="0.4">
      <c r="B463" s="110"/>
      <c r="C463" s="115"/>
      <c r="D463" s="111"/>
      <c r="E463" s="111"/>
      <c r="F463" s="111"/>
      <c r="G463" s="113"/>
      <c r="H463" s="113"/>
      <c r="I463" s="16"/>
      <c r="J463" s="16"/>
      <c r="K463" s="16"/>
      <c r="L463" s="16"/>
      <c r="M463" s="16"/>
      <c r="N463" s="16"/>
      <c r="O463" s="20"/>
      <c r="P463" s="124"/>
    </row>
    <row r="464" spans="2:16" ht="42" outlineLevel="1" x14ac:dyDescent="0.3">
      <c r="B464" s="110"/>
      <c r="C464" s="147" t="s">
        <v>464</v>
      </c>
      <c r="D464" s="111"/>
      <c r="E464" s="112" t="s">
        <v>208</v>
      </c>
      <c r="F464" s="166" t="s">
        <v>41</v>
      </c>
      <c r="G464" s="167"/>
      <c r="H464" s="167">
        <f>13.5*2</f>
        <v>27</v>
      </c>
      <c r="I464" s="11"/>
      <c r="J464" s="168"/>
      <c r="K464" s="11"/>
      <c r="L464" s="168"/>
      <c r="M464" s="11"/>
      <c r="N464" s="168"/>
      <c r="O464" s="168"/>
      <c r="P464" s="124"/>
    </row>
    <row r="465" spans="2:16" outlineLevel="1" x14ac:dyDescent="0.4">
      <c r="B465" s="110"/>
      <c r="C465" s="115"/>
      <c r="D465" s="111"/>
      <c r="E465" s="111" t="s">
        <v>151</v>
      </c>
      <c r="F465" s="111" t="s">
        <v>41</v>
      </c>
      <c r="G465" s="113">
        <f>1/0.06*1.1</f>
        <v>18.333333333333336</v>
      </c>
      <c r="H465" s="113">
        <f>G465*H464</f>
        <v>495.00000000000006</v>
      </c>
      <c r="I465" s="16"/>
      <c r="J465" s="16"/>
      <c r="K465" s="16"/>
      <c r="L465" s="16"/>
      <c r="M465" s="16"/>
      <c r="N465" s="16"/>
      <c r="O465" s="20"/>
      <c r="P465" s="124"/>
    </row>
    <row r="466" spans="2:16" outlineLevel="1" x14ac:dyDescent="0.4">
      <c r="B466" s="110"/>
      <c r="C466" s="115"/>
      <c r="D466" s="111"/>
      <c r="E466" s="111" t="s">
        <v>151</v>
      </c>
      <c r="F466" s="111" t="s">
        <v>41</v>
      </c>
      <c r="G466" s="113">
        <v>1</v>
      </c>
      <c r="H466" s="113">
        <f>G466*H464</f>
        <v>27</v>
      </c>
      <c r="I466" s="16"/>
      <c r="J466" s="16"/>
      <c r="K466" s="16"/>
      <c r="L466" s="16"/>
      <c r="M466" s="16"/>
      <c r="N466" s="16"/>
      <c r="O466" s="20"/>
      <c r="P466" s="124"/>
    </row>
    <row r="467" spans="2:16" outlineLevel="1" x14ac:dyDescent="0.4">
      <c r="B467" s="110"/>
      <c r="C467" s="115"/>
      <c r="D467" s="111"/>
      <c r="E467" s="111" t="s">
        <v>152</v>
      </c>
      <c r="F467" s="111" t="s">
        <v>41</v>
      </c>
      <c r="G467" s="113">
        <v>0.08</v>
      </c>
      <c r="H467" s="113">
        <f>G467*H464</f>
        <v>2.16</v>
      </c>
      <c r="I467" s="16"/>
      <c r="J467" s="16"/>
      <c r="K467" s="16"/>
      <c r="L467" s="16"/>
      <c r="M467" s="16"/>
      <c r="N467" s="16"/>
      <c r="O467" s="20"/>
      <c r="P467" s="124"/>
    </row>
    <row r="468" spans="2:16" outlineLevel="1" x14ac:dyDescent="0.4">
      <c r="B468" s="110"/>
      <c r="C468" s="115"/>
      <c r="D468" s="111"/>
      <c r="E468" s="111" t="s">
        <v>154</v>
      </c>
      <c r="F468" s="111" t="s">
        <v>1</v>
      </c>
      <c r="G468" s="113">
        <v>2</v>
      </c>
      <c r="H468" s="113">
        <f>G468*H464</f>
        <v>54</v>
      </c>
      <c r="I468" s="16"/>
      <c r="J468" s="16"/>
      <c r="K468" s="16"/>
      <c r="L468" s="16"/>
      <c r="M468" s="16"/>
      <c r="N468" s="16"/>
      <c r="O468" s="20"/>
      <c r="P468" s="124"/>
    </row>
    <row r="469" spans="2:16" outlineLevel="1" x14ac:dyDescent="0.4">
      <c r="B469" s="110"/>
      <c r="C469" s="115"/>
      <c r="D469" s="111"/>
      <c r="E469" s="111" t="s">
        <v>153</v>
      </c>
      <c r="F469" s="111" t="s">
        <v>1</v>
      </c>
      <c r="G469" s="113">
        <v>2</v>
      </c>
      <c r="H469" s="113">
        <f>G469*H464</f>
        <v>54</v>
      </c>
      <c r="I469" s="16"/>
      <c r="J469" s="16"/>
      <c r="K469" s="16"/>
      <c r="L469" s="16"/>
      <c r="M469" s="16"/>
      <c r="N469" s="16"/>
      <c r="O469" s="20"/>
      <c r="P469" s="124"/>
    </row>
    <row r="470" spans="2:16" outlineLevel="1" x14ac:dyDescent="0.4">
      <c r="B470" s="110"/>
      <c r="C470" s="115"/>
      <c r="D470" s="111"/>
      <c r="E470" s="111" t="s">
        <v>119</v>
      </c>
      <c r="F470" s="111" t="s">
        <v>56</v>
      </c>
      <c r="G470" s="113">
        <v>0.1</v>
      </c>
      <c r="H470" s="113">
        <f>G470*H464</f>
        <v>2.7</v>
      </c>
      <c r="I470" s="16"/>
      <c r="J470" s="16"/>
      <c r="K470" s="16"/>
      <c r="L470" s="16"/>
      <c r="M470" s="16"/>
      <c r="N470" s="16"/>
      <c r="O470" s="20"/>
      <c r="P470" s="124"/>
    </row>
    <row r="471" spans="2:16" outlineLevel="1" x14ac:dyDescent="0.4">
      <c r="B471" s="110"/>
      <c r="C471" s="115"/>
      <c r="D471" s="111"/>
      <c r="E471" s="111" t="s">
        <v>70</v>
      </c>
      <c r="F471" s="111" t="s">
        <v>41</v>
      </c>
      <c r="G471" s="113">
        <v>1</v>
      </c>
      <c r="H471" s="113">
        <f>G471*H464</f>
        <v>27</v>
      </c>
      <c r="I471" s="16"/>
      <c r="J471" s="16"/>
      <c r="K471" s="16"/>
      <c r="L471" s="16"/>
      <c r="M471" s="16"/>
      <c r="N471" s="16"/>
      <c r="O471" s="20"/>
      <c r="P471" s="124"/>
    </row>
    <row r="472" spans="2:16" outlineLevel="1" x14ac:dyDescent="0.4">
      <c r="B472" s="110"/>
      <c r="C472" s="115"/>
      <c r="D472" s="111"/>
      <c r="E472" s="111"/>
      <c r="F472" s="111"/>
      <c r="G472" s="113"/>
      <c r="H472" s="113"/>
      <c r="I472" s="16"/>
      <c r="J472" s="16"/>
      <c r="K472" s="16"/>
      <c r="L472" s="16"/>
      <c r="M472" s="16"/>
      <c r="N472" s="16"/>
      <c r="O472" s="20"/>
      <c r="P472" s="124"/>
    </row>
    <row r="473" spans="2:16" ht="63" outlineLevel="1" x14ac:dyDescent="0.3">
      <c r="B473" s="110"/>
      <c r="C473" s="147" t="s">
        <v>443</v>
      </c>
      <c r="D473" s="111"/>
      <c r="E473" s="112" t="s">
        <v>222</v>
      </c>
      <c r="F473" s="166" t="s">
        <v>41</v>
      </c>
      <c r="G473" s="167"/>
      <c r="H473" s="167">
        <v>7.5</v>
      </c>
      <c r="I473" s="11"/>
      <c r="J473" s="168"/>
      <c r="K473" s="11"/>
      <c r="L473" s="168"/>
      <c r="M473" s="11"/>
      <c r="N473" s="168"/>
      <c r="O473" s="168"/>
      <c r="P473" s="124"/>
    </row>
    <row r="474" spans="2:16" outlineLevel="1" x14ac:dyDescent="0.4">
      <c r="B474" s="110"/>
      <c r="C474" s="115"/>
      <c r="D474" s="111"/>
      <c r="E474" s="111" t="s">
        <v>117</v>
      </c>
      <c r="F474" s="111" t="s">
        <v>41</v>
      </c>
      <c r="G474" s="113">
        <v>2</v>
      </c>
      <c r="H474" s="113">
        <f>G474*H473</f>
        <v>15</v>
      </c>
      <c r="I474" s="16"/>
      <c r="J474" s="16"/>
      <c r="K474" s="16"/>
      <c r="L474" s="16"/>
      <c r="M474" s="16"/>
      <c r="N474" s="16"/>
      <c r="O474" s="20"/>
      <c r="P474" s="124"/>
    </row>
    <row r="475" spans="2:16" outlineLevel="1" x14ac:dyDescent="0.4">
      <c r="B475" s="110"/>
      <c r="C475" s="115"/>
      <c r="D475" s="111"/>
      <c r="E475" s="111" t="s">
        <v>120</v>
      </c>
      <c r="F475" s="111" t="s">
        <v>41</v>
      </c>
      <c r="G475" s="113">
        <v>4</v>
      </c>
      <c r="H475" s="113">
        <f>G475*H473</f>
        <v>30</v>
      </c>
      <c r="I475" s="16"/>
      <c r="J475" s="16"/>
      <c r="K475" s="16"/>
      <c r="L475" s="16"/>
      <c r="M475" s="16"/>
      <c r="N475" s="16"/>
      <c r="O475" s="20"/>
      <c r="P475" s="124"/>
    </row>
    <row r="476" spans="2:16" outlineLevel="1" x14ac:dyDescent="0.4">
      <c r="B476" s="110"/>
      <c r="C476" s="115"/>
      <c r="D476" s="111"/>
      <c r="E476" s="111" t="s">
        <v>173</v>
      </c>
      <c r="F476" s="111" t="s">
        <v>41</v>
      </c>
      <c r="G476" s="113">
        <v>1</v>
      </c>
      <c r="H476" s="113">
        <f>G476*H473</f>
        <v>7.5</v>
      </c>
      <c r="I476" s="16"/>
      <c r="J476" s="16"/>
      <c r="K476" s="16"/>
      <c r="L476" s="16"/>
      <c r="M476" s="16"/>
      <c r="N476" s="16"/>
      <c r="O476" s="20"/>
      <c r="P476" s="124"/>
    </row>
    <row r="477" spans="2:16" outlineLevel="1" x14ac:dyDescent="0.4">
      <c r="B477" s="110"/>
      <c r="C477" s="115"/>
      <c r="D477" s="111"/>
      <c r="E477" s="111" t="s">
        <v>169</v>
      </c>
      <c r="F477" s="111" t="s">
        <v>15</v>
      </c>
      <c r="G477" s="113">
        <v>2E-3</v>
      </c>
      <c r="H477" s="113">
        <f>G477*H473</f>
        <v>1.4999999999999999E-2</v>
      </c>
      <c r="I477" s="16"/>
      <c r="J477" s="16"/>
      <c r="K477" s="16"/>
      <c r="L477" s="16"/>
      <c r="M477" s="16"/>
      <c r="N477" s="16"/>
      <c r="O477" s="20"/>
      <c r="P477" s="124"/>
    </row>
    <row r="478" spans="2:16" outlineLevel="1" x14ac:dyDescent="0.4">
      <c r="B478" s="110"/>
      <c r="C478" s="115"/>
      <c r="D478" s="111"/>
      <c r="E478" s="111" t="s">
        <v>154</v>
      </c>
      <c r="F478" s="111" t="s">
        <v>1</v>
      </c>
      <c r="G478" s="113">
        <v>8</v>
      </c>
      <c r="H478" s="113">
        <f>G478*H473</f>
        <v>60</v>
      </c>
      <c r="I478" s="16"/>
      <c r="J478" s="16"/>
      <c r="K478" s="16"/>
      <c r="L478" s="16"/>
      <c r="M478" s="16"/>
      <c r="N478" s="16"/>
      <c r="O478" s="20"/>
      <c r="P478" s="124"/>
    </row>
    <row r="479" spans="2:16" outlineLevel="1" x14ac:dyDescent="0.4">
      <c r="B479" s="110"/>
      <c r="C479" s="115"/>
      <c r="D479" s="111"/>
      <c r="E479" s="111" t="s">
        <v>153</v>
      </c>
      <c r="F479" s="111" t="s">
        <v>1</v>
      </c>
      <c r="G479" s="113">
        <v>8</v>
      </c>
      <c r="H479" s="113">
        <f>G479*H473</f>
        <v>60</v>
      </c>
      <c r="I479" s="16"/>
      <c r="J479" s="16"/>
      <c r="K479" s="16"/>
      <c r="L479" s="16"/>
      <c r="M479" s="16"/>
      <c r="N479" s="16"/>
      <c r="O479" s="20"/>
      <c r="P479" s="124"/>
    </row>
    <row r="480" spans="2:16" outlineLevel="1" x14ac:dyDescent="0.4">
      <c r="B480" s="110"/>
      <c r="C480" s="115"/>
      <c r="D480" s="111"/>
      <c r="E480" s="111" t="s">
        <v>119</v>
      </c>
      <c r="F480" s="111" t="s">
        <v>56</v>
      </c>
      <c r="G480" s="113">
        <v>0.05</v>
      </c>
      <c r="H480" s="113">
        <f>G480*H473</f>
        <v>0.375</v>
      </c>
      <c r="I480" s="16"/>
      <c r="J480" s="16"/>
      <c r="K480" s="16"/>
      <c r="L480" s="16"/>
      <c r="M480" s="16"/>
      <c r="N480" s="16"/>
      <c r="O480" s="20"/>
      <c r="P480" s="124"/>
    </row>
    <row r="481" spans="2:16" outlineLevel="1" x14ac:dyDescent="0.4">
      <c r="B481" s="110"/>
      <c r="C481" s="115"/>
      <c r="D481" s="111"/>
      <c r="E481" s="111" t="s">
        <v>118</v>
      </c>
      <c r="F481" s="111" t="s">
        <v>20</v>
      </c>
      <c r="G481" s="113">
        <v>0.2</v>
      </c>
      <c r="H481" s="113">
        <f>G481*H473</f>
        <v>1.5</v>
      </c>
      <c r="I481" s="16"/>
      <c r="J481" s="16"/>
      <c r="K481" s="16"/>
      <c r="L481" s="16"/>
      <c r="M481" s="16"/>
      <c r="N481" s="16"/>
      <c r="O481" s="20"/>
      <c r="P481" s="124"/>
    </row>
    <row r="482" spans="2:16" outlineLevel="1" x14ac:dyDescent="0.4">
      <c r="B482" s="110"/>
      <c r="C482" s="115"/>
      <c r="D482" s="111"/>
      <c r="E482" s="111" t="s">
        <v>70</v>
      </c>
      <c r="F482" s="111" t="s">
        <v>41</v>
      </c>
      <c r="G482" s="113">
        <v>1</v>
      </c>
      <c r="H482" s="113">
        <f>G482*H473</f>
        <v>7.5</v>
      </c>
      <c r="I482" s="16"/>
      <c r="J482" s="16"/>
      <c r="K482" s="16"/>
      <c r="L482" s="16"/>
      <c r="M482" s="16"/>
      <c r="N482" s="16"/>
      <c r="O482" s="20"/>
      <c r="P482" s="124"/>
    </row>
    <row r="483" spans="2:16" outlineLevel="1" x14ac:dyDescent="0.4">
      <c r="B483" s="110"/>
      <c r="C483" s="115"/>
      <c r="D483" s="111"/>
      <c r="E483" s="111"/>
      <c r="F483" s="111"/>
      <c r="G483" s="113"/>
      <c r="H483" s="113"/>
      <c r="I483" s="16"/>
      <c r="J483" s="16"/>
      <c r="K483" s="16"/>
      <c r="L483" s="16"/>
      <c r="M483" s="16"/>
      <c r="N483" s="16"/>
      <c r="O483" s="20"/>
      <c r="P483" s="124"/>
    </row>
    <row r="484" spans="2:16" ht="42" outlineLevel="1" x14ac:dyDescent="0.3">
      <c r="B484" s="110"/>
      <c r="C484" s="147" t="s">
        <v>465</v>
      </c>
      <c r="D484" s="111"/>
      <c r="E484" s="112" t="s">
        <v>208</v>
      </c>
      <c r="F484" s="166" t="s">
        <v>41</v>
      </c>
      <c r="G484" s="167"/>
      <c r="H484" s="167">
        <f>13.5*2</f>
        <v>27</v>
      </c>
      <c r="I484" s="11"/>
      <c r="J484" s="168"/>
      <c r="K484" s="11"/>
      <c r="L484" s="168"/>
      <c r="M484" s="11"/>
      <c r="N484" s="168"/>
      <c r="O484" s="168"/>
      <c r="P484" s="124"/>
    </row>
    <row r="485" spans="2:16" outlineLevel="1" x14ac:dyDescent="0.4">
      <c r="B485" s="110"/>
      <c r="C485" s="115"/>
      <c r="D485" s="111"/>
      <c r="E485" s="111" t="s">
        <v>151</v>
      </c>
      <c r="F485" s="111" t="s">
        <v>41</v>
      </c>
      <c r="G485" s="113">
        <f>1/0.06*1.1</f>
        <v>18.333333333333336</v>
      </c>
      <c r="H485" s="113">
        <f>G485*H484</f>
        <v>495.00000000000006</v>
      </c>
      <c r="I485" s="16"/>
      <c r="J485" s="16"/>
      <c r="K485" s="16"/>
      <c r="L485" s="16"/>
      <c r="M485" s="16"/>
      <c r="N485" s="16"/>
      <c r="O485" s="20"/>
      <c r="P485" s="124"/>
    </row>
    <row r="486" spans="2:16" outlineLevel="1" x14ac:dyDescent="0.4">
      <c r="B486" s="110"/>
      <c r="C486" s="115"/>
      <c r="D486" s="111"/>
      <c r="E486" s="111" t="s">
        <v>151</v>
      </c>
      <c r="F486" s="111" t="s">
        <v>41</v>
      </c>
      <c r="G486" s="113">
        <v>1</v>
      </c>
      <c r="H486" s="113">
        <f>G486*H484</f>
        <v>27</v>
      </c>
      <c r="I486" s="16"/>
      <c r="J486" s="16"/>
      <c r="K486" s="16"/>
      <c r="L486" s="16"/>
      <c r="M486" s="16"/>
      <c r="N486" s="16"/>
      <c r="O486" s="20"/>
      <c r="P486" s="124"/>
    </row>
    <row r="487" spans="2:16" outlineLevel="1" x14ac:dyDescent="0.4">
      <c r="B487" s="110"/>
      <c r="C487" s="115"/>
      <c r="D487" s="111"/>
      <c r="E487" s="111" t="s">
        <v>152</v>
      </c>
      <c r="F487" s="111" t="s">
        <v>41</v>
      </c>
      <c r="G487" s="113">
        <v>0.08</v>
      </c>
      <c r="H487" s="113">
        <f>G487*H484</f>
        <v>2.16</v>
      </c>
      <c r="I487" s="16"/>
      <c r="J487" s="16"/>
      <c r="K487" s="16"/>
      <c r="L487" s="16"/>
      <c r="M487" s="16"/>
      <c r="N487" s="16"/>
      <c r="O487" s="20"/>
      <c r="P487" s="124"/>
    </row>
    <row r="488" spans="2:16" outlineLevel="1" x14ac:dyDescent="0.4">
      <c r="B488" s="110"/>
      <c r="C488" s="115"/>
      <c r="D488" s="111"/>
      <c r="E488" s="111" t="s">
        <v>154</v>
      </c>
      <c r="F488" s="111" t="s">
        <v>1</v>
      </c>
      <c r="G488" s="113">
        <v>2</v>
      </c>
      <c r="H488" s="113">
        <f>G488*H484</f>
        <v>54</v>
      </c>
      <c r="I488" s="16"/>
      <c r="J488" s="16"/>
      <c r="K488" s="16"/>
      <c r="L488" s="16"/>
      <c r="M488" s="16"/>
      <c r="N488" s="16"/>
      <c r="O488" s="20"/>
      <c r="P488" s="124"/>
    </row>
    <row r="489" spans="2:16" outlineLevel="1" x14ac:dyDescent="0.4">
      <c r="B489" s="110"/>
      <c r="C489" s="115"/>
      <c r="D489" s="111"/>
      <c r="E489" s="111" t="s">
        <v>153</v>
      </c>
      <c r="F489" s="111" t="s">
        <v>1</v>
      </c>
      <c r="G489" s="113">
        <v>2</v>
      </c>
      <c r="H489" s="113">
        <f>G489*H484</f>
        <v>54</v>
      </c>
      <c r="I489" s="16"/>
      <c r="J489" s="16"/>
      <c r="K489" s="16"/>
      <c r="L489" s="16"/>
      <c r="M489" s="16"/>
      <c r="N489" s="16"/>
      <c r="O489" s="20"/>
      <c r="P489" s="124"/>
    </row>
    <row r="490" spans="2:16" outlineLevel="1" x14ac:dyDescent="0.4">
      <c r="B490" s="110"/>
      <c r="C490" s="115"/>
      <c r="D490" s="111"/>
      <c r="E490" s="111" t="s">
        <v>119</v>
      </c>
      <c r="F490" s="111" t="s">
        <v>56</v>
      </c>
      <c r="G490" s="113">
        <v>0.1</v>
      </c>
      <c r="H490" s="113">
        <f>G490*H484</f>
        <v>2.7</v>
      </c>
      <c r="I490" s="16"/>
      <c r="J490" s="16"/>
      <c r="K490" s="16"/>
      <c r="L490" s="16"/>
      <c r="M490" s="16"/>
      <c r="N490" s="16"/>
      <c r="O490" s="20"/>
      <c r="P490" s="124"/>
    </row>
    <row r="491" spans="2:16" outlineLevel="1" x14ac:dyDescent="0.4">
      <c r="B491" s="110"/>
      <c r="C491" s="115"/>
      <c r="D491" s="111"/>
      <c r="E491" s="111" t="s">
        <v>70</v>
      </c>
      <c r="F491" s="111" t="s">
        <v>41</v>
      </c>
      <c r="G491" s="113">
        <v>1</v>
      </c>
      <c r="H491" s="113">
        <f>G491*H484</f>
        <v>27</v>
      </c>
      <c r="I491" s="16"/>
      <c r="J491" s="16"/>
      <c r="K491" s="16"/>
      <c r="L491" s="16"/>
      <c r="M491" s="16"/>
      <c r="N491" s="16"/>
      <c r="O491" s="20"/>
      <c r="P491" s="124"/>
    </row>
    <row r="492" spans="2:16" outlineLevel="1" x14ac:dyDescent="0.4">
      <c r="B492" s="110"/>
      <c r="C492" s="115"/>
      <c r="D492" s="111"/>
      <c r="E492" s="111"/>
      <c r="F492" s="111"/>
      <c r="G492" s="113"/>
      <c r="H492" s="113"/>
      <c r="I492" s="16"/>
      <c r="J492" s="16"/>
      <c r="K492" s="16"/>
      <c r="L492" s="16"/>
      <c r="M492" s="16"/>
      <c r="N492" s="16"/>
      <c r="O492" s="20"/>
      <c r="P492" s="124"/>
    </row>
    <row r="493" spans="2:16" ht="42" outlineLevel="1" x14ac:dyDescent="0.3">
      <c r="B493" s="110"/>
      <c r="C493" s="147" t="s">
        <v>466</v>
      </c>
      <c r="D493" s="111"/>
      <c r="E493" s="112" t="s">
        <v>208</v>
      </c>
      <c r="F493" s="166" t="s">
        <v>41</v>
      </c>
      <c r="G493" s="167"/>
      <c r="H493" s="167">
        <f>6.2*2</f>
        <v>12.4</v>
      </c>
      <c r="I493" s="11"/>
      <c r="J493" s="168"/>
      <c r="K493" s="11"/>
      <c r="L493" s="168"/>
      <c r="M493" s="11"/>
      <c r="N493" s="168"/>
      <c r="O493" s="168"/>
      <c r="P493" s="124"/>
    </row>
    <row r="494" spans="2:16" outlineLevel="1" x14ac:dyDescent="0.4">
      <c r="B494" s="110"/>
      <c r="C494" s="115"/>
      <c r="D494" s="111"/>
      <c r="E494" s="111" t="s">
        <v>151</v>
      </c>
      <c r="F494" s="111" t="s">
        <v>41</v>
      </c>
      <c r="G494" s="113">
        <f>1/0.06*1.1</f>
        <v>18.333333333333336</v>
      </c>
      <c r="H494" s="113">
        <f>G494*H493</f>
        <v>227.33333333333337</v>
      </c>
      <c r="I494" s="16"/>
      <c r="J494" s="16"/>
      <c r="K494" s="16"/>
      <c r="L494" s="16"/>
      <c r="M494" s="16"/>
      <c r="N494" s="16"/>
      <c r="O494" s="20"/>
      <c r="P494" s="124"/>
    </row>
    <row r="495" spans="2:16" outlineLevel="1" x14ac:dyDescent="0.4">
      <c r="B495" s="110"/>
      <c r="C495" s="115"/>
      <c r="D495" s="111"/>
      <c r="E495" s="111" t="s">
        <v>151</v>
      </c>
      <c r="F495" s="111" t="s">
        <v>41</v>
      </c>
      <c r="G495" s="113">
        <v>1</v>
      </c>
      <c r="H495" s="113">
        <f>G495*H493</f>
        <v>12.4</v>
      </c>
      <c r="I495" s="16"/>
      <c r="J495" s="16"/>
      <c r="K495" s="16"/>
      <c r="L495" s="16"/>
      <c r="M495" s="16"/>
      <c r="N495" s="16"/>
      <c r="O495" s="20"/>
      <c r="P495" s="124"/>
    </row>
    <row r="496" spans="2:16" outlineLevel="1" x14ac:dyDescent="0.4">
      <c r="B496" s="110"/>
      <c r="C496" s="115"/>
      <c r="D496" s="111"/>
      <c r="E496" s="111" t="s">
        <v>152</v>
      </c>
      <c r="F496" s="111" t="s">
        <v>41</v>
      </c>
      <c r="G496" s="113">
        <v>0.08</v>
      </c>
      <c r="H496" s="113">
        <f>G496*H493</f>
        <v>0.9920000000000001</v>
      </c>
      <c r="I496" s="16"/>
      <c r="J496" s="16"/>
      <c r="K496" s="16"/>
      <c r="L496" s="16"/>
      <c r="M496" s="16"/>
      <c r="N496" s="16"/>
      <c r="O496" s="20"/>
      <c r="P496" s="124"/>
    </row>
    <row r="497" spans="2:18" outlineLevel="1" x14ac:dyDescent="0.4">
      <c r="B497" s="110"/>
      <c r="C497" s="115"/>
      <c r="D497" s="111"/>
      <c r="E497" s="111" t="s">
        <v>154</v>
      </c>
      <c r="F497" s="111" t="s">
        <v>1</v>
      </c>
      <c r="G497" s="113">
        <v>2</v>
      </c>
      <c r="H497" s="113">
        <f>G497*H493</f>
        <v>24.8</v>
      </c>
      <c r="I497" s="16"/>
      <c r="J497" s="16"/>
      <c r="K497" s="16"/>
      <c r="L497" s="16"/>
      <c r="M497" s="16"/>
      <c r="N497" s="16"/>
      <c r="O497" s="20"/>
      <c r="P497" s="124"/>
    </row>
    <row r="498" spans="2:18" outlineLevel="1" x14ac:dyDescent="0.4">
      <c r="B498" s="110"/>
      <c r="C498" s="115"/>
      <c r="D498" s="111"/>
      <c r="E498" s="111" t="s">
        <v>153</v>
      </c>
      <c r="F498" s="111" t="s">
        <v>1</v>
      </c>
      <c r="G498" s="113">
        <v>2</v>
      </c>
      <c r="H498" s="113">
        <f>G498*H493</f>
        <v>24.8</v>
      </c>
      <c r="I498" s="16"/>
      <c r="J498" s="16"/>
      <c r="K498" s="16"/>
      <c r="L498" s="16"/>
      <c r="M498" s="16"/>
      <c r="N498" s="16"/>
      <c r="O498" s="20"/>
      <c r="P498" s="124"/>
    </row>
    <row r="499" spans="2:18" outlineLevel="1" x14ac:dyDescent="0.4">
      <c r="B499" s="110"/>
      <c r="C499" s="115"/>
      <c r="D499" s="111"/>
      <c r="E499" s="111" t="s">
        <v>119</v>
      </c>
      <c r="F499" s="111" t="s">
        <v>56</v>
      </c>
      <c r="G499" s="113">
        <v>0.1</v>
      </c>
      <c r="H499" s="113">
        <f>G499*H493</f>
        <v>1.2400000000000002</v>
      </c>
      <c r="I499" s="16"/>
      <c r="J499" s="16"/>
      <c r="K499" s="16"/>
      <c r="L499" s="16"/>
      <c r="M499" s="16"/>
      <c r="N499" s="16"/>
      <c r="O499" s="20"/>
      <c r="P499" s="124"/>
    </row>
    <row r="500" spans="2:18" outlineLevel="1" x14ac:dyDescent="0.4">
      <c r="B500" s="110"/>
      <c r="C500" s="115"/>
      <c r="D500" s="111"/>
      <c r="E500" s="111" t="s">
        <v>70</v>
      </c>
      <c r="F500" s="111" t="s">
        <v>41</v>
      </c>
      <c r="G500" s="113">
        <v>1</v>
      </c>
      <c r="H500" s="113">
        <f>G500*H493</f>
        <v>12.4</v>
      </c>
      <c r="I500" s="16"/>
      <c r="J500" s="16"/>
      <c r="K500" s="16"/>
      <c r="L500" s="16"/>
      <c r="M500" s="16"/>
      <c r="N500" s="16"/>
      <c r="O500" s="20"/>
      <c r="P500" s="124"/>
    </row>
    <row r="501" spans="2:18" x14ac:dyDescent="0.3">
      <c r="B501" s="74"/>
      <c r="C501" s="86"/>
      <c r="D501" s="75"/>
      <c r="E501" s="76" t="s">
        <v>199</v>
      </c>
      <c r="F501" s="75"/>
      <c r="G501" s="75"/>
      <c r="H501" s="75"/>
      <c r="I501" s="80"/>
      <c r="J501" s="80"/>
      <c r="K501" s="80"/>
      <c r="L501" s="80"/>
      <c r="M501" s="80"/>
      <c r="N501" s="80"/>
      <c r="O501" s="80"/>
      <c r="P501" s="124"/>
    </row>
    <row r="502" spans="2:18" ht="168" outlineLevel="1" x14ac:dyDescent="0.3">
      <c r="B502" s="110"/>
      <c r="C502" s="147" t="s">
        <v>460</v>
      </c>
      <c r="D502" s="111"/>
      <c r="E502" s="112" t="s">
        <v>311</v>
      </c>
      <c r="F502" s="166" t="s">
        <v>44</v>
      </c>
      <c r="G502" s="167"/>
      <c r="H502" s="167">
        <v>18.100000000000001</v>
      </c>
      <c r="I502" s="11"/>
      <c r="J502" s="168"/>
      <c r="K502" s="11"/>
      <c r="L502" s="168"/>
      <c r="M502" s="11"/>
      <c r="N502" s="168"/>
      <c r="O502" s="168"/>
      <c r="P502" s="124"/>
      <c r="Q502" s="178"/>
      <c r="R502" s="179"/>
    </row>
    <row r="503" spans="2:18" ht="23.4" outlineLevel="1" x14ac:dyDescent="0.4">
      <c r="B503" s="110"/>
      <c r="C503" s="115"/>
      <c r="D503" s="111"/>
      <c r="E503" s="111" t="s">
        <v>307</v>
      </c>
      <c r="F503" s="111" t="s">
        <v>45</v>
      </c>
      <c r="G503" s="113">
        <v>1</v>
      </c>
      <c r="H503" s="113">
        <f>G503*H502</f>
        <v>18.100000000000001</v>
      </c>
      <c r="I503" s="16"/>
      <c r="J503" s="16"/>
      <c r="K503" s="16"/>
      <c r="L503" s="16"/>
      <c r="M503" s="16"/>
      <c r="N503" s="16"/>
      <c r="O503" s="20"/>
      <c r="P503" s="124"/>
      <c r="Q503" s="178"/>
    </row>
    <row r="504" spans="2:18" outlineLevel="1" x14ac:dyDescent="0.4">
      <c r="B504" s="110"/>
      <c r="C504" s="115"/>
      <c r="D504" s="111"/>
      <c r="E504" s="111" t="s">
        <v>223</v>
      </c>
      <c r="F504" s="111" t="s">
        <v>41</v>
      </c>
      <c r="G504" s="113">
        <v>1.5</v>
      </c>
      <c r="H504" s="113">
        <f>G504*H502</f>
        <v>27.150000000000002</v>
      </c>
      <c r="I504" s="16"/>
      <c r="J504" s="16"/>
      <c r="K504" s="16"/>
      <c r="L504" s="16"/>
      <c r="M504" s="16"/>
      <c r="N504" s="16"/>
      <c r="O504" s="20"/>
      <c r="P504" s="124"/>
    </row>
    <row r="505" spans="2:18" ht="23.4" outlineLevel="1" x14ac:dyDescent="0.4">
      <c r="B505" s="110"/>
      <c r="C505" s="115"/>
      <c r="D505" s="111"/>
      <c r="E505" s="111" t="s">
        <v>306</v>
      </c>
      <c r="F505" s="111" t="s">
        <v>45</v>
      </c>
      <c r="G505" s="113">
        <v>1</v>
      </c>
      <c r="H505" s="113">
        <f>G505*H502</f>
        <v>18.100000000000001</v>
      </c>
      <c r="I505" s="16"/>
      <c r="J505" s="16"/>
      <c r="K505" s="16"/>
      <c r="L505" s="16"/>
      <c r="M505" s="16"/>
      <c r="N505" s="16"/>
      <c r="O505" s="20"/>
      <c r="P505" s="124"/>
    </row>
    <row r="506" spans="2:18" outlineLevel="1" x14ac:dyDescent="0.4">
      <c r="B506" s="110"/>
      <c r="C506" s="115"/>
      <c r="D506" s="111"/>
      <c r="E506" s="111" t="s">
        <v>221</v>
      </c>
      <c r="F506" s="111" t="s">
        <v>77</v>
      </c>
      <c r="G506" s="113">
        <v>0.02</v>
      </c>
      <c r="H506" s="113">
        <f>G506*H502</f>
        <v>0.36200000000000004</v>
      </c>
      <c r="I506" s="16"/>
      <c r="J506" s="16"/>
      <c r="K506" s="16"/>
      <c r="L506" s="16"/>
      <c r="M506" s="16"/>
      <c r="N506" s="16"/>
      <c r="O506" s="20"/>
      <c r="P506" s="124"/>
    </row>
    <row r="507" spans="2:18" ht="23.4" outlineLevel="1" x14ac:dyDescent="0.4">
      <c r="B507" s="110"/>
      <c r="C507" s="115"/>
      <c r="D507" s="111"/>
      <c r="E507" s="111" t="s">
        <v>224</v>
      </c>
      <c r="F507" s="111" t="s">
        <v>45</v>
      </c>
      <c r="G507" s="113">
        <v>1</v>
      </c>
      <c r="H507" s="113">
        <f>G507*H502</f>
        <v>18.100000000000001</v>
      </c>
      <c r="I507" s="16"/>
      <c r="J507" s="16"/>
      <c r="K507" s="16"/>
      <c r="L507" s="16"/>
      <c r="M507" s="16"/>
      <c r="N507" s="16"/>
      <c r="O507" s="20"/>
      <c r="P507" s="124"/>
    </row>
    <row r="508" spans="2:18" outlineLevel="1" x14ac:dyDescent="0.4">
      <c r="B508" s="110"/>
      <c r="C508" s="115"/>
      <c r="D508" s="111"/>
      <c r="E508" s="111"/>
      <c r="F508" s="111"/>
      <c r="G508" s="113"/>
      <c r="H508" s="113"/>
      <c r="I508" s="16"/>
      <c r="J508" s="16"/>
      <c r="K508" s="16"/>
      <c r="L508" s="16"/>
      <c r="M508" s="16"/>
      <c r="N508" s="16"/>
      <c r="O508" s="20"/>
      <c r="P508" s="124"/>
    </row>
    <row r="509" spans="2:18" outlineLevel="1" x14ac:dyDescent="0.3">
      <c r="B509" s="110"/>
      <c r="C509" s="147" t="s">
        <v>467</v>
      </c>
      <c r="D509" s="111"/>
      <c r="E509" s="112" t="s">
        <v>200</v>
      </c>
      <c r="F509" s="166" t="s">
        <v>1</v>
      </c>
      <c r="G509" s="167"/>
      <c r="H509" s="167">
        <v>2</v>
      </c>
      <c r="I509" s="11"/>
      <c r="J509" s="168"/>
      <c r="K509" s="11"/>
      <c r="L509" s="168"/>
      <c r="M509" s="11"/>
      <c r="N509" s="168"/>
      <c r="O509" s="168"/>
      <c r="P509" s="124"/>
    </row>
    <row r="510" spans="2:18" outlineLevel="1" x14ac:dyDescent="0.4">
      <c r="B510" s="110"/>
      <c r="C510" s="115"/>
      <c r="D510" s="111"/>
      <c r="E510" s="111" t="s">
        <v>61</v>
      </c>
      <c r="F510" s="111" t="s">
        <v>1</v>
      </c>
      <c r="G510" s="113">
        <v>1</v>
      </c>
      <c r="H510" s="113">
        <f>G510*H509</f>
        <v>2</v>
      </c>
      <c r="I510" s="16"/>
      <c r="J510" s="16"/>
      <c r="K510" s="16"/>
      <c r="L510" s="16"/>
      <c r="M510" s="16"/>
      <c r="N510" s="16"/>
      <c r="O510" s="20"/>
      <c r="P510" s="124"/>
    </row>
    <row r="511" spans="2:18" outlineLevel="1" x14ac:dyDescent="0.4">
      <c r="B511" s="110"/>
      <c r="C511" s="115"/>
      <c r="D511" s="111"/>
      <c r="E511" s="111" t="s">
        <v>155</v>
      </c>
      <c r="F511" s="111" t="s">
        <v>1</v>
      </c>
      <c r="G511" s="113">
        <v>1</v>
      </c>
      <c r="H511" s="113">
        <f>G511*H509</f>
        <v>2</v>
      </c>
      <c r="I511" s="16"/>
      <c r="J511" s="16"/>
      <c r="K511" s="16"/>
      <c r="L511" s="16"/>
      <c r="M511" s="16"/>
      <c r="N511" s="16"/>
      <c r="O511" s="20"/>
      <c r="P511" s="124"/>
    </row>
    <row r="512" spans="2:18" outlineLevel="1" x14ac:dyDescent="0.4">
      <c r="B512" s="110"/>
      <c r="C512" s="115"/>
      <c r="D512" s="111"/>
      <c r="E512" s="111" t="s">
        <v>157</v>
      </c>
      <c r="F512" s="111" t="s">
        <v>1</v>
      </c>
      <c r="G512" s="113">
        <v>1</v>
      </c>
      <c r="H512" s="113">
        <f>G512*H509</f>
        <v>2</v>
      </c>
      <c r="I512" s="16"/>
      <c r="J512" s="16"/>
      <c r="K512" s="16"/>
      <c r="L512" s="16"/>
      <c r="M512" s="16"/>
      <c r="N512" s="16"/>
      <c r="O512" s="20"/>
      <c r="P512" s="124"/>
    </row>
    <row r="513" spans="2:18" outlineLevel="1" x14ac:dyDescent="0.4">
      <c r="B513" s="110"/>
      <c r="C513" s="115"/>
      <c r="D513" s="111"/>
      <c r="E513" s="111" t="s">
        <v>156</v>
      </c>
      <c r="F513" s="111" t="s">
        <v>1</v>
      </c>
      <c r="G513" s="113">
        <v>3</v>
      </c>
      <c r="H513" s="113">
        <f>G513*H509</f>
        <v>6</v>
      </c>
      <c r="I513" s="16"/>
      <c r="J513" s="16"/>
      <c r="K513" s="16"/>
      <c r="L513" s="16"/>
      <c r="M513" s="16"/>
      <c r="N513" s="16"/>
      <c r="O513" s="20"/>
      <c r="P513" s="124"/>
    </row>
    <row r="514" spans="2:18" outlineLevel="1" x14ac:dyDescent="0.4">
      <c r="B514" s="110"/>
      <c r="C514" s="115"/>
      <c r="D514" s="111"/>
      <c r="E514" s="111" t="s">
        <v>71</v>
      </c>
      <c r="F514" s="111" t="s">
        <v>1</v>
      </c>
      <c r="G514" s="113">
        <v>1</v>
      </c>
      <c r="H514" s="113">
        <f>G514*H509</f>
        <v>2</v>
      </c>
      <c r="I514" s="16"/>
      <c r="J514" s="16"/>
      <c r="K514" s="16"/>
      <c r="L514" s="16"/>
      <c r="M514" s="16"/>
      <c r="N514" s="16"/>
      <c r="O514" s="20"/>
      <c r="P514" s="124"/>
    </row>
    <row r="515" spans="2:18" outlineLevel="1" x14ac:dyDescent="0.4">
      <c r="B515" s="110"/>
      <c r="C515" s="115"/>
      <c r="D515" s="111"/>
      <c r="E515" s="111"/>
      <c r="F515" s="111"/>
      <c r="G515" s="113"/>
      <c r="H515" s="113"/>
      <c r="I515" s="16"/>
      <c r="J515" s="16"/>
      <c r="K515" s="16"/>
      <c r="L515" s="16"/>
      <c r="M515" s="16"/>
      <c r="N515" s="16"/>
      <c r="O515" s="20"/>
      <c r="P515" s="124"/>
    </row>
    <row r="516" spans="2:18" ht="168" outlineLevel="1" x14ac:dyDescent="0.3">
      <c r="B516" s="110"/>
      <c r="C516" s="147" t="s">
        <v>461</v>
      </c>
      <c r="D516" s="111"/>
      <c r="E516" s="112" t="s">
        <v>311</v>
      </c>
      <c r="F516" s="166" t="s">
        <v>44</v>
      </c>
      <c r="G516" s="167"/>
      <c r="H516" s="167">
        <v>25.526</v>
      </c>
      <c r="I516" s="11"/>
      <c r="J516" s="168"/>
      <c r="K516" s="11"/>
      <c r="L516" s="168"/>
      <c r="M516" s="11"/>
      <c r="N516" s="168"/>
      <c r="O516" s="168"/>
      <c r="P516" s="124"/>
      <c r="Q516" s="178"/>
      <c r="R516" s="179"/>
    </row>
    <row r="517" spans="2:18" ht="23.4" outlineLevel="1" x14ac:dyDescent="0.4">
      <c r="B517" s="110"/>
      <c r="C517" s="115"/>
      <c r="D517" s="111"/>
      <c r="E517" s="111" t="s">
        <v>307</v>
      </c>
      <c r="F517" s="111" t="s">
        <v>45</v>
      </c>
      <c r="G517" s="113">
        <v>1</v>
      </c>
      <c r="H517" s="113">
        <f>G517*H516</f>
        <v>25.526</v>
      </c>
      <c r="I517" s="16"/>
      <c r="J517" s="16"/>
      <c r="K517" s="16"/>
      <c r="L517" s="16"/>
      <c r="M517" s="16"/>
      <c r="N517" s="16"/>
      <c r="O517" s="20"/>
      <c r="P517" s="124"/>
      <c r="Q517" s="178"/>
    </row>
    <row r="518" spans="2:18" outlineLevel="1" x14ac:dyDescent="0.4">
      <c r="B518" s="110"/>
      <c r="C518" s="115"/>
      <c r="D518" s="111"/>
      <c r="E518" s="111" t="s">
        <v>223</v>
      </c>
      <c r="F518" s="111" t="s">
        <v>41</v>
      </c>
      <c r="G518" s="113">
        <v>1.5</v>
      </c>
      <c r="H518" s="113">
        <f>G518*H516</f>
        <v>38.289000000000001</v>
      </c>
      <c r="I518" s="16"/>
      <c r="J518" s="16"/>
      <c r="K518" s="16"/>
      <c r="L518" s="16"/>
      <c r="M518" s="16"/>
      <c r="N518" s="16"/>
      <c r="O518" s="20"/>
      <c r="P518" s="124"/>
    </row>
    <row r="519" spans="2:18" ht="23.4" outlineLevel="1" x14ac:dyDescent="0.4">
      <c r="B519" s="110"/>
      <c r="C519" s="115"/>
      <c r="D519" s="111"/>
      <c r="E519" s="111" t="s">
        <v>306</v>
      </c>
      <c r="F519" s="111" t="s">
        <v>45</v>
      </c>
      <c r="G519" s="113">
        <v>1</v>
      </c>
      <c r="H519" s="113">
        <f>G519*H516</f>
        <v>25.526</v>
      </c>
      <c r="I519" s="16"/>
      <c r="J519" s="16"/>
      <c r="K519" s="16"/>
      <c r="L519" s="16"/>
      <c r="M519" s="16"/>
      <c r="N519" s="16"/>
      <c r="O519" s="20"/>
      <c r="P519" s="124"/>
    </row>
    <row r="520" spans="2:18" outlineLevel="1" x14ac:dyDescent="0.4">
      <c r="B520" s="110"/>
      <c r="C520" s="115"/>
      <c r="D520" s="111"/>
      <c r="E520" s="111" t="s">
        <v>221</v>
      </c>
      <c r="F520" s="111" t="s">
        <v>77</v>
      </c>
      <c r="G520" s="113">
        <v>0.02</v>
      </c>
      <c r="H520" s="113">
        <f>G520*H516</f>
        <v>0.51051999999999997</v>
      </c>
      <c r="I520" s="16"/>
      <c r="J520" s="16"/>
      <c r="K520" s="16"/>
      <c r="L520" s="16"/>
      <c r="M520" s="16"/>
      <c r="N520" s="16"/>
      <c r="O520" s="20"/>
      <c r="P520" s="124"/>
    </row>
    <row r="521" spans="2:18" ht="23.4" outlineLevel="1" x14ac:dyDescent="0.4">
      <c r="B521" s="110"/>
      <c r="C521" s="115"/>
      <c r="D521" s="111"/>
      <c r="E521" s="111" t="s">
        <v>224</v>
      </c>
      <c r="F521" s="111" t="s">
        <v>45</v>
      </c>
      <c r="G521" s="113">
        <v>1</v>
      </c>
      <c r="H521" s="113">
        <f>G521*H516</f>
        <v>25.526</v>
      </c>
      <c r="I521" s="16"/>
      <c r="J521" s="16"/>
      <c r="K521" s="16"/>
      <c r="L521" s="16"/>
      <c r="M521" s="16"/>
      <c r="N521" s="16"/>
      <c r="O521" s="20"/>
      <c r="P521" s="124"/>
    </row>
    <row r="522" spans="2:18" outlineLevel="1" x14ac:dyDescent="0.4">
      <c r="B522" s="110"/>
      <c r="C522" s="115"/>
      <c r="D522" s="111"/>
      <c r="E522" s="111"/>
      <c r="F522" s="111"/>
      <c r="G522" s="113"/>
      <c r="H522" s="113"/>
      <c r="I522" s="16"/>
      <c r="J522" s="16"/>
      <c r="K522" s="16"/>
      <c r="L522" s="16"/>
      <c r="M522" s="16"/>
      <c r="N522" s="16"/>
      <c r="O522" s="20"/>
      <c r="P522" s="124"/>
    </row>
    <row r="523" spans="2:18" outlineLevel="1" x14ac:dyDescent="0.3">
      <c r="B523" s="110"/>
      <c r="C523" s="147" t="s">
        <v>468</v>
      </c>
      <c r="D523" s="111"/>
      <c r="E523" s="112" t="s">
        <v>200</v>
      </c>
      <c r="F523" s="166" t="s">
        <v>1</v>
      </c>
      <c r="G523" s="167"/>
      <c r="H523" s="167">
        <v>2</v>
      </c>
      <c r="I523" s="11"/>
      <c r="J523" s="168"/>
      <c r="K523" s="11"/>
      <c r="L523" s="168"/>
      <c r="M523" s="11"/>
      <c r="N523" s="168"/>
      <c r="O523" s="168"/>
      <c r="P523" s="124"/>
    </row>
    <row r="524" spans="2:18" outlineLevel="1" x14ac:dyDescent="0.4">
      <c r="B524" s="110"/>
      <c r="C524" s="115"/>
      <c r="D524" s="111"/>
      <c r="E524" s="111" t="s">
        <v>61</v>
      </c>
      <c r="F524" s="111" t="s">
        <v>1</v>
      </c>
      <c r="G524" s="113">
        <v>1</v>
      </c>
      <c r="H524" s="113">
        <f>G524*H523</f>
        <v>2</v>
      </c>
      <c r="I524" s="16"/>
      <c r="J524" s="16"/>
      <c r="K524" s="16"/>
      <c r="L524" s="16"/>
      <c r="M524" s="16"/>
      <c r="N524" s="16"/>
      <c r="O524" s="20"/>
      <c r="P524" s="124"/>
    </row>
    <row r="525" spans="2:18" outlineLevel="1" x14ac:dyDescent="0.4">
      <c r="B525" s="110"/>
      <c r="C525" s="115"/>
      <c r="D525" s="111"/>
      <c r="E525" s="111" t="s">
        <v>155</v>
      </c>
      <c r="F525" s="111" t="s">
        <v>1</v>
      </c>
      <c r="G525" s="113">
        <v>1</v>
      </c>
      <c r="H525" s="113">
        <f>G525*H523</f>
        <v>2</v>
      </c>
      <c r="I525" s="16"/>
      <c r="J525" s="16"/>
      <c r="K525" s="16"/>
      <c r="L525" s="16"/>
      <c r="M525" s="16"/>
      <c r="N525" s="16"/>
      <c r="O525" s="20"/>
      <c r="P525" s="124"/>
    </row>
    <row r="526" spans="2:18" outlineLevel="1" x14ac:dyDescent="0.4">
      <c r="B526" s="110"/>
      <c r="C526" s="115"/>
      <c r="D526" s="111"/>
      <c r="E526" s="111" t="s">
        <v>157</v>
      </c>
      <c r="F526" s="111" t="s">
        <v>1</v>
      </c>
      <c r="G526" s="113">
        <v>1</v>
      </c>
      <c r="H526" s="113">
        <f>G526*H523</f>
        <v>2</v>
      </c>
      <c r="I526" s="16"/>
      <c r="J526" s="16"/>
      <c r="K526" s="16"/>
      <c r="L526" s="16"/>
      <c r="M526" s="16"/>
      <c r="N526" s="16"/>
      <c r="O526" s="20"/>
      <c r="P526" s="124"/>
    </row>
    <row r="527" spans="2:18" outlineLevel="1" x14ac:dyDescent="0.4">
      <c r="B527" s="110"/>
      <c r="C527" s="115"/>
      <c r="D527" s="111"/>
      <c r="E527" s="111" t="s">
        <v>156</v>
      </c>
      <c r="F527" s="111" t="s">
        <v>1</v>
      </c>
      <c r="G527" s="113">
        <v>3</v>
      </c>
      <c r="H527" s="113">
        <f>G527*H523</f>
        <v>6</v>
      </c>
      <c r="I527" s="16"/>
      <c r="J527" s="16"/>
      <c r="K527" s="16"/>
      <c r="L527" s="16"/>
      <c r="M527" s="16"/>
      <c r="N527" s="16"/>
      <c r="O527" s="20"/>
      <c r="P527" s="124"/>
    </row>
    <row r="528" spans="2:18" outlineLevel="1" x14ac:dyDescent="0.4">
      <c r="B528" s="110"/>
      <c r="C528" s="115"/>
      <c r="D528" s="111"/>
      <c r="E528" s="111" t="s">
        <v>71</v>
      </c>
      <c r="F528" s="111" t="s">
        <v>1</v>
      </c>
      <c r="G528" s="113">
        <v>1</v>
      </c>
      <c r="H528" s="113">
        <f>G528*H523</f>
        <v>2</v>
      </c>
      <c r="I528" s="16"/>
      <c r="J528" s="16"/>
      <c r="K528" s="16"/>
      <c r="L528" s="16"/>
      <c r="M528" s="16"/>
      <c r="N528" s="16"/>
      <c r="O528" s="20"/>
      <c r="P528" s="124"/>
    </row>
    <row r="529" spans="2:18" outlineLevel="1" x14ac:dyDescent="0.4">
      <c r="B529" s="110"/>
      <c r="C529" s="115"/>
      <c r="D529" s="111"/>
      <c r="E529" s="111"/>
      <c r="F529" s="111"/>
      <c r="G529" s="113"/>
      <c r="H529" s="113"/>
      <c r="I529" s="16"/>
      <c r="J529" s="16"/>
      <c r="K529" s="16"/>
      <c r="L529" s="16"/>
      <c r="M529" s="16"/>
      <c r="N529" s="16"/>
      <c r="O529" s="20"/>
      <c r="P529" s="124"/>
    </row>
    <row r="530" spans="2:18" ht="168" outlineLevel="1" x14ac:dyDescent="0.3">
      <c r="B530" s="110"/>
      <c r="C530" s="147" t="s">
        <v>462</v>
      </c>
      <c r="D530" s="111"/>
      <c r="E530" s="112" t="s">
        <v>311</v>
      </c>
      <c r="F530" s="166" t="s">
        <v>44</v>
      </c>
      <c r="G530" s="167"/>
      <c r="H530" s="167">
        <v>31.390999999999998</v>
      </c>
      <c r="I530" s="11"/>
      <c r="J530" s="168"/>
      <c r="K530" s="11"/>
      <c r="L530" s="168"/>
      <c r="M530" s="11"/>
      <c r="N530" s="168"/>
      <c r="O530" s="168"/>
      <c r="P530" s="124"/>
      <c r="Q530" s="178"/>
      <c r="R530" s="179"/>
    </row>
    <row r="531" spans="2:18" ht="23.4" outlineLevel="1" x14ac:dyDescent="0.4">
      <c r="B531" s="110"/>
      <c r="C531" s="115"/>
      <c r="D531" s="111"/>
      <c r="E531" s="111" t="s">
        <v>307</v>
      </c>
      <c r="F531" s="111" t="s">
        <v>45</v>
      </c>
      <c r="G531" s="113">
        <v>1</v>
      </c>
      <c r="H531" s="113">
        <f>G531*H530</f>
        <v>31.390999999999998</v>
      </c>
      <c r="I531" s="16"/>
      <c r="J531" s="16"/>
      <c r="K531" s="16"/>
      <c r="L531" s="16"/>
      <c r="M531" s="16"/>
      <c r="N531" s="16"/>
      <c r="O531" s="20"/>
      <c r="P531" s="124"/>
      <c r="Q531" s="178"/>
    </row>
    <row r="532" spans="2:18" outlineLevel="1" x14ac:dyDescent="0.4">
      <c r="B532" s="110"/>
      <c r="C532" s="115"/>
      <c r="D532" s="111"/>
      <c r="E532" s="111" t="s">
        <v>223</v>
      </c>
      <c r="F532" s="111" t="s">
        <v>41</v>
      </c>
      <c r="G532" s="113">
        <v>1.5</v>
      </c>
      <c r="H532" s="113">
        <f>G532*H530</f>
        <v>47.086500000000001</v>
      </c>
      <c r="I532" s="16"/>
      <c r="J532" s="16"/>
      <c r="K532" s="16"/>
      <c r="L532" s="16"/>
      <c r="M532" s="16"/>
      <c r="N532" s="16"/>
      <c r="O532" s="20"/>
      <c r="P532" s="124"/>
    </row>
    <row r="533" spans="2:18" ht="23.4" outlineLevel="1" x14ac:dyDescent="0.4">
      <c r="B533" s="110"/>
      <c r="C533" s="115"/>
      <c r="D533" s="111"/>
      <c r="E533" s="111" t="s">
        <v>306</v>
      </c>
      <c r="F533" s="111" t="s">
        <v>45</v>
      </c>
      <c r="G533" s="113">
        <v>1</v>
      </c>
      <c r="H533" s="113">
        <f>G533*H530</f>
        <v>31.390999999999998</v>
      </c>
      <c r="I533" s="16"/>
      <c r="J533" s="16"/>
      <c r="K533" s="16"/>
      <c r="L533" s="16"/>
      <c r="M533" s="16"/>
      <c r="N533" s="16"/>
      <c r="O533" s="20"/>
      <c r="P533" s="124"/>
    </row>
    <row r="534" spans="2:18" outlineLevel="1" x14ac:dyDescent="0.4">
      <c r="B534" s="110"/>
      <c r="C534" s="115"/>
      <c r="D534" s="111"/>
      <c r="E534" s="111" t="s">
        <v>221</v>
      </c>
      <c r="F534" s="111" t="s">
        <v>77</v>
      </c>
      <c r="G534" s="113">
        <v>0.02</v>
      </c>
      <c r="H534" s="113">
        <f>G534*H530</f>
        <v>0.62781999999999993</v>
      </c>
      <c r="I534" s="16"/>
      <c r="J534" s="16"/>
      <c r="K534" s="16"/>
      <c r="L534" s="16"/>
      <c r="M534" s="16"/>
      <c r="N534" s="16"/>
      <c r="O534" s="20"/>
      <c r="P534" s="124"/>
    </row>
    <row r="535" spans="2:18" ht="23.4" outlineLevel="1" x14ac:dyDescent="0.4">
      <c r="B535" s="110"/>
      <c r="C535" s="115"/>
      <c r="D535" s="111"/>
      <c r="E535" s="111" t="s">
        <v>224</v>
      </c>
      <c r="F535" s="111" t="s">
        <v>45</v>
      </c>
      <c r="G535" s="113">
        <v>1</v>
      </c>
      <c r="H535" s="113">
        <f>G535*H530</f>
        <v>31.390999999999998</v>
      </c>
      <c r="I535" s="16"/>
      <c r="J535" s="16"/>
      <c r="K535" s="16"/>
      <c r="L535" s="16"/>
      <c r="M535" s="16"/>
      <c r="N535" s="16"/>
      <c r="O535" s="20"/>
      <c r="P535" s="124"/>
    </row>
    <row r="536" spans="2:18" outlineLevel="1" x14ac:dyDescent="0.4">
      <c r="B536" s="110"/>
      <c r="C536" s="115"/>
      <c r="D536" s="111"/>
      <c r="E536" s="111"/>
      <c r="F536" s="111"/>
      <c r="G536" s="113"/>
      <c r="H536" s="113"/>
      <c r="I536" s="16"/>
      <c r="J536" s="16"/>
      <c r="K536" s="16"/>
      <c r="L536" s="16"/>
      <c r="M536" s="16"/>
      <c r="N536" s="16"/>
      <c r="O536" s="20"/>
      <c r="P536" s="124"/>
    </row>
    <row r="537" spans="2:18" outlineLevel="1" x14ac:dyDescent="0.3">
      <c r="B537" s="110"/>
      <c r="C537" s="147" t="s">
        <v>469</v>
      </c>
      <c r="D537" s="111"/>
      <c r="E537" s="112" t="s">
        <v>200</v>
      </c>
      <c r="F537" s="166" t="s">
        <v>1</v>
      </c>
      <c r="G537" s="167"/>
      <c r="H537" s="167">
        <v>2</v>
      </c>
      <c r="I537" s="11"/>
      <c r="J537" s="168"/>
      <c r="K537" s="11"/>
      <c r="L537" s="168"/>
      <c r="M537" s="11"/>
      <c r="N537" s="168"/>
      <c r="O537" s="168"/>
      <c r="P537" s="124"/>
    </row>
    <row r="538" spans="2:18" outlineLevel="1" x14ac:dyDescent="0.4">
      <c r="B538" s="110"/>
      <c r="C538" s="115"/>
      <c r="D538" s="111"/>
      <c r="E538" s="111" t="s">
        <v>61</v>
      </c>
      <c r="F538" s="111" t="s">
        <v>1</v>
      </c>
      <c r="G538" s="113">
        <v>1</v>
      </c>
      <c r="H538" s="113">
        <f>G538*H537</f>
        <v>2</v>
      </c>
      <c r="I538" s="16"/>
      <c r="J538" s="16"/>
      <c r="K538" s="16"/>
      <c r="L538" s="16"/>
      <c r="M538" s="16"/>
      <c r="N538" s="16"/>
      <c r="O538" s="20"/>
      <c r="P538" s="124"/>
    </row>
    <row r="539" spans="2:18" outlineLevel="1" x14ac:dyDescent="0.4">
      <c r="B539" s="110"/>
      <c r="C539" s="115"/>
      <c r="D539" s="111"/>
      <c r="E539" s="111" t="s">
        <v>155</v>
      </c>
      <c r="F539" s="111" t="s">
        <v>1</v>
      </c>
      <c r="G539" s="113">
        <v>1</v>
      </c>
      <c r="H539" s="113">
        <f>G539*H537</f>
        <v>2</v>
      </c>
      <c r="I539" s="16"/>
      <c r="J539" s="16"/>
      <c r="K539" s="16"/>
      <c r="L539" s="16"/>
      <c r="M539" s="16"/>
      <c r="N539" s="16"/>
      <c r="O539" s="20"/>
      <c r="P539" s="124"/>
    </row>
    <row r="540" spans="2:18" outlineLevel="1" x14ac:dyDescent="0.4">
      <c r="B540" s="110"/>
      <c r="C540" s="115"/>
      <c r="D540" s="111"/>
      <c r="E540" s="111" t="s">
        <v>157</v>
      </c>
      <c r="F540" s="111" t="s">
        <v>1</v>
      </c>
      <c r="G540" s="113">
        <v>1</v>
      </c>
      <c r="H540" s="113">
        <f>G540*H537</f>
        <v>2</v>
      </c>
      <c r="I540" s="16"/>
      <c r="J540" s="16"/>
      <c r="K540" s="16"/>
      <c r="L540" s="16"/>
      <c r="M540" s="16"/>
      <c r="N540" s="16"/>
      <c r="O540" s="20"/>
      <c r="P540" s="124"/>
    </row>
    <row r="541" spans="2:18" outlineLevel="1" x14ac:dyDescent="0.4">
      <c r="B541" s="110"/>
      <c r="C541" s="115"/>
      <c r="D541" s="111"/>
      <c r="E541" s="111" t="s">
        <v>156</v>
      </c>
      <c r="F541" s="111" t="s">
        <v>1</v>
      </c>
      <c r="G541" s="113">
        <v>3</v>
      </c>
      <c r="H541" s="113">
        <f>G541*H537</f>
        <v>6</v>
      </c>
      <c r="I541" s="16"/>
      <c r="J541" s="16"/>
      <c r="K541" s="16"/>
      <c r="L541" s="16"/>
      <c r="M541" s="16"/>
      <c r="N541" s="16"/>
      <c r="O541" s="20"/>
      <c r="P541" s="124"/>
    </row>
    <row r="542" spans="2:18" outlineLevel="1" x14ac:dyDescent="0.4">
      <c r="B542" s="110"/>
      <c r="C542" s="115"/>
      <c r="D542" s="111"/>
      <c r="E542" s="111" t="s">
        <v>71</v>
      </c>
      <c r="F542" s="111" t="s">
        <v>1</v>
      </c>
      <c r="G542" s="113">
        <v>1</v>
      </c>
      <c r="H542" s="113">
        <f>G542*H537</f>
        <v>2</v>
      </c>
      <c r="I542" s="16"/>
      <c r="J542" s="16"/>
      <c r="K542" s="16"/>
      <c r="L542" s="16"/>
      <c r="M542" s="16"/>
      <c r="N542" s="16"/>
      <c r="O542" s="20"/>
      <c r="P542" s="124"/>
    </row>
    <row r="543" spans="2:18" outlineLevel="1" x14ac:dyDescent="0.4">
      <c r="B543" s="110"/>
      <c r="C543" s="115"/>
      <c r="D543" s="111"/>
      <c r="E543" s="111"/>
      <c r="F543" s="111"/>
      <c r="G543" s="113"/>
      <c r="H543" s="113"/>
      <c r="I543" s="16"/>
      <c r="J543" s="16"/>
      <c r="K543" s="16"/>
      <c r="L543" s="16"/>
      <c r="M543" s="16"/>
      <c r="N543" s="16"/>
      <c r="O543" s="20"/>
      <c r="P543" s="124"/>
    </row>
    <row r="544" spans="2:18" ht="168" outlineLevel="1" x14ac:dyDescent="0.3">
      <c r="B544" s="110"/>
      <c r="C544" s="147" t="s">
        <v>463</v>
      </c>
      <c r="D544" s="111"/>
      <c r="E544" s="112" t="s">
        <v>311</v>
      </c>
      <c r="F544" s="166" t="s">
        <v>44</v>
      </c>
      <c r="G544" s="167"/>
      <c r="H544" s="167">
        <v>10.194470000000001</v>
      </c>
      <c r="I544" s="11"/>
      <c r="J544" s="168"/>
      <c r="K544" s="11"/>
      <c r="L544" s="168"/>
      <c r="M544" s="11"/>
      <c r="N544" s="168"/>
      <c r="O544" s="168"/>
      <c r="P544" s="124"/>
      <c r="Q544" s="178"/>
      <c r="R544" s="179"/>
    </row>
    <row r="545" spans="2:17" ht="23.4" outlineLevel="1" x14ac:dyDescent="0.4">
      <c r="B545" s="110"/>
      <c r="C545" s="115"/>
      <c r="D545" s="111"/>
      <c r="E545" s="111" t="s">
        <v>307</v>
      </c>
      <c r="F545" s="111" t="s">
        <v>45</v>
      </c>
      <c r="G545" s="113">
        <v>1</v>
      </c>
      <c r="H545" s="113">
        <f>G545*H544</f>
        <v>10.194470000000001</v>
      </c>
      <c r="I545" s="16"/>
      <c r="J545" s="16"/>
      <c r="K545" s="16"/>
      <c r="L545" s="16"/>
      <c r="M545" s="16"/>
      <c r="N545" s="16"/>
      <c r="O545" s="20"/>
      <c r="P545" s="124"/>
      <c r="Q545" s="178"/>
    </row>
    <row r="546" spans="2:17" outlineLevel="1" x14ac:dyDescent="0.4">
      <c r="B546" s="110"/>
      <c r="C546" s="115"/>
      <c r="D546" s="111"/>
      <c r="E546" s="111" t="s">
        <v>223</v>
      </c>
      <c r="F546" s="111" t="s">
        <v>41</v>
      </c>
      <c r="G546" s="113">
        <v>1.5</v>
      </c>
      <c r="H546" s="113">
        <f>G546*H544</f>
        <v>15.291705</v>
      </c>
      <c r="I546" s="16"/>
      <c r="J546" s="16"/>
      <c r="K546" s="16"/>
      <c r="L546" s="16"/>
      <c r="M546" s="16"/>
      <c r="N546" s="16"/>
      <c r="O546" s="20"/>
      <c r="P546" s="124"/>
    </row>
    <row r="547" spans="2:17" ht="23.4" outlineLevel="1" x14ac:dyDescent="0.4">
      <c r="B547" s="110"/>
      <c r="C547" s="115"/>
      <c r="D547" s="111"/>
      <c r="E547" s="111" t="s">
        <v>306</v>
      </c>
      <c r="F547" s="111" t="s">
        <v>45</v>
      </c>
      <c r="G547" s="113">
        <v>1</v>
      </c>
      <c r="H547" s="113">
        <f>G547*H544</f>
        <v>10.194470000000001</v>
      </c>
      <c r="I547" s="16"/>
      <c r="J547" s="16"/>
      <c r="K547" s="16"/>
      <c r="L547" s="16"/>
      <c r="M547" s="16"/>
      <c r="N547" s="16"/>
      <c r="O547" s="20"/>
      <c r="P547" s="124"/>
    </row>
    <row r="548" spans="2:17" outlineLevel="1" x14ac:dyDescent="0.4">
      <c r="B548" s="110"/>
      <c r="C548" s="115"/>
      <c r="D548" s="111"/>
      <c r="E548" s="111" t="s">
        <v>221</v>
      </c>
      <c r="F548" s="111" t="s">
        <v>77</v>
      </c>
      <c r="G548" s="113">
        <v>0.02</v>
      </c>
      <c r="H548" s="113">
        <f>G548*H544</f>
        <v>0.20388940000000003</v>
      </c>
      <c r="I548" s="16"/>
      <c r="J548" s="16"/>
      <c r="K548" s="16"/>
      <c r="L548" s="16"/>
      <c r="M548" s="16"/>
      <c r="N548" s="16"/>
      <c r="O548" s="20"/>
      <c r="P548" s="124"/>
    </row>
    <row r="549" spans="2:17" ht="23.4" outlineLevel="1" x14ac:dyDescent="0.4">
      <c r="B549" s="110"/>
      <c r="C549" s="115"/>
      <c r="D549" s="111"/>
      <c r="E549" s="111" t="s">
        <v>224</v>
      </c>
      <c r="F549" s="111" t="s">
        <v>45</v>
      </c>
      <c r="G549" s="113">
        <v>1</v>
      </c>
      <c r="H549" s="113">
        <f>G549*H544</f>
        <v>10.194470000000001</v>
      </c>
      <c r="I549" s="16"/>
      <c r="J549" s="16"/>
      <c r="K549" s="16"/>
      <c r="L549" s="16"/>
      <c r="M549" s="16"/>
      <c r="N549" s="16"/>
      <c r="O549" s="20"/>
      <c r="P549" s="124"/>
    </row>
    <row r="550" spans="2:17" outlineLevel="1" x14ac:dyDescent="0.4">
      <c r="B550" s="110"/>
      <c r="C550" s="115"/>
      <c r="D550" s="111"/>
      <c r="E550" s="111"/>
      <c r="F550" s="111"/>
      <c r="G550" s="113"/>
      <c r="H550" s="113"/>
      <c r="I550" s="16"/>
      <c r="J550" s="16"/>
      <c r="K550" s="16"/>
      <c r="L550" s="16"/>
      <c r="M550" s="16"/>
      <c r="N550" s="16"/>
      <c r="O550" s="20"/>
      <c r="P550" s="124"/>
    </row>
    <row r="551" spans="2:17" x14ac:dyDescent="0.3">
      <c r="B551" s="74"/>
      <c r="C551" s="86"/>
      <c r="D551" s="75"/>
      <c r="E551" s="76" t="s">
        <v>148</v>
      </c>
      <c r="F551" s="75"/>
      <c r="G551" s="75"/>
      <c r="H551" s="81"/>
      <c r="I551" s="80"/>
      <c r="J551" s="80"/>
      <c r="K551" s="80"/>
      <c r="L551" s="80"/>
      <c r="M551" s="80"/>
      <c r="N551" s="80"/>
      <c r="O551" s="80"/>
      <c r="P551" s="124"/>
    </row>
    <row r="552" spans="2:17" outlineLevel="1" x14ac:dyDescent="0.3">
      <c r="B552" s="110"/>
      <c r="C552" s="115"/>
      <c r="D552" s="111"/>
      <c r="E552" s="112" t="s">
        <v>472</v>
      </c>
      <c r="F552" s="166" t="s">
        <v>23</v>
      </c>
      <c r="G552" s="167"/>
      <c r="H552" s="167">
        <v>180</v>
      </c>
      <c r="I552" s="224"/>
      <c r="J552" s="168"/>
      <c r="K552" s="224"/>
      <c r="L552" s="168"/>
      <c r="M552" s="11"/>
      <c r="N552" s="168"/>
      <c r="O552" s="168"/>
      <c r="P552" s="124"/>
    </row>
    <row r="553" spans="2:17" ht="23.4" outlineLevel="1" x14ac:dyDescent="0.3">
      <c r="B553" s="110"/>
      <c r="C553" s="115"/>
      <c r="D553" s="111"/>
      <c r="E553" s="115" t="s">
        <v>85</v>
      </c>
      <c r="F553" s="111" t="s">
        <v>45</v>
      </c>
      <c r="G553" s="113">
        <v>0.15</v>
      </c>
      <c r="H553" s="113">
        <f>G553*H552</f>
        <v>27</v>
      </c>
      <c r="I553" s="11"/>
      <c r="J553" s="11"/>
      <c r="K553" s="11"/>
      <c r="L553" s="11"/>
      <c r="M553" s="11"/>
      <c r="N553" s="11"/>
      <c r="O553" s="114"/>
      <c r="P553" s="124"/>
    </row>
    <row r="554" spans="2:17" outlineLevel="1" x14ac:dyDescent="0.3">
      <c r="B554" s="110"/>
      <c r="C554" s="115"/>
      <c r="D554" s="111"/>
      <c r="E554" s="115" t="s">
        <v>80</v>
      </c>
      <c r="F554" s="111" t="s">
        <v>20</v>
      </c>
      <c r="G554" s="113">
        <v>2</v>
      </c>
      <c r="H554" s="113">
        <f>G554*H552</f>
        <v>360</v>
      </c>
      <c r="I554" s="11"/>
      <c r="J554" s="11"/>
      <c r="K554" s="11"/>
      <c r="L554" s="11"/>
      <c r="M554" s="11"/>
      <c r="N554" s="11"/>
      <c r="O554" s="114"/>
      <c r="P554" s="124"/>
    </row>
    <row r="555" spans="2:17" outlineLevel="1" x14ac:dyDescent="0.3">
      <c r="B555" s="110"/>
      <c r="C555" s="115"/>
      <c r="D555" s="111"/>
      <c r="E555" s="115" t="s">
        <v>79</v>
      </c>
      <c r="F555" s="111" t="s">
        <v>1</v>
      </c>
      <c r="G555" s="113">
        <v>1</v>
      </c>
      <c r="H555" s="113">
        <f>G555*H552</f>
        <v>180</v>
      </c>
      <c r="I555" s="11"/>
      <c r="J555" s="11"/>
      <c r="K555" s="11"/>
      <c r="L555" s="11"/>
      <c r="M555" s="11"/>
      <c r="N555" s="11"/>
      <c r="O555" s="114"/>
      <c r="P555" s="124"/>
    </row>
    <row r="556" spans="2:17" ht="42" outlineLevel="1" x14ac:dyDescent="0.3">
      <c r="B556" s="110"/>
      <c r="C556" s="115"/>
      <c r="D556" s="111"/>
      <c r="E556" s="115" t="s">
        <v>81</v>
      </c>
      <c r="F556" s="111" t="s">
        <v>45</v>
      </c>
      <c r="G556" s="113">
        <v>1.05</v>
      </c>
      <c r="H556" s="113">
        <f>G556*H553</f>
        <v>28.35</v>
      </c>
      <c r="I556" s="11"/>
      <c r="J556" s="11"/>
      <c r="K556" s="11"/>
      <c r="L556" s="11"/>
      <c r="M556" s="11"/>
      <c r="N556" s="11"/>
      <c r="O556" s="114"/>
      <c r="P556" s="124"/>
    </row>
    <row r="557" spans="2:17" ht="23.4" outlineLevel="1" x14ac:dyDescent="0.3">
      <c r="B557" s="110"/>
      <c r="C557" s="115"/>
      <c r="D557" s="111"/>
      <c r="E557" s="115" t="s">
        <v>67</v>
      </c>
      <c r="F557" s="111" t="s">
        <v>43</v>
      </c>
      <c r="G557" s="113">
        <v>0.02</v>
      </c>
      <c r="H557" s="113">
        <f>G557*H553</f>
        <v>0.54</v>
      </c>
      <c r="I557" s="11"/>
      <c r="J557" s="11"/>
      <c r="K557" s="11"/>
      <c r="L557" s="11"/>
      <c r="M557" s="11"/>
      <c r="N557" s="11"/>
      <c r="O557" s="114"/>
      <c r="P557" s="124"/>
    </row>
    <row r="558" spans="2:17" outlineLevel="1" x14ac:dyDescent="0.3">
      <c r="B558" s="110"/>
      <c r="C558" s="115"/>
      <c r="D558" s="111"/>
      <c r="E558" s="115" t="s">
        <v>82</v>
      </c>
      <c r="F558" s="111" t="s">
        <v>20</v>
      </c>
      <c r="G558" s="113">
        <v>0.3</v>
      </c>
      <c r="H558" s="113">
        <f>G558*H553</f>
        <v>8.1</v>
      </c>
      <c r="I558" s="11"/>
      <c r="J558" s="11"/>
      <c r="K558" s="11"/>
      <c r="L558" s="11"/>
      <c r="M558" s="11"/>
      <c r="N558" s="11"/>
      <c r="O558" s="114"/>
      <c r="P558" s="124"/>
    </row>
    <row r="559" spans="2:17" ht="23.4" outlineLevel="1" x14ac:dyDescent="0.3">
      <c r="B559" s="110"/>
      <c r="C559" s="115"/>
      <c r="D559" s="111"/>
      <c r="E559" s="115" t="s">
        <v>473</v>
      </c>
      <c r="F559" s="111" t="s">
        <v>45</v>
      </c>
      <c r="G559" s="113">
        <v>1</v>
      </c>
      <c r="H559" s="113">
        <f>G559*H552</f>
        <v>180</v>
      </c>
      <c r="I559" s="11"/>
      <c r="J559" s="11"/>
      <c r="K559" s="11"/>
      <c r="L559" s="11"/>
      <c r="M559" s="11"/>
      <c r="N559" s="11"/>
      <c r="O559" s="114"/>
      <c r="P559" s="124"/>
    </row>
    <row r="560" spans="2:17" outlineLevel="1" x14ac:dyDescent="0.3">
      <c r="B560" s="110"/>
      <c r="C560" s="115"/>
      <c r="D560" s="111"/>
      <c r="E560" s="111"/>
      <c r="F560" s="111"/>
      <c r="G560" s="113"/>
      <c r="H560" s="113"/>
      <c r="I560" s="11"/>
      <c r="J560" s="11"/>
      <c r="K560" s="11"/>
      <c r="L560" s="11"/>
      <c r="M560" s="11"/>
      <c r="N560" s="11"/>
      <c r="O560" s="114"/>
      <c r="P560" s="124"/>
    </row>
    <row r="561" spans="2:16" ht="42" outlineLevel="1" x14ac:dyDescent="0.3">
      <c r="B561" s="110"/>
      <c r="C561" s="115"/>
      <c r="D561" s="111"/>
      <c r="E561" s="112" t="s">
        <v>213</v>
      </c>
      <c r="F561" s="166" t="s">
        <v>44</v>
      </c>
      <c r="G561" s="167"/>
      <c r="H561" s="167">
        <v>220</v>
      </c>
      <c r="I561" s="11"/>
      <c r="J561" s="168"/>
      <c r="K561" s="11"/>
      <c r="L561" s="168"/>
      <c r="M561" s="11"/>
      <c r="N561" s="168"/>
      <c r="O561" s="168"/>
      <c r="P561" s="124"/>
    </row>
    <row r="562" spans="2:16" ht="23.4" outlineLevel="1" x14ac:dyDescent="0.4">
      <c r="B562" s="110"/>
      <c r="C562" s="115"/>
      <c r="D562" s="111"/>
      <c r="E562" s="115" t="s">
        <v>85</v>
      </c>
      <c r="F562" s="111" t="s">
        <v>45</v>
      </c>
      <c r="G562" s="113">
        <v>1.05</v>
      </c>
      <c r="H562" s="113">
        <f>G562*H561</f>
        <v>231</v>
      </c>
      <c r="I562" s="16"/>
      <c r="J562" s="16"/>
      <c r="K562" s="16"/>
      <c r="L562" s="16"/>
      <c r="M562" s="16"/>
      <c r="N562" s="16"/>
      <c r="O562" s="20"/>
      <c r="P562" s="124"/>
    </row>
    <row r="563" spans="2:16" outlineLevel="1" x14ac:dyDescent="0.4">
      <c r="B563" s="110"/>
      <c r="C563" s="115"/>
      <c r="D563" s="111"/>
      <c r="E563" s="115" t="s">
        <v>80</v>
      </c>
      <c r="F563" s="111" t="s">
        <v>20</v>
      </c>
      <c r="G563" s="113">
        <v>5</v>
      </c>
      <c r="H563" s="113">
        <f>G563*H561</f>
        <v>1100</v>
      </c>
      <c r="I563" s="16"/>
      <c r="J563" s="16"/>
      <c r="K563" s="16"/>
      <c r="L563" s="16"/>
      <c r="M563" s="16"/>
      <c r="N563" s="16"/>
      <c r="O563" s="20"/>
      <c r="P563" s="124"/>
    </row>
    <row r="564" spans="2:16" outlineLevel="1" x14ac:dyDescent="0.4">
      <c r="B564" s="110"/>
      <c r="C564" s="115"/>
      <c r="D564" s="111"/>
      <c r="E564" s="115" t="s">
        <v>79</v>
      </c>
      <c r="F564" s="111" t="s">
        <v>1</v>
      </c>
      <c r="G564" s="113">
        <v>4</v>
      </c>
      <c r="H564" s="113">
        <f>G564*H561</f>
        <v>880</v>
      </c>
      <c r="I564" s="16"/>
      <c r="J564" s="16"/>
      <c r="K564" s="16"/>
      <c r="L564" s="16"/>
      <c r="M564" s="16"/>
      <c r="N564" s="16"/>
      <c r="O564" s="20"/>
      <c r="P564" s="124"/>
    </row>
    <row r="565" spans="2:16" ht="42" outlineLevel="1" x14ac:dyDescent="0.4">
      <c r="B565" s="110"/>
      <c r="C565" s="115"/>
      <c r="D565" s="111"/>
      <c r="E565" s="115" t="s">
        <v>81</v>
      </c>
      <c r="F565" s="111" t="s">
        <v>45</v>
      </c>
      <c r="G565" s="113">
        <v>1.05</v>
      </c>
      <c r="H565" s="113">
        <f>G565*H561</f>
        <v>231</v>
      </c>
      <c r="I565" s="16"/>
      <c r="J565" s="16"/>
      <c r="K565" s="16"/>
      <c r="L565" s="16"/>
      <c r="M565" s="16"/>
      <c r="N565" s="16"/>
      <c r="O565" s="20"/>
      <c r="P565" s="124"/>
    </row>
    <row r="566" spans="2:16" ht="23.4" outlineLevel="1" x14ac:dyDescent="0.4">
      <c r="B566" s="110"/>
      <c r="C566" s="115"/>
      <c r="D566" s="111"/>
      <c r="E566" s="115" t="s">
        <v>67</v>
      </c>
      <c r="F566" s="111" t="s">
        <v>43</v>
      </c>
      <c r="G566" s="113">
        <v>0.02</v>
      </c>
      <c r="H566" s="113">
        <f>G566*H561</f>
        <v>4.4000000000000004</v>
      </c>
      <c r="I566" s="16"/>
      <c r="J566" s="16"/>
      <c r="K566" s="16"/>
      <c r="L566" s="16"/>
      <c r="M566" s="16"/>
      <c r="N566" s="16"/>
      <c r="O566" s="20"/>
      <c r="P566" s="124"/>
    </row>
    <row r="567" spans="2:16" outlineLevel="1" x14ac:dyDescent="0.4">
      <c r="B567" s="110"/>
      <c r="C567" s="115"/>
      <c r="D567" s="111"/>
      <c r="E567" s="115" t="s">
        <v>82</v>
      </c>
      <c r="F567" s="111" t="s">
        <v>20</v>
      </c>
      <c r="G567" s="113">
        <v>0.3</v>
      </c>
      <c r="H567" s="113">
        <f>G567*H561</f>
        <v>66</v>
      </c>
      <c r="I567" s="16"/>
      <c r="J567" s="16"/>
      <c r="K567" s="16"/>
      <c r="L567" s="16"/>
      <c r="M567" s="16"/>
      <c r="N567" s="16"/>
      <c r="O567" s="20"/>
      <c r="P567" s="124"/>
    </row>
    <row r="568" spans="2:16" ht="42" outlineLevel="1" x14ac:dyDescent="0.4">
      <c r="B568" s="110"/>
      <c r="C568" s="115"/>
      <c r="D568" s="111"/>
      <c r="E568" s="115" t="s">
        <v>84</v>
      </c>
      <c r="F568" s="111" t="s">
        <v>45</v>
      </c>
      <c r="G568" s="113">
        <v>1</v>
      </c>
      <c r="H568" s="113">
        <f>G568*H561</f>
        <v>220</v>
      </c>
      <c r="I568" s="16"/>
      <c r="J568" s="16"/>
      <c r="K568" s="16"/>
      <c r="L568" s="16"/>
      <c r="M568" s="16"/>
      <c r="N568" s="16"/>
      <c r="O568" s="20"/>
      <c r="P568" s="124"/>
    </row>
    <row r="569" spans="2:16" outlineLevel="1" x14ac:dyDescent="0.4">
      <c r="B569" s="110"/>
      <c r="C569" s="115"/>
      <c r="D569" s="111"/>
      <c r="E569" s="111"/>
      <c r="F569" s="111"/>
      <c r="G569" s="113"/>
      <c r="H569" s="113"/>
      <c r="I569" s="16"/>
      <c r="J569" s="16"/>
      <c r="K569" s="16"/>
      <c r="L569" s="16"/>
      <c r="M569" s="16"/>
      <c r="N569" s="16"/>
      <c r="O569" s="20"/>
      <c r="P569" s="124"/>
    </row>
    <row r="570" spans="2:16" ht="42" outlineLevel="1" x14ac:dyDescent="0.3">
      <c r="B570" s="110"/>
      <c r="C570" s="115"/>
      <c r="D570" s="111"/>
      <c r="E570" s="112" t="s">
        <v>368</v>
      </c>
      <c r="F570" s="166" t="s">
        <v>41</v>
      </c>
      <c r="G570" s="167"/>
      <c r="H570" s="167">
        <f>14.4*4+7*2</f>
        <v>71.599999999999994</v>
      </c>
      <c r="I570" s="11"/>
      <c r="J570" s="168"/>
      <c r="K570" s="11"/>
      <c r="L570" s="168"/>
      <c r="M570" s="11"/>
      <c r="N570" s="168"/>
      <c r="O570" s="168"/>
      <c r="P570" s="124"/>
    </row>
    <row r="571" spans="2:16" ht="23.4" outlineLevel="1" x14ac:dyDescent="0.4">
      <c r="B571" s="110"/>
      <c r="C571" s="115"/>
      <c r="D571" s="111"/>
      <c r="E571" s="111" t="s">
        <v>345</v>
      </c>
      <c r="F571" s="111" t="s">
        <v>45</v>
      </c>
      <c r="G571" s="113">
        <f>0.2*1.1</f>
        <v>0.22000000000000003</v>
      </c>
      <c r="H571" s="113">
        <f>G571*H570</f>
        <v>15.752000000000001</v>
      </c>
      <c r="I571" s="16"/>
      <c r="J571" s="16"/>
      <c r="K571" s="16"/>
      <c r="L571" s="16"/>
      <c r="M571" s="16"/>
      <c r="N571" s="16"/>
      <c r="O571" s="20"/>
      <c r="P571" s="124"/>
    </row>
    <row r="572" spans="2:16" outlineLevel="1" x14ac:dyDescent="0.4">
      <c r="B572" s="110"/>
      <c r="C572" s="115"/>
      <c r="D572" s="111"/>
      <c r="E572" s="111" t="s">
        <v>217</v>
      </c>
      <c r="F572" s="111" t="s">
        <v>20</v>
      </c>
      <c r="G572" s="113">
        <v>6</v>
      </c>
      <c r="H572" s="113">
        <f>G572*H571</f>
        <v>94.512</v>
      </c>
      <c r="I572" s="16"/>
      <c r="J572" s="16"/>
      <c r="K572" s="16"/>
      <c r="L572" s="16"/>
      <c r="M572" s="16"/>
      <c r="N572" s="16"/>
      <c r="O572" s="20"/>
      <c r="P572" s="124"/>
    </row>
    <row r="573" spans="2:16" outlineLevel="1" x14ac:dyDescent="0.4">
      <c r="B573" s="110"/>
      <c r="C573" s="115"/>
      <c r="D573" s="111"/>
      <c r="E573" s="111" t="s">
        <v>101</v>
      </c>
      <c r="F573" s="111" t="s">
        <v>56</v>
      </c>
      <c r="G573" s="113">
        <v>0.2</v>
      </c>
      <c r="H573" s="113">
        <f>G573*H570</f>
        <v>14.32</v>
      </c>
      <c r="I573" s="16"/>
      <c r="J573" s="16"/>
      <c r="K573" s="16"/>
      <c r="L573" s="16"/>
      <c r="M573" s="16"/>
      <c r="N573" s="16"/>
      <c r="O573" s="20"/>
      <c r="P573" s="124"/>
    </row>
    <row r="574" spans="2:16" outlineLevel="1" x14ac:dyDescent="0.4">
      <c r="B574" s="110"/>
      <c r="C574" s="115"/>
      <c r="D574" s="111"/>
      <c r="E574" s="111" t="s">
        <v>346</v>
      </c>
      <c r="F574" s="111" t="s">
        <v>41</v>
      </c>
      <c r="G574" s="113">
        <v>1.05</v>
      </c>
      <c r="H574" s="113">
        <f>G574*H570</f>
        <v>75.179999999999993</v>
      </c>
      <c r="I574" s="16"/>
      <c r="J574" s="16"/>
      <c r="K574" s="16"/>
      <c r="L574" s="16"/>
      <c r="M574" s="16"/>
      <c r="N574" s="16"/>
      <c r="O574" s="20"/>
      <c r="P574" s="124"/>
    </row>
    <row r="575" spans="2:16" outlineLevel="1" x14ac:dyDescent="0.4">
      <c r="B575" s="110"/>
      <c r="C575" s="115"/>
      <c r="D575" s="111"/>
      <c r="E575" s="111"/>
      <c r="F575" s="111"/>
      <c r="G575" s="113"/>
      <c r="H575" s="113"/>
      <c r="I575" s="16"/>
      <c r="J575" s="16"/>
      <c r="K575" s="16"/>
      <c r="L575" s="16"/>
      <c r="M575" s="16"/>
      <c r="N575" s="16"/>
      <c r="O575" s="20"/>
      <c r="P575" s="124"/>
    </row>
    <row r="576" spans="2:16" ht="63" outlineLevel="1" x14ac:dyDescent="0.3">
      <c r="B576" s="110"/>
      <c r="C576" s="115"/>
      <c r="D576" s="111"/>
      <c r="E576" s="112" t="s">
        <v>218</v>
      </c>
      <c r="F576" s="166" t="s">
        <v>41</v>
      </c>
      <c r="G576" s="167"/>
      <c r="H576" s="167">
        <v>271.83999999999997</v>
      </c>
      <c r="I576" s="11"/>
      <c r="J576" s="168"/>
      <c r="K576" s="11"/>
      <c r="L576" s="168"/>
      <c r="M576" s="11"/>
      <c r="N576" s="168"/>
      <c r="O576" s="168"/>
      <c r="P576" s="124"/>
    </row>
    <row r="577" spans="2:16" outlineLevel="1" x14ac:dyDescent="0.4">
      <c r="B577" s="110"/>
      <c r="C577" s="115"/>
      <c r="D577" s="111"/>
      <c r="E577" s="111" t="s">
        <v>219</v>
      </c>
      <c r="F577" s="111" t="s">
        <v>56</v>
      </c>
      <c r="G577" s="113">
        <v>2.1271729185727357E-2</v>
      </c>
      <c r="H577" s="113">
        <f>G577*H576</f>
        <v>5.7825068618481241</v>
      </c>
      <c r="I577" s="16"/>
      <c r="J577" s="16"/>
      <c r="K577" s="16"/>
      <c r="L577" s="16"/>
      <c r="M577" s="16"/>
      <c r="N577" s="16"/>
      <c r="O577" s="20"/>
      <c r="P577" s="124"/>
    </row>
    <row r="578" spans="2:16" outlineLevel="1" x14ac:dyDescent="0.4">
      <c r="B578" s="110"/>
      <c r="C578" s="115"/>
      <c r="D578" s="111"/>
      <c r="E578" s="111" t="s">
        <v>220</v>
      </c>
      <c r="F578" s="111" t="s">
        <v>1</v>
      </c>
      <c r="G578" s="113">
        <v>1</v>
      </c>
      <c r="H578" s="113">
        <f>G578*H577</f>
        <v>5.7825068618481241</v>
      </c>
      <c r="I578" s="16"/>
      <c r="J578" s="16"/>
      <c r="K578" s="16"/>
      <c r="L578" s="16"/>
      <c r="M578" s="16"/>
      <c r="N578" s="16"/>
      <c r="O578" s="20"/>
      <c r="P578" s="124"/>
    </row>
    <row r="579" spans="2:16" outlineLevel="1" x14ac:dyDescent="0.4">
      <c r="B579" s="110"/>
      <c r="C579" s="115"/>
      <c r="D579" s="111"/>
      <c r="E579" s="111" t="s">
        <v>54</v>
      </c>
      <c r="F579" s="111" t="s">
        <v>56</v>
      </c>
      <c r="G579" s="113">
        <v>9.8639066788655076E-3</v>
      </c>
      <c r="H579" s="113">
        <f>G579*H576</f>
        <v>2.6814043915827992</v>
      </c>
      <c r="I579" s="16"/>
      <c r="J579" s="16"/>
      <c r="K579" s="16"/>
      <c r="L579" s="16"/>
      <c r="M579" s="16"/>
      <c r="N579" s="16"/>
      <c r="O579" s="20"/>
      <c r="P579" s="124"/>
    </row>
    <row r="580" spans="2:16" outlineLevel="1" x14ac:dyDescent="0.4">
      <c r="B580" s="110"/>
      <c r="C580" s="115"/>
      <c r="D580" s="111"/>
      <c r="E580" s="111" t="s">
        <v>221</v>
      </c>
      <c r="F580" s="111" t="s">
        <v>77</v>
      </c>
      <c r="G580" s="113">
        <v>1.7726440988106131E-2</v>
      </c>
      <c r="H580" s="113">
        <f>G580*H576</f>
        <v>4.81875571820677</v>
      </c>
      <c r="I580" s="16"/>
      <c r="J580" s="16"/>
      <c r="K580" s="16"/>
      <c r="L580" s="16"/>
      <c r="M580" s="16"/>
      <c r="N580" s="16"/>
      <c r="O580" s="20"/>
      <c r="P580" s="124"/>
    </row>
    <row r="581" spans="2:16" ht="23.4" outlineLevel="1" x14ac:dyDescent="0.4">
      <c r="B581" s="110"/>
      <c r="C581" s="115"/>
      <c r="D581" s="111"/>
      <c r="E581" s="111" t="s">
        <v>48</v>
      </c>
      <c r="F581" s="111" t="s">
        <v>45</v>
      </c>
      <c r="G581" s="113">
        <v>1</v>
      </c>
      <c r="H581" s="113">
        <f>G581*H576</f>
        <v>271.83999999999997</v>
      </c>
      <c r="I581" s="16"/>
      <c r="J581" s="16"/>
      <c r="K581" s="16"/>
      <c r="L581" s="16"/>
      <c r="M581" s="16"/>
      <c r="N581" s="16"/>
      <c r="O581" s="20"/>
      <c r="P581" s="124"/>
    </row>
    <row r="582" spans="2:16" outlineLevel="1" x14ac:dyDescent="0.4">
      <c r="B582" s="110"/>
      <c r="C582" s="115"/>
      <c r="D582" s="111"/>
      <c r="E582" s="111"/>
      <c r="F582" s="111"/>
      <c r="G582" s="113"/>
      <c r="H582" s="113"/>
      <c r="I582" s="16"/>
      <c r="J582" s="16"/>
      <c r="K582" s="16"/>
      <c r="L582" s="16"/>
      <c r="M582" s="16"/>
      <c r="N582" s="16"/>
      <c r="O582" s="20"/>
      <c r="P582" s="124"/>
    </row>
    <row r="583" spans="2:16" ht="23.4" outlineLevel="1" x14ac:dyDescent="0.3">
      <c r="B583" s="110"/>
      <c r="C583" s="115"/>
      <c r="D583" s="111"/>
      <c r="E583" s="112" t="s">
        <v>214</v>
      </c>
      <c r="F583" s="166" t="s">
        <v>44</v>
      </c>
      <c r="G583" s="167"/>
      <c r="H583" s="167">
        <f>220/0.75</f>
        <v>293.33333333333331</v>
      </c>
      <c r="I583" s="11"/>
      <c r="J583" s="168"/>
      <c r="K583" s="11"/>
      <c r="L583" s="168"/>
      <c r="M583" s="11"/>
      <c r="N583" s="168"/>
      <c r="O583" s="168"/>
      <c r="P583" s="124"/>
    </row>
    <row r="584" spans="2:16" ht="23.4" outlineLevel="1" x14ac:dyDescent="0.4">
      <c r="B584" s="110"/>
      <c r="C584" s="115"/>
      <c r="D584" s="111"/>
      <c r="E584" s="111" t="s">
        <v>215</v>
      </c>
      <c r="F584" s="111" t="s">
        <v>45</v>
      </c>
      <c r="G584" s="113">
        <v>1</v>
      </c>
      <c r="H584" s="113">
        <f>G584*H583</f>
        <v>293.33333333333331</v>
      </c>
      <c r="I584" s="16"/>
      <c r="J584" s="16"/>
      <c r="K584" s="16"/>
      <c r="L584" s="16"/>
      <c r="M584" s="16"/>
      <c r="N584" s="16"/>
      <c r="O584" s="20"/>
      <c r="P584" s="124"/>
    </row>
    <row r="585" spans="2:16" ht="23.4" outlineLevel="1" x14ac:dyDescent="0.4">
      <c r="B585" s="110"/>
      <c r="C585" s="115"/>
      <c r="D585" s="111"/>
      <c r="E585" s="111" t="s">
        <v>216</v>
      </c>
      <c r="F585" s="111" t="s">
        <v>45</v>
      </c>
      <c r="G585" s="113">
        <v>1</v>
      </c>
      <c r="H585" s="113">
        <f>G585*H583</f>
        <v>293.33333333333331</v>
      </c>
      <c r="I585" s="16"/>
      <c r="J585" s="16"/>
      <c r="K585" s="16"/>
      <c r="L585" s="16"/>
      <c r="M585" s="16"/>
      <c r="N585" s="16"/>
      <c r="O585" s="20"/>
      <c r="P585" s="124"/>
    </row>
    <row r="586" spans="2:16" outlineLevel="1" x14ac:dyDescent="0.4">
      <c r="B586" s="110"/>
      <c r="C586" s="115"/>
      <c r="D586" s="111"/>
      <c r="E586" s="111"/>
      <c r="F586" s="111"/>
      <c r="G586" s="113"/>
      <c r="H586" s="113"/>
      <c r="I586" s="16"/>
      <c r="J586" s="16"/>
      <c r="K586" s="16"/>
      <c r="L586" s="16"/>
      <c r="M586" s="16"/>
      <c r="N586" s="16"/>
      <c r="O586" s="20"/>
      <c r="P586" s="124"/>
    </row>
    <row r="587" spans="2:16" x14ac:dyDescent="0.3">
      <c r="B587" s="116"/>
      <c r="C587" s="117"/>
      <c r="D587" s="118"/>
      <c r="E587" s="12" t="s">
        <v>30</v>
      </c>
      <c r="F587" s="118"/>
      <c r="G587" s="119"/>
      <c r="H587" s="119"/>
      <c r="I587" s="119"/>
      <c r="J587" s="119">
        <f>SUBTOTAL(9,J9:J585)</f>
        <v>0</v>
      </c>
      <c r="K587" s="119"/>
      <c r="L587" s="119">
        <f>SUBTOTAL(9,L9:L585)</f>
        <v>0</v>
      </c>
      <c r="M587" s="119"/>
      <c r="N587" s="119">
        <f>SUBTOTAL(9,N9:N585)</f>
        <v>0</v>
      </c>
      <c r="O587" s="119">
        <f>SUBTOTAL(9,O9:O585)</f>
        <v>0</v>
      </c>
      <c r="P587" s="124"/>
    </row>
    <row r="588" spans="2:16" x14ac:dyDescent="0.3">
      <c r="B588" s="110"/>
      <c r="C588" s="115"/>
      <c r="D588" s="111"/>
      <c r="E588" s="23" t="s">
        <v>31</v>
      </c>
      <c r="F588" s="24">
        <v>0.03</v>
      </c>
      <c r="G588" s="114"/>
      <c r="H588" s="114"/>
      <c r="I588" s="114"/>
      <c r="J588" s="114">
        <f>J587*F588</f>
        <v>0</v>
      </c>
      <c r="K588" s="114"/>
      <c r="L588" s="114"/>
      <c r="M588" s="114"/>
      <c r="N588" s="114"/>
      <c r="O588" s="114">
        <f>J587*F588</f>
        <v>0</v>
      </c>
      <c r="P588" s="124"/>
    </row>
    <row r="589" spans="2:16" x14ac:dyDescent="0.3">
      <c r="B589" s="116"/>
      <c r="C589" s="117"/>
      <c r="D589" s="118"/>
      <c r="E589" s="12" t="s">
        <v>37</v>
      </c>
      <c r="F589" s="12"/>
      <c r="G589" s="119"/>
      <c r="H589" s="119"/>
      <c r="I589" s="119"/>
      <c r="J589" s="119">
        <f>SUM(J587:J588)</f>
        <v>0</v>
      </c>
      <c r="K589" s="119"/>
      <c r="L589" s="119">
        <f>SUM(L587:L588)</f>
        <v>0</v>
      </c>
      <c r="M589" s="119"/>
      <c r="N589" s="119">
        <f>SUM(N587:N588)</f>
        <v>0</v>
      </c>
      <c r="O589" s="119">
        <f>SUM(O587:O588)</f>
        <v>0</v>
      </c>
      <c r="P589" s="124"/>
    </row>
    <row r="590" spans="2:16" x14ac:dyDescent="0.3">
      <c r="B590" s="110"/>
      <c r="C590" s="115"/>
      <c r="D590" s="111"/>
      <c r="E590" s="23" t="s">
        <v>35</v>
      </c>
      <c r="F590" s="24">
        <v>0</v>
      </c>
      <c r="G590" s="114"/>
      <c r="H590" s="114"/>
      <c r="I590" s="114"/>
      <c r="J590" s="114">
        <f>J589*$F$590</f>
        <v>0</v>
      </c>
      <c r="K590" s="114"/>
      <c r="L590" s="114">
        <f>L589*$F$590</f>
        <v>0</v>
      </c>
      <c r="M590" s="114"/>
      <c r="N590" s="114">
        <f>N589*$F$590</f>
        <v>0</v>
      </c>
      <c r="O590" s="114">
        <f>O589*F590</f>
        <v>0</v>
      </c>
      <c r="P590" s="124"/>
    </row>
    <row r="591" spans="2:16" x14ac:dyDescent="0.3">
      <c r="B591" s="116"/>
      <c r="C591" s="117"/>
      <c r="D591" s="118"/>
      <c r="E591" s="12" t="s">
        <v>37</v>
      </c>
      <c r="F591" s="12"/>
      <c r="G591" s="119"/>
      <c r="H591" s="119"/>
      <c r="I591" s="119"/>
      <c r="J591" s="119">
        <f>SUM(J589:J590)</f>
        <v>0</v>
      </c>
      <c r="K591" s="119"/>
      <c r="L591" s="119">
        <f>SUM(L589:L590)</f>
        <v>0</v>
      </c>
      <c r="M591" s="119"/>
      <c r="N591" s="119">
        <f>SUM(N589:N590)</f>
        <v>0</v>
      </c>
      <c r="O591" s="119">
        <f>SUM(O589:O590)</f>
        <v>0</v>
      </c>
      <c r="P591" s="124"/>
    </row>
    <row r="592" spans="2:16" x14ac:dyDescent="0.3">
      <c r="B592" s="110"/>
      <c r="C592" s="115"/>
      <c r="D592" s="111"/>
      <c r="E592" s="23" t="s">
        <v>32</v>
      </c>
      <c r="F592" s="24">
        <v>0.04</v>
      </c>
      <c r="G592" s="114"/>
      <c r="H592" s="114"/>
      <c r="I592" s="114"/>
      <c r="J592" s="114">
        <f>J591*$F$592</f>
        <v>0</v>
      </c>
      <c r="K592" s="114"/>
      <c r="L592" s="114">
        <f>L591*$F$592</f>
        <v>0</v>
      </c>
      <c r="M592" s="114"/>
      <c r="N592" s="114">
        <f>N591*$F$592</f>
        <v>0</v>
      </c>
      <c r="O592" s="114">
        <f>O591*$F$592</f>
        <v>0</v>
      </c>
      <c r="P592" s="124"/>
    </row>
    <row r="593" spans="2:18" x14ac:dyDescent="0.3">
      <c r="B593" s="116"/>
      <c r="C593" s="117"/>
      <c r="D593" s="118"/>
      <c r="E593" s="12" t="s">
        <v>37</v>
      </c>
      <c r="F593" s="12"/>
      <c r="G593" s="119"/>
      <c r="H593" s="119"/>
      <c r="I593" s="119"/>
      <c r="J593" s="119">
        <f>SUM(J591:J592)</f>
        <v>0</v>
      </c>
      <c r="K593" s="119"/>
      <c r="L593" s="119">
        <f>SUM(L591:L592)</f>
        <v>0</v>
      </c>
      <c r="M593" s="119"/>
      <c r="N593" s="119">
        <f>SUM(N591:N592)</f>
        <v>0</v>
      </c>
      <c r="O593" s="119">
        <f>SUM(O591:O592)</f>
        <v>0</v>
      </c>
      <c r="P593" s="124"/>
    </row>
    <row r="594" spans="2:18" x14ac:dyDescent="0.3">
      <c r="B594" s="110"/>
      <c r="C594" s="115"/>
      <c r="D594" s="111"/>
      <c r="E594" s="23" t="s">
        <v>33</v>
      </c>
      <c r="F594" s="24">
        <v>0.04</v>
      </c>
      <c r="G594" s="114"/>
      <c r="H594" s="114"/>
      <c r="I594" s="114"/>
      <c r="J594" s="114">
        <f>J593*$F$594</f>
        <v>0</v>
      </c>
      <c r="K594" s="114"/>
      <c r="L594" s="114">
        <f>L593*$F$594</f>
        <v>0</v>
      </c>
      <c r="M594" s="114"/>
      <c r="N594" s="114">
        <f>N593*$F$594</f>
        <v>0</v>
      </c>
      <c r="O594" s="114">
        <f>O593*$F$594</f>
        <v>0</v>
      </c>
      <c r="P594" s="124"/>
    </row>
    <row r="595" spans="2:18" x14ac:dyDescent="0.3">
      <c r="B595" s="116"/>
      <c r="C595" s="117"/>
      <c r="D595" s="118"/>
      <c r="E595" s="12" t="s">
        <v>37</v>
      </c>
      <c r="F595" s="12"/>
      <c r="G595" s="119"/>
      <c r="H595" s="119"/>
      <c r="I595" s="119"/>
      <c r="J595" s="119">
        <f>SUM(J593:J594)</f>
        <v>0</v>
      </c>
      <c r="K595" s="119"/>
      <c r="L595" s="119">
        <f>SUM(L593:L594)</f>
        <v>0</v>
      </c>
      <c r="M595" s="119"/>
      <c r="N595" s="119">
        <f>SUM(N593:N594)</f>
        <v>0</v>
      </c>
      <c r="O595" s="119">
        <f>SUM(O593:O594)</f>
        <v>0</v>
      </c>
      <c r="P595" s="124"/>
    </row>
    <row r="596" spans="2:18" x14ac:dyDescent="0.3">
      <c r="B596" s="110"/>
      <c r="C596" s="115"/>
      <c r="D596" s="111"/>
      <c r="E596" s="23" t="s">
        <v>34</v>
      </c>
      <c r="F596" s="24">
        <v>0.18</v>
      </c>
      <c r="G596" s="114"/>
      <c r="H596" s="114"/>
      <c r="I596" s="114"/>
      <c r="J596" s="114">
        <f>J595*$F$596</f>
        <v>0</v>
      </c>
      <c r="K596" s="114"/>
      <c r="L596" s="114">
        <f>L595*$F$596</f>
        <v>0</v>
      </c>
      <c r="M596" s="114"/>
      <c r="N596" s="114">
        <f>N595*$F$596</f>
        <v>0</v>
      </c>
      <c r="O596" s="114">
        <f>O595*$F$596</f>
        <v>0</v>
      </c>
      <c r="P596" s="124"/>
    </row>
    <row r="597" spans="2:18" x14ac:dyDescent="0.3">
      <c r="B597" s="120"/>
      <c r="C597" s="121"/>
      <c r="D597" s="122"/>
      <c r="E597" s="32" t="s">
        <v>36</v>
      </c>
      <c r="F597" s="122"/>
      <c r="G597" s="123"/>
      <c r="H597" s="123"/>
      <c r="I597" s="123"/>
      <c r="J597" s="123">
        <f>SUM(J595:J596)</f>
        <v>0</v>
      </c>
      <c r="K597" s="123"/>
      <c r="L597" s="123">
        <f>SUM(L595:L596)</f>
        <v>0</v>
      </c>
      <c r="M597" s="123"/>
      <c r="N597" s="123">
        <f>SUM(N595:N596)</f>
        <v>0</v>
      </c>
      <c r="O597" s="123">
        <f>SUM(O595:O596)</f>
        <v>0</v>
      </c>
      <c r="P597" s="124">
        <f t="shared" ref="P597" si="4">O597-N597-L597-J597</f>
        <v>0</v>
      </c>
    </row>
    <row r="599" spans="2:18" x14ac:dyDescent="0.3">
      <c r="N599" s="127"/>
      <c r="O599" s="128"/>
    </row>
    <row r="600" spans="2:18" x14ac:dyDescent="0.3">
      <c r="O600" s="129"/>
    </row>
    <row r="603" spans="2:18" x14ac:dyDescent="0.3">
      <c r="O603" s="128"/>
    </row>
    <row r="608" spans="2:18" s="125" customFormat="1" x14ac:dyDescent="0.3">
      <c r="C608" s="126"/>
      <c r="P608" s="109"/>
      <c r="Q608" s="109"/>
      <c r="R608" s="109"/>
    </row>
    <row r="609" spans="3:3" s="125" customFormat="1" x14ac:dyDescent="0.3">
      <c r="C609" s="126"/>
    </row>
    <row r="610" spans="3:3" s="125" customFormat="1" x14ac:dyDescent="0.3">
      <c r="C610" s="126"/>
    </row>
    <row r="611" spans="3:3" s="125" customFormat="1" x14ac:dyDescent="0.3">
      <c r="C611" s="126"/>
    </row>
    <row r="612" spans="3:3" s="125" customFormat="1" x14ac:dyDescent="0.3">
      <c r="C612" s="126"/>
    </row>
    <row r="613" spans="3:3" s="125" customFormat="1" x14ac:dyDescent="0.3">
      <c r="C613" s="126"/>
    </row>
    <row r="614" spans="3:3" s="125" customFormat="1" x14ac:dyDescent="0.3">
      <c r="C614" s="126"/>
    </row>
    <row r="615" spans="3:3" s="125" customFormat="1" x14ac:dyDescent="0.3">
      <c r="C615" s="126"/>
    </row>
    <row r="616" spans="3:3" s="125" customFormat="1" x14ac:dyDescent="0.3">
      <c r="C616" s="126"/>
    </row>
    <row r="617" spans="3:3" s="125" customFormat="1" x14ac:dyDescent="0.3">
      <c r="C617" s="126"/>
    </row>
    <row r="618" spans="3:3" s="125" customFormat="1" x14ac:dyDescent="0.3">
      <c r="C618" s="126"/>
    </row>
    <row r="619" spans="3:3" s="125" customFormat="1" x14ac:dyDescent="0.3">
      <c r="C619" s="126"/>
    </row>
    <row r="620" spans="3:3" s="125" customFormat="1" x14ac:dyDescent="0.3">
      <c r="C620" s="126"/>
    </row>
    <row r="621" spans="3:3" s="125" customFormat="1" x14ac:dyDescent="0.3">
      <c r="C621" s="126"/>
    </row>
    <row r="622" spans="3:3" s="125" customFormat="1" x14ac:dyDescent="0.3">
      <c r="C622" s="126"/>
    </row>
    <row r="623" spans="3:3" s="125" customFormat="1" x14ac:dyDescent="0.3">
      <c r="C623" s="126"/>
    </row>
    <row r="624" spans="3:3" s="125" customFormat="1" x14ac:dyDescent="0.3">
      <c r="C624" s="126"/>
    </row>
    <row r="625" spans="3:3" s="125" customFormat="1" x14ac:dyDescent="0.3">
      <c r="C625" s="126"/>
    </row>
    <row r="626" spans="3:3" s="125" customFormat="1" x14ac:dyDescent="0.3">
      <c r="C626" s="126"/>
    </row>
    <row r="627" spans="3:3" s="125" customFormat="1" x14ac:dyDescent="0.3">
      <c r="C627" s="126"/>
    </row>
    <row r="628" spans="3:3" s="125" customFormat="1" x14ac:dyDescent="0.3">
      <c r="C628" s="126"/>
    </row>
    <row r="629" spans="3:3" s="125" customFormat="1" x14ac:dyDescent="0.3">
      <c r="C629" s="126"/>
    </row>
    <row r="630" spans="3:3" s="125" customFormat="1" x14ac:dyDescent="0.3">
      <c r="C630" s="126"/>
    </row>
    <row r="631" spans="3:3" s="125" customFormat="1" x14ac:dyDescent="0.3">
      <c r="C631" s="126"/>
    </row>
    <row r="632" spans="3:3" s="125" customFormat="1" x14ac:dyDescent="0.3">
      <c r="C632" s="126"/>
    </row>
    <row r="633" spans="3:3" s="125" customFormat="1" x14ac:dyDescent="0.3">
      <c r="C633" s="126"/>
    </row>
    <row r="634" spans="3:3" s="125" customFormat="1" x14ac:dyDescent="0.3">
      <c r="C634" s="126"/>
    </row>
    <row r="635" spans="3:3" s="125" customFormat="1" x14ac:dyDescent="0.3">
      <c r="C635" s="126"/>
    </row>
    <row r="636" spans="3:3" s="125" customFormat="1" x14ac:dyDescent="0.3">
      <c r="C636" s="126"/>
    </row>
    <row r="637" spans="3:3" s="125" customFormat="1" x14ac:dyDescent="0.3">
      <c r="C637" s="126"/>
    </row>
    <row r="638" spans="3:3" s="125" customFormat="1" x14ac:dyDescent="0.3">
      <c r="C638" s="126"/>
    </row>
    <row r="639" spans="3:3" s="125" customFormat="1" x14ac:dyDescent="0.3">
      <c r="C639" s="126"/>
    </row>
    <row r="640" spans="3:3" s="125" customFormat="1" x14ac:dyDescent="0.3">
      <c r="C640" s="126"/>
    </row>
    <row r="641" spans="3:3" s="125" customFormat="1" x14ac:dyDescent="0.3">
      <c r="C641" s="126"/>
    </row>
    <row r="642" spans="3:3" s="125" customFormat="1" x14ac:dyDescent="0.3">
      <c r="C642" s="126"/>
    </row>
    <row r="643" spans="3:3" s="125" customFormat="1" x14ac:dyDescent="0.3">
      <c r="C643" s="126"/>
    </row>
    <row r="644" spans="3:3" s="125" customFormat="1" x14ac:dyDescent="0.3">
      <c r="C644" s="126"/>
    </row>
    <row r="645" spans="3:3" s="125" customFormat="1" x14ac:dyDescent="0.3">
      <c r="C645" s="126"/>
    </row>
    <row r="646" spans="3:3" s="125" customFormat="1" x14ac:dyDescent="0.3">
      <c r="C646" s="126"/>
    </row>
    <row r="647" spans="3:3" s="125" customFormat="1" x14ac:dyDescent="0.3">
      <c r="C647" s="126"/>
    </row>
    <row r="648" spans="3:3" s="125" customFormat="1" x14ac:dyDescent="0.3">
      <c r="C648" s="126"/>
    </row>
    <row r="649" spans="3:3" s="125" customFormat="1" x14ac:dyDescent="0.3">
      <c r="C649" s="126"/>
    </row>
    <row r="650" spans="3:3" s="125" customFormat="1" x14ac:dyDescent="0.3">
      <c r="C650" s="126"/>
    </row>
    <row r="651" spans="3:3" s="125" customFormat="1" x14ac:dyDescent="0.3">
      <c r="C651" s="126"/>
    </row>
    <row r="652" spans="3:3" s="125" customFormat="1" x14ac:dyDescent="0.3">
      <c r="C652" s="126"/>
    </row>
    <row r="653" spans="3:3" s="125" customFormat="1" x14ac:dyDescent="0.3">
      <c r="C653" s="126"/>
    </row>
    <row r="654" spans="3:3" s="125" customFormat="1" x14ac:dyDescent="0.3">
      <c r="C654" s="126"/>
    </row>
    <row r="655" spans="3:3" s="125" customFormat="1" x14ac:dyDescent="0.3">
      <c r="C655" s="126"/>
    </row>
    <row r="656" spans="3:3" s="125" customFormat="1" x14ac:dyDescent="0.3">
      <c r="C656" s="126"/>
    </row>
  </sheetData>
  <autoFilter ref="B8:O597" xr:uid="{361D4AB0-0706-4BFB-AC63-002C191578BD}"/>
  <mergeCells count="16">
    <mergeCell ref="B6:B7"/>
    <mergeCell ref="C6:C7"/>
    <mergeCell ref="D6:D7"/>
    <mergeCell ref="E6:E7"/>
    <mergeCell ref="F6:F7"/>
    <mergeCell ref="B2:D5"/>
    <mergeCell ref="E2:M4"/>
    <mergeCell ref="N2:O5"/>
    <mergeCell ref="E5:I5"/>
    <mergeCell ref="J5:L5"/>
    <mergeCell ref="G6:G7"/>
    <mergeCell ref="H6:H7"/>
    <mergeCell ref="I6:J6"/>
    <mergeCell ref="K6:L6"/>
    <mergeCell ref="M6:N6"/>
    <mergeCell ref="O6:O7"/>
  </mergeCells>
  <dataValidations count="1">
    <dataValidation type="list" allowBlank="1" showInputMessage="1" showErrorMessage="1" sqref="E1:E1048576" xr:uid="{893935A7-5563-4250-AD66-7467D044A89E}">
      <formula1>UNIT_PRICES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8B3D-BAC9-4447-AE88-64CDF5B02279}">
  <dimension ref="B2:R279"/>
  <sheetViews>
    <sheetView showGridLines="0" showZeros="0" topLeftCell="A165" zoomScale="55" zoomScaleNormal="55" workbookViewId="0">
      <selection activeCell="O211" sqref="O211"/>
    </sheetView>
  </sheetViews>
  <sheetFormatPr defaultRowHeight="21" outlineLevelRow="1" x14ac:dyDescent="0.4"/>
  <cols>
    <col min="2" max="4" width="19.77734375" style="1" customWidth="1"/>
    <col min="5" max="5" width="79.77734375" style="1" customWidth="1"/>
    <col min="6" max="15" width="19.77734375" style="1" customWidth="1"/>
    <col min="16" max="16" width="11.5546875" bestFit="1" customWidth="1"/>
    <col min="17" max="17" width="10.33203125" bestFit="1" customWidth="1"/>
    <col min="18" max="18" width="13.21875" bestFit="1" customWidth="1"/>
  </cols>
  <sheetData>
    <row r="2" spans="2:15" ht="48.75" customHeight="1" x14ac:dyDescent="0.3">
      <c r="B2" s="215"/>
      <c r="C2" s="216"/>
      <c r="D2" s="216"/>
      <c r="E2" s="204" t="s">
        <v>383</v>
      </c>
      <c r="F2" s="204"/>
      <c r="G2" s="204"/>
      <c r="H2" s="204"/>
      <c r="I2" s="204"/>
      <c r="J2" s="204"/>
      <c r="K2" s="204"/>
      <c r="L2" s="204"/>
      <c r="M2" s="204"/>
      <c r="N2" s="206"/>
      <c r="O2" s="206"/>
    </row>
    <row r="3" spans="2:15" ht="48.75" customHeight="1" x14ac:dyDescent="0.3">
      <c r="B3" s="217"/>
      <c r="C3" s="218"/>
      <c r="D3" s="218"/>
      <c r="E3" s="205"/>
      <c r="F3" s="205"/>
      <c r="G3" s="205"/>
      <c r="H3" s="205"/>
      <c r="I3" s="205"/>
      <c r="J3" s="205"/>
      <c r="K3" s="205"/>
      <c r="L3" s="205"/>
      <c r="M3" s="205"/>
      <c r="N3" s="208"/>
      <c r="O3" s="208"/>
    </row>
    <row r="4" spans="2:15" ht="48.75" customHeight="1" x14ac:dyDescent="0.3">
      <c r="B4" s="217"/>
      <c r="C4" s="218"/>
      <c r="D4" s="218"/>
      <c r="E4" s="205"/>
      <c r="F4" s="205"/>
      <c r="G4" s="205"/>
      <c r="H4" s="205"/>
      <c r="I4" s="205"/>
      <c r="J4" s="205"/>
      <c r="K4" s="205"/>
      <c r="L4" s="205"/>
      <c r="M4" s="205"/>
      <c r="N4" s="208"/>
      <c r="O4" s="208"/>
    </row>
    <row r="5" spans="2:15" ht="48.75" customHeight="1" x14ac:dyDescent="0.3">
      <c r="B5" s="217"/>
      <c r="C5" s="218"/>
      <c r="D5" s="218"/>
      <c r="E5" s="210" t="s">
        <v>357</v>
      </c>
      <c r="F5" s="210"/>
      <c r="G5" s="210"/>
      <c r="H5" s="210"/>
      <c r="I5" s="210"/>
      <c r="J5" s="208" t="s">
        <v>350</v>
      </c>
      <c r="K5" s="208"/>
      <c r="L5" s="208"/>
      <c r="M5" s="11">
        <f>O220</f>
        <v>0</v>
      </c>
      <c r="N5" s="208"/>
      <c r="O5" s="208"/>
    </row>
    <row r="6" spans="2:15" ht="48.75" customHeight="1" x14ac:dyDescent="0.3">
      <c r="B6" s="219" t="s">
        <v>2</v>
      </c>
      <c r="C6" s="214" t="s">
        <v>3</v>
      </c>
      <c r="D6" s="214" t="s">
        <v>0</v>
      </c>
      <c r="E6" s="214" t="s">
        <v>4</v>
      </c>
      <c r="F6" s="214" t="s">
        <v>5</v>
      </c>
      <c r="G6" s="214" t="s">
        <v>6</v>
      </c>
      <c r="H6" s="214" t="s">
        <v>7</v>
      </c>
      <c r="I6" s="214" t="s">
        <v>11</v>
      </c>
      <c r="J6" s="214"/>
      <c r="K6" s="214" t="s">
        <v>86</v>
      </c>
      <c r="L6" s="214"/>
      <c r="M6" s="214" t="s">
        <v>12</v>
      </c>
      <c r="N6" s="214"/>
      <c r="O6" s="214" t="s">
        <v>10</v>
      </c>
    </row>
    <row r="7" spans="2:15" ht="48.75" customHeight="1" x14ac:dyDescent="0.3">
      <c r="B7" s="219"/>
      <c r="C7" s="214"/>
      <c r="D7" s="214"/>
      <c r="E7" s="214"/>
      <c r="F7" s="214"/>
      <c r="G7" s="214"/>
      <c r="H7" s="214"/>
      <c r="I7" s="12" t="s">
        <v>8</v>
      </c>
      <c r="J7" s="12" t="s">
        <v>9</v>
      </c>
      <c r="K7" s="12" t="s">
        <v>8</v>
      </c>
      <c r="L7" s="12" t="s">
        <v>9</v>
      </c>
      <c r="M7" s="12" t="s">
        <v>8</v>
      </c>
      <c r="N7" s="12" t="s">
        <v>9</v>
      </c>
      <c r="O7" s="214"/>
    </row>
    <row r="8" spans="2:15" ht="48.75" customHeight="1" x14ac:dyDescent="0.3">
      <c r="B8" s="25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</row>
    <row r="9" spans="2:15" x14ac:dyDescent="0.3">
      <c r="B9" s="77"/>
      <c r="C9" s="78"/>
      <c r="D9" s="78"/>
      <c r="E9" s="79" t="s">
        <v>273</v>
      </c>
      <c r="F9" s="78"/>
      <c r="G9" s="78"/>
      <c r="H9" s="78"/>
      <c r="I9" s="78"/>
      <c r="J9" s="78"/>
      <c r="K9" s="78"/>
      <c r="L9" s="78"/>
      <c r="M9" s="78"/>
      <c r="N9" s="78"/>
      <c r="O9" s="165">
        <f>SUBTOTAL(9,O10:O15)</f>
        <v>0</v>
      </c>
    </row>
    <row r="10" spans="2:15" outlineLevel="1" x14ac:dyDescent="0.4">
      <c r="B10" s="26"/>
      <c r="C10" s="18"/>
      <c r="D10" s="18"/>
      <c r="E10" s="70"/>
      <c r="F10" s="18"/>
      <c r="G10" s="19"/>
      <c r="H10" s="19"/>
      <c r="I10" s="16"/>
      <c r="J10" s="16"/>
      <c r="K10" s="16"/>
      <c r="L10" s="16"/>
      <c r="M10" s="16"/>
      <c r="N10" s="16"/>
      <c r="O10" s="20"/>
    </row>
    <row r="11" spans="2:15" ht="42" outlineLevel="1" x14ac:dyDescent="0.4">
      <c r="B11" s="26"/>
      <c r="C11" s="18"/>
      <c r="D11" s="18"/>
      <c r="E11" s="14" t="s">
        <v>410</v>
      </c>
      <c r="F11" s="13" t="s">
        <v>41</v>
      </c>
      <c r="G11" s="15"/>
      <c r="H11" s="15">
        <v>24</v>
      </c>
      <c r="I11" s="16"/>
      <c r="J11" s="17"/>
      <c r="K11" s="16"/>
      <c r="L11" s="17"/>
      <c r="M11" s="16"/>
      <c r="N11" s="17"/>
      <c r="O11" s="17"/>
    </row>
    <row r="12" spans="2:15" outlineLevel="1" x14ac:dyDescent="0.4">
      <c r="B12" s="26"/>
      <c r="C12" s="18"/>
      <c r="D12" s="18"/>
      <c r="E12" s="70" t="s">
        <v>412</v>
      </c>
      <c r="F12" s="18" t="s">
        <v>41</v>
      </c>
      <c r="G12" s="19">
        <v>1.1000000000000001</v>
      </c>
      <c r="H12" s="19">
        <f>G12*H11</f>
        <v>26.400000000000002</v>
      </c>
      <c r="I12" s="16"/>
      <c r="J12" s="16"/>
      <c r="K12" s="16"/>
      <c r="L12" s="16"/>
      <c r="M12" s="16"/>
      <c r="N12" s="16"/>
      <c r="O12" s="20"/>
    </row>
    <row r="13" spans="2:15" outlineLevel="1" x14ac:dyDescent="0.4">
      <c r="B13" s="26"/>
      <c r="C13" s="18"/>
      <c r="D13" s="18"/>
      <c r="E13" s="70" t="s">
        <v>411</v>
      </c>
      <c r="F13" s="18" t="s">
        <v>41</v>
      </c>
      <c r="G13" s="19">
        <v>1</v>
      </c>
      <c r="H13" s="19">
        <f>G13*H11</f>
        <v>24</v>
      </c>
      <c r="I13" s="16"/>
      <c r="J13" s="16"/>
      <c r="K13" s="16"/>
      <c r="L13" s="16"/>
      <c r="M13" s="16"/>
      <c r="N13" s="16"/>
      <c r="O13" s="20"/>
    </row>
    <row r="14" spans="2:15" outlineLevel="1" x14ac:dyDescent="0.4">
      <c r="B14" s="26"/>
      <c r="C14" s="18"/>
      <c r="D14" s="18"/>
      <c r="E14" s="18"/>
      <c r="F14" s="18"/>
      <c r="G14" s="19"/>
      <c r="H14" s="19"/>
      <c r="I14" s="16"/>
      <c r="J14" s="16"/>
      <c r="K14" s="16"/>
      <c r="L14" s="16"/>
      <c r="M14" s="16"/>
      <c r="N14" s="16"/>
      <c r="O14" s="20"/>
    </row>
    <row r="15" spans="2:15" outlineLevel="1" x14ac:dyDescent="0.4">
      <c r="B15" s="26"/>
      <c r="C15" s="18"/>
      <c r="D15" s="18"/>
      <c r="E15" s="18"/>
      <c r="F15" s="18"/>
      <c r="G15" s="19"/>
      <c r="H15" s="19"/>
      <c r="I15" s="16"/>
      <c r="J15" s="16"/>
      <c r="K15" s="16"/>
      <c r="L15" s="16"/>
      <c r="M15" s="16"/>
      <c r="N15" s="16"/>
      <c r="O15" s="20"/>
    </row>
    <row r="16" spans="2:15" x14ac:dyDescent="0.3">
      <c r="B16" s="77"/>
      <c r="C16" s="78"/>
      <c r="D16" s="78"/>
      <c r="E16" s="79" t="s">
        <v>272</v>
      </c>
      <c r="F16" s="78"/>
      <c r="G16" s="78"/>
      <c r="H16" s="78"/>
      <c r="I16" s="78"/>
      <c r="J16" s="78"/>
      <c r="K16" s="78"/>
      <c r="L16" s="78"/>
      <c r="M16" s="78"/>
      <c r="N16" s="78"/>
      <c r="O16" s="165"/>
    </row>
    <row r="17" spans="2:16" outlineLevel="1" x14ac:dyDescent="0.4">
      <c r="B17" s="26"/>
      <c r="C17" s="18"/>
      <c r="D17" s="18"/>
      <c r="E17" s="70"/>
      <c r="F17" s="18"/>
      <c r="G17" s="19"/>
      <c r="H17" s="19"/>
      <c r="I17" s="16"/>
      <c r="J17" s="16"/>
      <c r="K17" s="16"/>
      <c r="L17" s="16"/>
      <c r="M17" s="16"/>
      <c r="N17" s="16"/>
      <c r="O17" s="20"/>
    </row>
    <row r="18" spans="2:16" ht="63" outlineLevel="1" x14ac:dyDescent="0.4">
      <c r="B18" s="26"/>
      <c r="C18" s="18"/>
      <c r="D18" s="18"/>
      <c r="E18" s="14" t="s">
        <v>418</v>
      </c>
      <c r="F18" s="13" t="s">
        <v>46</v>
      </c>
      <c r="G18" s="15"/>
      <c r="H18" s="15">
        <v>1</v>
      </c>
      <c r="I18" s="16"/>
      <c r="J18" s="17"/>
      <c r="K18" s="16"/>
      <c r="L18" s="17"/>
      <c r="M18" s="16"/>
      <c r="N18" s="17"/>
      <c r="O18" s="17"/>
      <c r="P18" s="4"/>
    </row>
    <row r="19" spans="2:16" outlineLevel="1" x14ac:dyDescent="0.4">
      <c r="B19" s="26"/>
      <c r="C19" s="18"/>
      <c r="D19" s="18"/>
      <c r="E19" s="70" t="s">
        <v>419</v>
      </c>
      <c r="F19" s="18" t="s">
        <v>1</v>
      </c>
      <c r="G19" s="19">
        <v>2</v>
      </c>
      <c r="H19" s="19">
        <f>G19*H18</f>
        <v>2</v>
      </c>
      <c r="I19" s="16"/>
      <c r="J19" s="16"/>
      <c r="K19" s="16"/>
      <c r="L19" s="16"/>
      <c r="M19" s="16"/>
      <c r="N19" s="16"/>
      <c r="O19" s="20"/>
    </row>
    <row r="20" spans="2:16" outlineLevel="1" x14ac:dyDescent="0.4">
      <c r="B20" s="26"/>
      <c r="C20" s="18"/>
      <c r="D20" s="18"/>
      <c r="E20" s="70" t="s">
        <v>308</v>
      </c>
      <c r="F20" s="18" t="s">
        <v>1</v>
      </c>
      <c r="G20" s="19">
        <v>1</v>
      </c>
      <c r="H20" s="19">
        <f>G20*H18</f>
        <v>1</v>
      </c>
      <c r="I20" s="16"/>
      <c r="J20" s="16"/>
      <c r="K20" s="16"/>
      <c r="L20" s="16"/>
      <c r="M20" s="16"/>
      <c r="N20" s="16"/>
      <c r="O20" s="20"/>
    </row>
    <row r="21" spans="2:16" ht="42" outlineLevel="1" x14ac:dyDescent="0.4">
      <c r="B21" s="26"/>
      <c r="C21" s="18"/>
      <c r="D21" s="18"/>
      <c r="E21" s="70" t="s">
        <v>309</v>
      </c>
      <c r="F21" s="18" t="s">
        <v>1</v>
      </c>
      <c r="G21" s="19">
        <v>2</v>
      </c>
      <c r="H21" s="19">
        <f>G21*H18</f>
        <v>2</v>
      </c>
      <c r="I21" s="16"/>
      <c r="J21" s="16"/>
      <c r="K21" s="16"/>
      <c r="L21" s="16"/>
      <c r="M21" s="16"/>
      <c r="N21" s="16"/>
      <c r="O21" s="20"/>
    </row>
    <row r="22" spans="2:16" outlineLevel="1" x14ac:dyDescent="0.4">
      <c r="B22" s="26"/>
      <c r="C22" s="18"/>
      <c r="D22" s="18"/>
      <c r="E22" s="70" t="s">
        <v>310</v>
      </c>
      <c r="F22" s="18" t="s">
        <v>46</v>
      </c>
      <c r="G22" s="19">
        <v>1</v>
      </c>
      <c r="H22" s="19">
        <f>G22*H18</f>
        <v>1</v>
      </c>
      <c r="I22" s="16"/>
      <c r="J22" s="16"/>
      <c r="K22" s="16"/>
      <c r="L22" s="16"/>
      <c r="M22" s="16"/>
      <c r="N22" s="16"/>
      <c r="O22" s="20"/>
    </row>
    <row r="23" spans="2:16" outlineLevel="1" x14ac:dyDescent="0.4">
      <c r="B23" s="26"/>
      <c r="C23" s="18"/>
      <c r="D23" s="18"/>
      <c r="E23" s="18" t="s">
        <v>413</v>
      </c>
      <c r="F23" s="18" t="s">
        <v>46</v>
      </c>
      <c r="G23" s="19">
        <v>1</v>
      </c>
      <c r="H23" s="19">
        <f>G23*H18</f>
        <v>1</v>
      </c>
      <c r="I23" s="16"/>
      <c r="J23" s="16"/>
      <c r="K23" s="16"/>
      <c r="L23" s="16"/>
      <c r="M23" s="16"/>
      <c r="N23" s="16"/>
      <c r="O23" s="20"/>
    </row>
    <row r="24" spans="2:16" outlineLevel="1" x14ac:dyDescent="0.4">
      <c r="B24" s="26"/>
      <c r="C24" s="18"/>
      <c r="D24" s="18"/>
      <c r="E24" s="18"/>
      <c r="F24" s="18"/>
      <c r="G24" s="19"/>
      <c r="H24" s="19"/>
      <c r="I24" s="16"/>
      <c r="J24" s="16"/>
      <c r="K24" s="16"/>
      <c r="L24" s="16"/>
      <c r="M24" s="16"/>
      <c r="N24" s="16"/>
      <c r="O24" s="20"/>
    </row>
    <row r="25" spans="2:16" ht="44.4" outlineLevel="1" x14ac:dyDescent="0.4">
      <c r="B25" s="26"/>
      <c r="C25" s="18"/>
      <c r="D25" s="18"/>
      <c r="E25" s="14" t="s">
        <v>414</v>
      </c>
      <c r="F25" s="13" t="s">
        <v>135</v>
      </c>
      <c r="G25" s="15"/>
      <c r="H25" s="15">
        <v>8</v>
      </c>
      <c r="I25" s="16"/>
      <c r="J25" s="17"/>
      <c r="K25" s="16"/>
      <c r="L25" s="17"/>
      <c r="M25" s="16"/>
      <c r="N25" s="17"/>
      <c r="O25" s="17"/>
    </row>
    <row r="26" spans="2:16" ht="42" outlineLevel="1" x14ac:dyDescent="0.4">
      <c r="B26" s="26"/>
      <c r="C26" s="18"/>
      <c r="D26" s="18"/>
      <c r="E26" s="70" t="s">
        <v>161</v>
      </c>
      <c r="F26" s="18" t="s">
        <v>41</v>
      </c>
      <c r="G26" s="19">
        <v>5</v>
      </c>
      <c r="H26" s="19">
        <f>G26*H25</f>
        <v>40</v>
      </c>
      <c r="I26" s="16"/>
      <c r="J26" s="16"/>
      <c r="K26" s="16"/>
      <c r="L26" s="16"/>
      <c r="M26" s="16"/>
      <c r="N26" s="16"/>
      <c r="O26" s="20"/>
    </row>
    <row r="27" spans="2:16" ht="42" outlineLevel="1" x14ac:dyDescent="0.4">
      <c r="B27" s="26"/>
      <c r="C27" s="18"/>
      <c r="D27" s="18"/>
      <c r="E27" s="70" t="s">
        <v>162</v>
      </c>
      <c r="F27" s="18" t="s">
        <v>41</v>
      </c>
      <c r="G27" s="19">
        <v>29</v>
      </c>
      <c r="H27" s="19">
        <f>G27*H25</f>
        <v>232</v>
      </c>
      <c r="I27" s="16"/>
      <c r="J27" s="16"/>
      <c r="K27" s="16"/>
      <c r="L27" s="16"/>
      <c r="M27" s="16"/>
      <c r="N27" s="16"/>
      <c r="O27" s="20"/>
    </row>
    <row r="28" spans="2:16" outlineLevel="1" x14ac:dyDescent="0.4">
      <c r="B28" s="26"/>
      <c r="C28" s="18"/>
      <c r="D28" s="18"/>
      <c r="E28" s="70" t="s">
        <v>229</v>
      </c>
      <c r="F28" s="18" t="s">
        <v>1</v>
      </c>
      <c r="G28" s="19">
        <v>10</v>
      </c>
      <c r="H28" s="19">
        <f>G28*H25</f>
        <v>80</v>
      </c>
      <c r="I28" s="16"/>
      <c r="J28" s="16"/>
      <c r="K28" s="16"/>
      <c r="L28" s="16"/>
      <c r="M28" s="16"/>
      <c r="N28" s="16"/>
      <c r="O28" s="20"/>
    </row>
    <row r="29" spans="2:16" outlineLevel="1" x14ac:dyDescent="0.4">
      <c r="B29" s="26"/>
      <c r="C29" s="18"/>
      <c r="D29" s="18"/>
      <c r="E29" s="70" t="s">
        <v>282</v>
      </c>
      <c r="F29" s="18" t="s">
        <v>1</v>
      </c>
      <c r="G29" s="19">
        <v>2</v>
      </c>
      <c r="H29" s="19">
        <f>G29*H25</f>
        <v>16</v>
      </c>
      <c r="I29" s="16"/>
      <c r="J29" s="16"/>
      <c r="K29" s="16"/>
      <c r="L29" s="16"/>
      <c r="M29" s="16"/>
      <c r="N29" s="16"/>
      <c r="O29" s="20"/>
    </row>
    <row r="30" spans="2:16" outlineLevel="1" x14ac:dyDescent="0.4">
      <c r="B30" s="26"/>
      <c r="C30" s="18"/>
      <c r="D30" s="18"/>
      <c r="E30" s="70" t="s">
        <v>283</v>
      </c>
      <c r="F30" s="18" t="s">
        <v>1</v>
      </c>
      <c r="G30" s="19">
        <v>2</v>
      </c>
      <c r="H30" s="19">
        <f>G30*H25</f>
        <v>16</v>
      </c>
      <c r="I30" s="16"/>
      <c r="J30" s="16"/>
      <c r="K30" s="16"/>
      <c r="L30" s="16"/>
      <c r="M30" s="16"/>
      <c r="N30" s="16"/>
      <c r="O30" s="20"/>
    </row>
    <row r="31" spans="2:16" outlineLevel="1" x14ac:dyDescent="0.4">
      <c r="B31" s="26"/>
      <c r="C31" s="18"/>
      <c r="D31" s="18"/>
      <c r="E31" s="70" t="s">
        <v>284</v>
      </c>
      <c r="F31" s="18" t="s">
        <v>1</v>
      </c>
      <c r="G31" s="19">
        <v>10</v>
      </c>
      <c r="H31" s="19">
        <f>G31*H25</f>
        <v>80</v>
      </c>
      <c r="I31" s="16"/>
      <c r="J31" s="16"/>
      <c r="K31" s="16"/>
      <c r="L31" s="16"/>
      <c r="M31" s="16"/>
      <c r="N31" s="16"/>
      <c r="O31" s="20"/>
    </row>
    <row r="32" spans="2:16" ht="42" outlineLevel="1" x14ac:dyDescent="0.4">
      <c r="B32" s="26"/>
      <c r="C32" s="18"/>
      <c r="D32" s="18"/>
      <c r="E32" s="70" t="s">
        <v>281</v>
      </c>
      <c r="F32" s="18" t="s">
        <v>1</v>
      </c>
      <c r="G32" s="19">
        <v>8</v>
      </c>
      <c r="H32" s="19">
        <f>G32*H25</f>
        <v>64</v>
      </c>
      <c r="I32" s="16"/>
      <c r="J32" s="16"/>
      <c r="K32" s="16"/>
      <c r="L32" s="16"/>
      <c r="M32" s="16"/>
      <c r="N32" s="16"/>
      <c r="O32" s="20"/>
    </row>
    <row r="33" spans="2:15" ht="42" outlineLevel="1" x14ac:dyDescent="0.4">
      <c r="B33" s="26"/>
      <c r="C33" s="18"/>
      <c r="D33" s="18"/>
      <c r="E33" s="70" t="s">
        <v>285</v>
      </c>
      <c r="F33" s="18" t="s">
        <v>1</v>
      </c>
      <c r="G33" s="19">
        <v>10</v>
      </c>
      <c r="H33" s="19">
        <f>G33*H25</f>
        <v>80</v>
      </c>
      <c r="I33" s="16"/>
      <c r="J33" s="16"/>
      <c r="K33" s="16"/>
      <c r="L33" s="16"/>
      <c r="M33" s="16"/>
      <c r="N33" s="16"/>
      <c r="O33" s="20"/>
    </row>
    <row r="34" spans="2:15" outlineLevel="1" x14ac:dyDescent="0.4">
      <c r="B34" s="26"/>
      <c r="C34" s="18"/>
      <c r="D34" s="18"/>
      <c r="E34" s="70" t="s">
        <v>286</v>
      </c>
      <c r="F34" s="18" t="s">
        <v>1</v>
      </c>
      <c r="G34" s="19">
        <v>15</v>
      </c>
      <c r="H34" s="19">
        <f>G34*H25</f>
        <v>120</v>
      </c>
      <c r="I34" s="16"/>
      <c r="J34" s="16"/>
      <c r="K34" s="16"/>
      <c r="L34" s="16"/>
      <c r="M34" s="16"/>
      <c r="N34" s="16"/>
      <c r="O34" s="20"/>
    </row>
    <row r="35" spans="2:15" outlineLevel="1" x14ac:dyDescent="0.4">
      <c r="B35" s="26"/>
      <c r="C35" s="18"/>
      <c r="D35" s="18"/>
      <c r="E35" s="70" t="s">
        <v>228</v>
      </c>
      <c r="F35" s="18" t="s">
        <v>1</v>
      </c>
      <c r="G35" s="19">
        <v>50</v>
      </c>
      <c r="H35" s="19">
        <f>G35*H25</f>
        <v>400</v>
      </c>
      <c r="I35" s="16"/>
      <c r="J35" s="16"/>
      <c r="K35" s="16"/>
      <c r="L35" s="16"/>
      <c r="M35" s="16"/>
      <c r="N35" s="16"/>
      <c r="O35" s="20"/>
    </row>
    <row r="36" spans="2:15" outlineLevel="1" x14ac:dyDescent="0.4">
      <c r="B36" s="26"/>
      <c r="C36" s="18"/>
      <c r="D36" s="18"/>
      <c r="E36" s="70" t="s">
        <v>287</v>
      </c>
      <c r="F36" s="18" t="s">
        <v>1</v>
      </c>
      <c r="G36" s="19">
        <v>1</v>
      </c>
      <c r="H36" s="19">
        <f>G36*H25</f>
        <v>8</v>
      </c>
      <c r="I36" s="16"/>
      <c r="J36" s="16"/>
      <c r="K36" s="16"/>
      <c r="L36" s="16"/>
      <c r="M36" s="16"/>
      <c r="N36" s="16"/>
      <c r="O36" s="20"/>
    </row>
    <row r="37" spans="2:15" outlineLevel="1" x14ac:dyDescent="0.4">
      <c r="B37" s="26"/>
      <c r="C37" s="18"/>
      <c r="D37" s="18"/>
      <c r="E37" s="70" t="s">
        <v>288</v>
      </c>
      <c r="F37" s="18" t="s">
        <v>1</v>
      </c>
      <c r="G37" s="19">
        <v>6</v>
      </c>
      <c r="H37" s="19">
        <f>G37*H25</f>
        <v>48</v>
      </c>
      <c r="I37" s="16"/>
      <c r="J37" s="16"/>
      <c r="K37" s="16"/>
      <c r="L37" s="16"/>
      <c r="M37" s="16"/>
      <c r="N37" s="16"/>
      <c r="O37" s="20"/>
    </row>
    <row r="38" spans="2:15" outlineLevel="1" x14ac:dyDescent="0.4">
      <c r="B38" s="26"/>
      <c r="C38" s="18"/>
      <c r="D38" s="18"/>
      <c r="E38" s="70" t="s">
        <v>231</v>
      </c>
      <c r="F38" s="18" t="s">
        <v>1</v>
      </c>
      <c r="G38" s="19">
        <v>2</v>
      </c>
      <c r="H38" s="19">
        <f>G38*H25</f>
        <v>16</v>
      </c>
      <c r="I38" s="16"/>
      <c r="J38" s="16"/>
      <c r="K38" s="16"/>
      <c r="L38" s="16"/>
      <c r="M38" s="16"/>
      <c r="N38" s="16"/>
      <c r="O38" s="20"/>
    </row>
    <row r="39" spans="2:15" ht="42" outlineLevel="1" x14ac:dyDescent="0.4">
      <c r="B39" s="26"/>
      <c r="C39" s="18"/>
      <c r="D39" s="18"/>
      <c r="E39" s="70" t="s">
        <v>289</v>
      </c>
      <c r="F39" s="18" t="s">
        <v>1</v>
      </c>
      <c r="G39" s="19">
        <v>3</v>
      </c>
      <c r="H39" s="19">
        <f>G39*H25</f>
        <v>24</v>
      </c>
      <c r="I39" s="16"/>
      <c r="J39" s="16"/>
      <c r="K39" s="16"/>
      <c r="L39" s="16"/>
      <c r="M39" s="16"/>
      <c r="N39" s="16"/>
      <c r="O39" s="20"/>
    </row>
    <row r="40" spans="2:15" ht="42" outlineLevel="1" x14ac:dyDescent="0.4">
      <c r="B40" s="26"/>
      <c r="C40" s="18"/>
      <c r="D40" s="18"/>
      <c r="E40" s="70" t="s">
        <v>227</v>
      </c>
      <c r="F40" s="18" t="s">
        <v>41</v>
      </c>
      <c r="G40" s="19">
        <v>5</v>
      </c>
      <c r="H40" s="19">
        <f>G40*H25</f>
        <v>40</v>
      </c>
      <c r="I40" s="16"/>
      <c r="J40" s="16"/>
      <c r="K40" s="16"/>
      <c r="L40" s="16"/>
      <c r="M40" s="16"/>
      <c r="N40" s="16"/>
      <c r="O40" s="20"/>
    </row>
    <row r="41" spans="2:15" ht="42" outlineLevel="1" x14ac:dyDescent="0.4">
      <c r="B41" s="26"/>
      <c r="C41" s="18"/>
      <c r="D41" s="18"/>
      <c r="E41" s="70" t="s">
        <v>226</v>
      </c>
      <c r="F41" s="18" t="s">
        <v>41</v>
      </c>
      <c r="G41" s="19">
        <v>29</v>
      </c>
      <c r="H41" s="19">
        <f>G41*H25</f>
        <v>232</v>
      </c>
      <c r="I41" s="16"/>
      <c r="J41" s="16"/>
      <c r="K41" s="16"/>
      <c r="L41" s="16"/>
      <c r="M41" s="16"/>
      <c r="N41" s="16"/>
      <c r="O41" s="20"/>
    </row>
    <row r="42" spans="2:15" outlineLevel="1" x14ac:dyDescent="0.4">
      <c r="B42" s="26"/>
      <c r="C42" s="18"/>
      <c r="D42" s="18"/>
      <c r="E42" s="70" t="s">
        <v>132</v>
      </c>
      <c r="F42" s="18" t="s">
        <v>78</v>
      </c>
      <c r="G42" s="19">
        <v>6</v>
      </c>
      <c r="H42" s="19">
        <f>G42*H25</f>
        <v>48</v>
      </c>
      <c r="I42" s="16"/>
      <c r="J42" s="16"/>
      <c r="K42" s="16"/>
      <c r="L42" s="16"/>
      <c r="M42" s="16"/>
      <c r="N42" s="16"/>
      <c r="O42" s="20"/>
    </row>
    <row r="43" spans="2:15" outlineLevel="1" x14ac:dyDescent="0.4">
      <c r="B43" s="26"/>
      <c r="C43" s="18"/>
      <c r="D43" s="18"/>
      <c r="E43" s="18"/>
      <c r="F43" s="18"/>
      <c r="G43" s="19"/>
      <c r="H43" s="19"/>
      <c r="I43" s="16"/>
      <c r="J43" s="16"/>
      <c r="K43" s="16"/>
      <c r="L43" s="16"/>
      <c r="M43" s="16"/>
      <c r="N43" s="16"/>
      <c r="O43" s="20"/>
    </row>
    <row r="44" spans="2:15" outlineLevel="1" x14ac:dyDescent="0.4">
      <c r="B44" s="26"/>
      <c r="C44" s="18"/>
      <c r="D44" s="18"/>
      <c r="E44" s="14" t="s">
        <v>415</v>
      </c>
      <c r="F44" s="13" t="s">
        <v>116</v>
      </c>
      <c r="G44" s="15"/>
      <c r="H44" s="15">
        <v>8</v>
      </c>
      <c r="I44" s="16"/>
      <c r="J44" s="17"/>
      <c r="K44" s="16"/>
      <c r="L44" s="17"/>
      <c r="M44" s="16"/>
      <c r="N44" s="17"/>
      <c r="O44" s="17"/>
    </row>
    <row r="45" spans="2:15" ht="42" outlineLevel="1" x14ac:dyDescent="0.4">
      <c r="B45" s="26"/>
      <c r="C45" s="18"/>
      <c r="D45" s="18"/>
      <c r="E45" s="70" t="s">
        <v>160</v>
      </c>
      <c r="F45" s="18" t="s">
        <v>41</v>
      </c>
      <c r="G45" s="19"/>
      <c r="H45" s="19">
        <v>20</v>
      </c>
      <c r="I45" s="16"/>
      <c r="J45" s="16"/>
      <c r="K45" s="16"/>
      <c r="L45" s="16"/>
      <c r="M45" s="16"/>
      <c r="N45" s="16"/>
      <c r="O45" s="20"/>
    </row>
    <row r="46" spans="2:15" outlineLevel="1" x14ac:dyDescent="0.4">
      <c r="B46" s="26"/>
      <c r="C46" s="18"/>
      <c r="D46" s="18"/>
      <c r="E46" s="70" t="s">
        <v>416</v>
      </c>
      <c r="F46" s="18" t="s">
        <v>1</v>
      </c>
      <c r="G46" s="19">
        <v>1</v>
      </c>
      <c r="H46" s="19">
        <f>G46*H44</f>
        <v>8</v>
      </c>
      <c r="I46" s="16"/>
      <c r="J46" s="16"/>
      <c r="K46" s="16"/>
      <c r="L46" s="16"/>
      <c r="M46" s="16"/>
      <c r="N46" s="16"/>
      <c r="O46" s="20"/>
    </row>
    <row r="47" spans="2:15" outlineLevel="1" x14ac:dyDescent="0.4">
      <c r="B47" s="26"/>
      <c r="C47" s="18"/>
      <c r="D47" s="18"/>
      <c r="E47" s="70" t="s">
        <v>124</v>
      </c>
      <c r="F47" s="18" t="s">
        <v>1</v>
      </c>
      <c r="G47" s="19">
        <v>1</v>
      </c>
      <c r="H47" s="19">
        <f>G47*H44</f>
        <v>8</v>
      </c>
      <c r="I47" s="16"/>
      <c r="J47" s="16"/>
      <c r="K47" s="16"/>
      <c r="L47" s="16"/>
      <c r="M47" s="16"/>
      <c r="N47" s="16"/>
      <c r="O47" s="20"/>
    </row>
    <row r="48" spans="2:15" outlineLevel="1" x14ac:dyDescent="0.4">
      <c r="B48" s="26"/>
      <c r="C48" s="18"/>
      <c r="D48" s="18"/>
      <c r="E48" s="70" t="s">
        <v>132</v>
      </c>
      <c r="F48" s="18" t="s">
        <v>78</v>
      </c>
      <c r="G48" s="19">
        <v>6</v>
      </c>
      <c r="H48" s="19">
        <f>G48*H44</f>
        <v>48</v>
      </c>
      <c r="I48" s="16"/>
      <c r="J48" s="16"/>
      <c r="K48" s="16"/>
      <c r="L48" s="16"/>
      <c r="M48" s="16"/>
      <c r="N48" s="16"/>
      <c r="O48" s="20"/>
    </row>
    <row r="49" spans="2:15" outlineLevel="1" x14ac:dyDescent="0.4">
      <c r="B49" s="26"/>
      <c r="C49" s="18"/>
      <c r="D49" s="18"/>
      <c r="E49" s="18"/>
      <c r="F49" s="18"/>
      <c r="G49" s="19"/>
      <c r="H49" s="19"/>
      <c r="I49" s="16"/>
      <c r="J49" s="16"/>
      <c r="K49" s="16"/>
      <c r="L49" s="16"/>
      <c r="M49" s="16"/>
      <c r="N49" s="16"/>
      <c r="O49" s="20"/>
    </row>
    <row r="50" spans="2:15" x14ac:dyDescent="0.3">
      <c r="B50" s="77"/>
      <c r="C50" s="78"/>
      <c r="D50" s="78"/>
      <c r="E50" s="79" t="s">
        <v>271</v>
      </c>
      <c r="F50" s="78"/>
      <c r="G50" s="78"/>
      <c r="H50" s="78"/>
      <c r="I50" s="78"/>
      <c r="J50" s="78"/>
      <c r="K50" s="78"/>
      <c r="L50" s="78"/>
      <c r="M50" s="78"/>
      <c r="N50" s="78"/>
      <c r="O50" s="165"/>
    </row>
    <row r="51" spans="2:15" outlineLevel="1" x14ac:dyDescent="0.4">
      <c r="B51" s="26"/>
      <c r="C51" s="18"/>
      <c r="D51" s="18"/>
      <c r="E51" s="70"/>
      <c r="F51" s="18"/>
      <c r="G51" s="19"/>
      <c r="H51" s="19"/>
      <c r="I51" s="16"/>
      <c r="J51" s="16"/>
      <c r="K51" s="16"/>
      <c r="L51" s="16"/>
      <c r="M51" s="16"/>
      <c r="N51" s="16"/>
      <c r="O51" s="20"/>
    </row>
    <row r="52" spans="2:15" ht="42" outlineLevel="1" x14ac:dyDescent="0.4">
      <c r="B52" s="26"/>
      <c r="C52" s="18"/>
      <c r="D52" s="18"/>
      <c r="E52" s="14" t="s">
        <v>238</v>
      </c>
      <c r="F52" s="13" t="s">
        <v>41</v>
      </c>
      <c r="G52" s="15"/>
      <c r="H52" s="15">
        <v>24</v>
      </c>
      <c r="I52" s="16"/>
      <c r="J52" s="17"/>
      <c r="K52" s="16"/>
      <c r="L52" s="17"/>
      <c r="M52" s="16"/>
      <c r="N52" s="17"/>
      <c r="O52" s="17"/>
    </row>
    <row r="53" spans="2:15" outlineLevel="1" x14ac:dyDescent="0.4">
      <c r="B53" s="26"/>
      <c r="C53" s="18"/>
      <c r="D53" s="18"/>
      <c r="E53" s="70" t="s">
        <v>240</v>
      </c>
      <c r="F53" s="18" t="s">
        <v>1</v>
      </c>
      <c r="G53" s="19">
        <v>1</v>
      </c>
      <c r="H53" s="19">
        <f>G53*H52</f>
        <v>24</v>
      </c>
      <c r="I53" s="16"/>
      <c r="J53" s="16"/>
      <c r="K53" s="16"/>
      <c r="L53" s="16"/>
      <c r="M53" s="16"/>
      <c r="N53" s="16"/>
      <c r="O53" s="20"/>
    </row>
    <row r="54" spans="2:15" outlineLevel="1" x14ac:dyDescent="0.4">
      <c r="B54" s="26"/>
      <c r="C54" s="18"/>
      <c r="D54" s="18"/>
      <c r="E54" s="18" t="s">
        <v>242</v>
      </c>
      <c r="F54" s="18" t="s">
        <v>41</v>
      </c>
      <c r="G54" s="19">
        <v>1</v>
      </c>
      <c r="H54" s="19">
        <f>G54*H52</f>
        <v>24</v>
      </c>
      <c r="I54" s="16"/>
      <c r="J54" s="16"/>
      <c r="K54" s="16"/>
      <c r="L54" s="16"/>
      <c r="M54" s="16"/>
      <c r="N54" s="16"/>
      <c r="O54" s="20"/>
    </row>
    <row r="55" spans="2:15" outlineLevel="1" x14ac:dyDescent="0.4">
      <c r="B55" s="26"/>
      <c r="C55" s="18"/>
      <c r="D55" s="18"/>
      <c r="E55" s="18"/>
      <c r="F55" s="18"/>
      <c r="G55" s="19"/>
      <c r="H55" s="19"/>
      <c r="I55" s="16"/>
      <c r="J55" s="16"/>
      <c r="K55" s="16"/>
      <c r="L55" s="16"/>
      <c r="M55" s="16"/>
      <c r="N55" s="16"/>
      <c r="O55" s="20"/>
    </row>
    <row r="56" spans="2:15" ht="42" outlineLevel="1" x14ac:dyDescent="0.4">
      <c r="B56" s="26"/>
      <c r="C56" s="18"/>
      <c r="D56" s="18"/>
      <c r="E56" s="14" t="s">
        <v>239</v>
      </c>
      <c r="F56" s="13" t="s">
        <v>41</v>
      </c>
      <c r="G56" s="15"/>
      <c r="H56" s="15">
        <v>10</v>
      </c>
      <c r="I56" s="16"/>
      <c r="J56" s="17"/>
      <c r="K56" s="16"/>
      <c r="L56" s="17"/>
      <c r="M56" s="16"/>
      <c r="N56" s="17"/>
      <c r="O56" s="17"/>
    </row>
    <row r="57" spans="2:15" outlineLevel="1" x14ac:dyDescent="0.4">
      <c r="B57" s="26"/>
      <c r="C57" s="18"/>
      <c r="D57" s="18"/>
      <c r="E57" s="70" t="s">
        <v>241</v>
      </c>
      <c r="F57" s="18" t="s">
        <v>1</v>
      </c>
      <c r="G57" s="19">
        <v>1</v>
      </c>
      <c r="H57" s="19">
        <f>G57*H56</f>
        <v>10</v>
      </c>
      <c r="I57" s="16"/>
      <c r="J57" s="16"/>
      <c r="K57" s="16"/>
      <c r="L57" s="16"/>
      <c r="M57" s="16"/>
      <c r="N57" s="16"/>
      <c r="O57" s="20"/>
    </row>
    <row r="58" spans="2:15" outlineLevel="1" x14ac:dyDescent="0.4">
      <c r="B58" s="26"/>
      <c r="C58" s="18"/>
      <c r="D58" s="18"/>
      <c r="E58" s="18" t="s">
        <v>243</v>
      </c>
      <c r="F58" s="18" t="s">
        <v>41</v>
      </c>
      <c r="G58" s="19">
        <v>1</v>
      </c>
      <c r="H58" s="19">
        <f>G58*H56</f>
        <v>10</v>
      </c>
      <c r="I58" s="16"/>
      <c r="J58" s="16"/>
      <c r="K58" s="16"/>
      <c r="L58" s="16"/>
      <c r="M58" s="16"/>
      <c r="N58" s="16"/>
      <c r="O58" s="20"/>
    </row>
    <row r="59" spans="2:15" outlineLevel="1" x14ac:dyDescent="0.4">
      <c r="B59" s="26"/>
      <c r="C59" s="18"/>
      <c r="D59" s="18"/>
      <c r="E59" s="18"/>
      <c r="F59" s="18"/>
      <c r="G59" s="19"/>
      <c r="H59" s="19"/>
      <c r="I59" s="16"/>
      <c r="J59" s="16"/>
      <c r="K59" s="16"/>
      <c r="L59" s="16"/>
      <c r="M59" s="16"/>
      <c r="N59" s="16"/>
      <c r="O59" s="20"/>
    </row>
    <row r="60" spans="2:15" ht="42" outlineLevel="1" x14ac:dyDescent="0.4">
      <c r="B60" s="26"/>
      <c r="C60" s="18"/>
      <c r="D60" s="18"/>
      <c r="E60" s="14" t="s">
        <v>246</v>
      </c>
      <c r="F60" s="13" t="s">
        <v>41</v>
      </c>
      <c r="G60" s="15"/>
      <c r="H60" s="15">
        <v>10</v>
      </c>
      <c r="I60" s="16"/>
      <c r="J60" s="17"/>
      <c r="K60" s="16"/>
      <c r="L60" s="17"/>
      <c r="M60" s="16"/>
      <c r="N60" s="17"/>
      <c r="O60" s="17"/>
    </row>
    <row r="61" spans="2:15" outlineLevel="1" x14ac:dyDescent="0.4">
      <c r="B61" s="26"/>
      <c r="C61" s="18"/>
      <c r="D61" s="18"/>
      <c r="E61" s="70" t="s">
        <v>247</v>
      </c>
      <c r="F61" s="18" t="s">
        <v>41</v>
      </c>
      <c r="G61" s="19">
        <v>1</v>
      </c>
      <c r="H61" s="19">
        <f>G61*H60</f>
        <v>10</v>
      </c>
      <c r="I61" s="16"/>
      <c r="J61" s="16"/>
      <c r="K61" s="16"/>
      <c r="L61" s="16"/>
      <c r="M61" s="16"/>
      <c r="N61" s="16"/>
      <c r="O61" s="20"/>
    </row>
    <row r="62" spans="2:15" outlineLevel="1" x14ac:dyDescent="0.4">
      <c r="B62" s="26"/>
      <c r="C62" s="18"/>
      <c r="D62" s="18"/>
      <c r="E62" s="18" t="s">
        <v>248</v>
      </c>
      <c r="F62" s="18" t="s">
        <v>41</v>
      </c>
      <c r="G62" s="19">
        <v>1</v>
      </c>
      <c r="H62" s="19">
        <f>G62*H60</f>
        <v>10</v>
      </c>
      <c r="I62" s="16"/>
      <c r="J62" s="16"/>
      <c r="K62" s="16"/>
      <c r="L62" s="16"/>
      <c r="M62" s="16"/>
      <c r="N62" s="16"/>
      <c r="O62" s="20"/>
    </row>
    <row r="63" spans="2:15" outlineLevel="1" x14ac:dyDescent="0.4">
      <c r="B63" s="26"/>
      <c r="C63" s="18"/>
      <c r="D63" s="18"/>
      <c r="E63" s="18"/>
      <c r="F63" s="18"/>
      <c r="G63" s="19"/>
      <c r="H63" s="19"/>
      <c r="I63" s="16"/>
      <c r="J63" s="16"/>
      <c r="K63" s="16"/>
      <c r="L63" s="16"/>
      <c r="M63" s="16"/>
      <c r="N63" s="16"/>
      <c r="O63" s="20"/>
    </row>
    <row r="64" spans="2:15" outlineLevel="1" x14ac:dyDescent="0.4">
      <c r="B64" s="26"/>
      <c r="C64" s="18"/>
      <c r="D64" s="18"/>
      <c r="E64" s="14" t="s">
        <v>358</v>
      </c>
      <c r="F64" s="13" t="s">
        <v>46</v>
      </c>
      <c r="G64" s="15"/>
      <c r="H64" s="15">
        <v>2</v>
      </c>
      <c r="I64" s="16"/>
      <c r="J64" s="17"/>
      <c r="K64" s="16"/>
      <c r="L64" s="17"/>
      <c r="M64" s="16"/>
      <c r="N64" s="17"/>
      <c r="O64" s="17"/>
    </row>
    <row r="65" spans="2:15" outlineLevel="1" x14ac:dyDescent="0.4">
      <c r="B65" s="26"/>
      <c r="C65" s="18"/>
      <c r="D65" s="18"/>
      <c r="E65" s="70" t="s">
        <v>358</v>
      </c>
      <c r="F65" s="18" t="s">
        <v>1</v>
      </c>
      <c r="G65" s="19">
        <v>1</v>
      </c>
      <c r="H65" s="19">
        <f>G65*H64</f>
        <v>2</v>
      </c>
      <c r="I65" s="16"/>
      <c r="J65" s="16"/>
      <c r="K65" s="16"/>
      <c r="L65" s="16"/>
      <c r="M65" s="16"/>
      <c r="N65" s="16"/>
      <c r="O65" s="20"/>
    </row>
    <row r="66" spans="2:15" outlineLevel="1" x14ac:dyDescent="0.4">
      <c r="B66" s="26"/>
      <c r="C66" s="18"/>
      <c r="D66" s="18"/>
      <c r="E66" s="18" t="s">
        <v>359</v>
      </c>
      <c r="F66" s="18" t="s">
        <v>1</v>
      </c>
      <c r="G66" s="19">
        <v>1</v>
      </c>
      <c r="H66" s="19">
        <f>G66*H64</f>
        <v>2</v>
      </c>
      <c r="I66" s="16"/>
      <c r="J66" s="16"/>
      <c r="K66" s="16"/>
      <c r="L66" s="16"/>
      <c r="M66" s="16"/>
      <c r="N66" s="16"/>
      <c r="O66" s="20"/>
    </row>
    <row r="67" spans="2:15" outlineLevel="1" x14ac:dyDescent="0.4">
      <c r="B67" s="26"/>
      <c r="C67" s="18"/>
      <c r="D67" s="18"/>
      <c r="E67" s="18"/>
      <c r="F67" s="18"/>
      <c r="G67" s="19"/>
      <c r="H67" s="19"/>
      <c r="I67" s="16"/>
      <c r="J67" s="16"/>
      <c r="K67" s="16"/>
      <c r="L67" s="16"/>
      <c r="M67" s="16"/>
      <c r="N67" s="16"/>
      <c r="O67" s="20"/>
    </row>
    <row r="68" spans="2:15" ht="44.4" outlineLevel="1" x14ac:dyDescent="0.4">
      <c r="B68" s="26"/>
      <c r="C68" s="18"/>
      <c r="D68" s="18"/>
      <c r="E68" s="14" t="s">
        <v>417</v>
      </c>
      <c r="F68" s="13" t="s">
        <v>135</v>
      </c>
      <c r="G68" s="15"/>
      <c r="H68" s="15">
        <v>8</v>
      </c>
      <c r="I68" s="16"/>
      <c r="J68" s="17"/>
      <c r="K68" s="16"/>
      <c r="L68" s="17"/>
      <c r="M68" s="16"/>
      <c r="N68" s="17"/>
      <c r="O68" s="17"/>
    </row>
    <row r="69" spans="2:15" outlineLevel="1" x14ac:dyDescent="0.4">
      <c r="B69" s="26"/>
      <c r="C69" s="18"/>
      <c r="D69" s="18"/>
      <c r="E69" s="70" t="s">
        <v>165</v>
      </c>
      <c r="F69" s="18" t="s">
        <v>41</v>
      </c>
      <c r="G69" s="19">
        <v>5</v>
      </c>
      <c r="H69" s="19">
        <f>G69*H68</f>
        <v>40</v>
      </c>
      <c r="I69" s="16"/>
      <c r="J69" s="16"/>
      <c r="K69" s="16"/>
      <c r="L69" s="16"/>
      <c r="M69" s="16"/>
      <c r="N69" s="16"/>
      <c r="O69" s="20"/>
    </row>
    <row r="70" spans="2:15" outlineLevel="1" x14ac:dyDescent="0.4">
      <c r="B70" s="26"/>
      <c r="C70" s="18"/>
      <c r="D70" s="18"/>
      <c r="E70" s="70" t="s">
        <v>166</v>
      </c>
      <c r="F70" s="18" t="s">
        <v>41</v>
      </c>
      <c r="G70" s="19">
        <v>12</v>
      </c>
      <c r="H70" s="19">
        <f>G70*H68</f>
        <v>96</v>
      </c>
      <c r="I70" s="16"/>
      <c r="J70" s="16"/>
      <c r="K70" s="16"/>
      <c r="L70" s="16"/>
      <c r="M70" s="16"/>
      <c r="N70" s="16"/>
      <c r="O70" s="20"/>
    </row>
    <row r="71" spans="2:15" outlineLevel="1" x14ac:dyDescent="0.4">
      <c r="B71" s="26"/>
      <c r="C71" s="18"/>
      <c r="D71" s="18"/>
      <c r="E71" s="70" t="s">
        <v>235</v>
      </c>
      <c r="F71" s="18" t="s">
        <v>1</v>
      </c>
      <c r="G71" s="19">
        <v>8</v>
      </c>
      <c r="H71" s="19">
        <f>G71*H68</f>
        <v>64</v>
      </c>
      <c r="I71" s="16"/>
      <c r="J71" s="16"/>
      <c r="K71" s="16"/>
      <c r="L71" s="16"/>
      <c r="M71" s="16"/>
      <c r="N71" s="16"/>
      <c r="O71" s="20"/>
    </row>
    <row r="72" spans="2:15" outlineLevel="1" x14ac:dyDescent="0.4">
      <c r="B72" s="26"/>
      <c r="C72" s="18"/>
      <c r="D72" s="18"/>
      <c r="E72" s="70" t="s">
        <v>245</v>
      </c>
      <c r="F72" s="18" t="s">
        <v>1</v>
      </c>
      <c r="G72" s="19">
        <v>5</v>
      </c>
      <c r="H72" s="19">
        <f>G72*H68</f>
        <v>40</v>
      </c>
      <c r="I72" s="16"/>
      <c r="J72" s="16"/>
      <c r="K72" s="16"/>
      <c r="L72" s="16"/>
      <c r="M72" s="16"/>
      <c r="N72" s="16"/>
      <c r="O72" s="20"/>
    </row>
    <row r="73" spans="2:15" outlineLevel="1" x14ac:dyDescent="0.4">
      <c r="B73" s="26"/>
      <c r="C73" s="18"/>
      <c r="D73" s="18"/>
      <c r="E73" s="70" t="s">
        <v>244</v>
      </c>
      <c r="F73" s="18" t="s">
        <v>1</v>
      </c>
      <c r="G73" s="19">
        <v>8</v>
      </c>
      <c r="H73" s="19">
        <f>G73*H68</f>
        <v>64</v>
      </c>
      <c r="I73" s="16"/>
      <c r="J73" s="16"/>
      <c r="K73" s="16"/>
      <c r="L73" s="16"/>
      <c r="M73" s="16"/>
      <c r="N73" s="16"/>
      <c r="O73" s="20"/>
    </row>
    <row r="74" spans="2:15" outlineLevel="1" x14ac:dyDescent="0.4">
      <c r="B74" s="26"/>
      <c r="C74" s="18"/>
      <c r="D74" s="18"/>
      <c r="E74" s="70" t="s">
        <v>236</v>
      </c>
      <c r="F74" s="18" t="s">
        <v>1</v>
      </c>
      <c r="G74" s="19">
        <v>7</v>
      </c>
      <c r="H74" s="19">
        <f>G74*H68</f>
        <v>56</v>
      </c>
      <c r="I74" s="16"/>
      <c r="J74" s="16"/>
      <c r="K74" s="16"/>
      <c r="L74" s="16"/>
      <c r="M74" s="16"/>
      <c r="N74" s="16"/>
      <c r="O74" s="20"/>
    </row>
    <row r="75" spans="2:15" outlineLevel="1" x14ac:dyDescent="0.4">
      <c r="B75" s="26"/>
      <c r="C75" s="18"/>
      <c r="D75" s="18"/>
      <c r="E75" s="70" t="s">
        <v>290</v>
      </c>
      <c r="F75" s="18" t="s">
        <v>1</v>
      </c>
      <c r="G75" s="19">
        <v>3</v>
      </c>
      <c r="H75" s="19">
        <f>G75*H68</f>
        <v>24</v>
      </c>
      <c r="I75" s="16"/>
      <c r="J75" s="16"/>
      <c r="K75" s="16"/>
      <c r="L75" s="16"/>
      <c r="M75" s="16"/>
      <c r="N75" s="16"/>
      <c r="O75" s="20"/>
    </row>
    <row r="76" spans="2:15" outlineLevel="1" x14ac:dyDescent="0.4">
      <c r="B76" s="26"/>
      <c r="C76" s="18"/>
      <c r="D76" s="18"/>
      <c r="E76" s="70" t="s">
        <v>242</v>
      </c>
      <c r="F76" s="18" t="s">
        <v>41</v>
      </c>
      <c r="G76" s="19">
        <v>5</v>
      </c>
      <c r="H76" s="19">
        <f>G76*H68</f>
        <v>40</v>
      </c>
      <c r="I76" s="16"/>
      <c r="J76" s="16"/>
      <c r="K76" s="16"/>
      <c r="L76" s="16"/>
      <c r="M76" s="16"/>
      <c r="N76" s="16"/>
      <c r="O76" s="20"/>
    </row>
    <row r="77" spans="2:15" outlineLevel="1" x14ac:dyDescent="0.4">
      <c r="B77" s="26"/>
      <c r="C77" s="18"/>
      <c r="D77" s="18"/>
      <c r="E77" s="70" t="s">
        <v>237</v>
      </c>
      <c r="F77" s="18" t="s">
        <v>41</v>
      </c>
      <c r="G77" s="19">
        <v>10</v>
      </c>
      <c r="H77" s="19">
        <f>G77*H68</f>
        <v>80</v>
      </c>
      <c r="I77" s="16"/>
      <c r="J77" s="16"/>
      <c r="K77" s="16"/>
      <c r="L77" s="16"/>
      <c r="M77" s="16"/>
      <c r="N77" s="16"/>
      <c r="O77" s="20"/>
    </row>
    <row r="78" spans="2:15" outlineLevel="1" x14ac:dyDescent="0.4">
      <c r="B78" s="26"/>
      <c r="C78" s="18"/>
      <c r="D78" s="18"/>
      <c r="E78" s="70" t="s">
        <v>131</v>
      </c>
      <c r="F78" s="18" t="s">
        <v>78</v>
      </c>
      <c r="G78" s="19">
        <v>6</v>
      </c>
      <c r="H78" s="19">
        <f>G78*H68</f>
        <v>48</v>
      </c>
      <c r="I78" s="16"/>
      <c r="J78" s="16"/>
      <c r="K78" s="16"/>
      <c r="L78" s="16"/>
      <c r="M78" s="16"/>
      <c r="N78" s="16"/>
      <c r="O78" s="20"/>
    </row>
    <row r="79" spans="2:15" outlineLevel="1" x14ac:dyDescent="0.4">
      <c r="B79" s="26"/>
      <c r="C79" s="18"/>
      <c r="D79" s="18"/>
      <c r="E79" s="18"/>
      <c r="F79" s="18"/>
      <c r="G79" s="19"/>
      <c r="H79" s="19"/>
      <c r="I79" s="16"/>
      <c r="J79" s="16"/>
      <c r="K79" s="16"/>
      <c r="L79" s="16"/>
      <c r="M79" s="16"/>
      <c r="N79" s="16"/>
      <c r="O79" s="20"/>
    </row>
    <row r="80" spans="2:15" x14ac:dyDescent="0.3">
      <c r="B80" s="77"/>
      <c r="C80" s="78"/>
      <c r="D80" s="78"/>
      <c r="E80" s="79" t="s">
        <v>305</v>
      </c>
      <c r="F80" s="78"/>
      <c r="G80" s="78"/>
      <c r="H80" s="78"/>
      <c r="I80" s="78"/>
      <c r="J80" s="78"/>
      <c r="K80" s="78"/>
      <c r="L80" s="78"/>
      <c r="M80" s="78"/>
      <c r="N80" s="78"/>
      <c r="O80" s="165"/>
    </row>
    <row r="81" spans="2:15" outlineLevel="1" x14ac:dyDescent="0.4">
      <c r="B81" s="26"/>
      <c r="C81" s="18"/>
      <c r="D81" s="18"/>
      <c r="E81" s="70"/>
      <c r="F81" s="18"/>
      <c r="G81" s="19"/>
      <c r="H81" s="19"/>
      <c r="I81" s="16"/>
      <c r="J81" s="16"/>
      <c r="K81" s="16"/>
      <c r="L81" s="16"/>
      <c r="M81" s="16"/>
      <c r="N81" s="16"/>
      <c r="O81" s="20"/>
    </row>
    <row r="82" spans="2:15" ht="42" outlineLevel="1" x14ac:dyDescent="0.4">
      <c r="B82" s="26"/>
      <c r="C82" s="18"/>
      <c r="D82" s="18"/>
      <c r="E82" s="14" t="s">
        <v>232</v>
      </c>
      <c r="F82" s="13" t="s">
        <v>41</v>
      </c>
      <c r="G82" s="15"/>
      <c r="H82" s="15">
        <v>10</v>
      </c>
      <c r="I82" s="16"/>
      <c r="J82" s="17"/>
      <c r="K82" s="16"/>
      <c r="L82" s="17"/>
      <c r="M82" s="16"/>
      <c r="N82" s="17"/>
      <c r="O82" s="17"/>
    </row>
    <row r="83" spans="2:15" ht="23.4" outlineLevel="1" x14ac:dyDescent="0.4">
      <c r="B83" s="26"/>
      <c r="C83" s="18"/>
      <c r="D83" s="18"/>
      <c r="E83" s="70" t="s">
        <v>234</v>
      </c>
      <c r="F83" s="18" t="s">
        <v>41</v>
      </c>
      <c r="G83" s="19">
        <v>1</v>
      </c>
      <c r="H83" s="19">
        <f>G83*H82</f>
        <v>10</v>
      </c>
      <c r="I83" s="16"/>
      <c r="J83" s="16"/>
      <c r="K83" s="16"/>
      <c r="L83" s="16"/>
      <c r="M83" s="16"/>
      <c r="N83" s="16"/>
      <c r="O83" s="20"/>
    </row>
    <row r="84" spans="2:15" ht="23.4" outlineLevel="1" x14ac:dyDescent="0.4">
      <c r="B84" s="26"/>
      <c r="C84" s="18"/>
      <c r="D84" s="18"/>
      <c r="E84" s="70" t="s">
        <v>233</v>
      </c>
      <c r="F84" s="18" t="s">
        <v>41</v>
      </c>
      <c r="G84" s="19">
        <v>1</v>
      </c>
      <c r="H84" s="19">
        <f>G84*H82</f>
        <v>10</v>
      </c>
      <c r="I84" s="16"/>
      <c r="J84" s="16"/>
      <c r="K84" s="16"/>
      <c r="L84" s="16"/>
      <c r="M84" s="16"/>
      <c r="N84" s="16"/>
      <c r="O84" s="20"/>
    </row>
    <row r="85" spans="2:15" outlineLevel="1" x14ac:dyDescent="0.4">
      <c r="B85" s="26"/>
      <c r="C85" s="18"/>
      <c r="D85" s="18"/>
      <c r="E85" s="18"/>
      <c r="F85" s="18"/>
      <c r="G85" s="19"/>
      <c r="H85" s="19"/>
      <c r="I85" s="16"/>
      <c r="J85" s="16"/>
      <c r="K85" s="16"/>
      <c r="L85" s="16"/>
      <c r="M85" s="16"/>
      <c r="N85" s="16"/>
      <c r="O85" s="20"/>
    </row>
    <row r="86" spans="2:15" ht="42" outlineLevel="1" x14ac:dyDescent="0.4">
      <c r="B86" s="26"/>
      <c r="C86" s="18"/>
      <c r="D86" s="18"/>
      <c r="E86" s="14" t="s">
        <v>362</v>
      </c>
      <c r="F86" s="13" t="s">
        <v>41</v>
      </c>
      <c r="G86" s="15"/>
      <c r="H86" s="15">
        <v>80</v>
      </c>
      <c r="I86" s="16"/>
      <c r="J86" s="17"/>
      <c r="K86" s="16"/>
      <c r="L86" s="17"/>
      <c r="M86" s="16"/>
      <c r="N86" s="17"/>
      <c r="O86" s="17"/>
    </row>
    <row r="87" spans="2:15" ht="42" outlineLevel="1" x14ac:dyDescent="0.4">
      <c r="B87" s="26"/>
      <c r="C87" s="18"/>
      <c r="D87" s="18"/>
      <c r="E87" s="70" t="s">
        <v>300</v>
      </c>
      <c r="F87" s="18" t="s">
        <v>41</v>
      </c>
      <c r="G87" s="19">
        <v>1</v>
      </c>
      <c r="H87" s="19">
        <f>G87*H86</f>
        <v>80</v>
      </c>
      <c r="I87" s="16"/>
      <c r="J87" s="16"/>
      <c r="K87" s="16"/>
      <c r="L87" s="16"/>
      <c r="M87" s="16"/>
      <c r="N87" s="16"/>
      <c r="O87" s="20"/>
    </row>
    <row r="88" spans="2:15" ht="23.4" outlineLevel="1" x14ac:dyDescent="0.4">
      <c r="B88" s="26"/>
      <c r="C88" s="18"/>
      <c r="D88" s="18"/>
      <c r="E88" s="70" t="s">
        <v>249</v>
      </c>
      <c r="F88" s="18" t="s">
        <v>41</v>
      </c>
      <c r="G88" s="19">
        <v>1</v>
      </c>
      <c r="H88" s="19">
        <f>G88*H86</f>
        <v>80</v>
      </c>
      <c r="I88" s="16"/>
      <c r="J88" s="16"/>
      <c r="K88" s="16"/>
      <c r="L88" s="16"/>
      <c r="M88" s="16"/>
      <c r="N88" s="16"/>
      <c r="O88" s="20"/>
    </row>
    <row r="89" spans="2:15" outlineLevel="1" x14ac:dyDescent="0.4">
      <c r="B89" s="26"/>
      <c r="C89" s="18"/>
      <c r="D89" s="18"/>
      <c r="E89" s="18"/>
      <c r="F89" s="18"/>
      <c r="G89" s="19"/>
      <c r="H89" s="19"/>
      <c r="I89" s="16"/>
      <c r="J89" s="16"/>
      <c r="K89" s="16"/>
      <c r="L89" s="16"/>
      <c r="M89" s="16"/>
      <c r="N89" s="16"/>
      <c r="O89" s="20"/>
    </row>
    <row r="90" spans="2:15" ht="42" outlineLevel="1" x14ac:dyDescent="0.4">
      <c r="B90" s="26"/>
      <c r="C90" s="18"/>
      <c r="D90" s="18"/>
      <c r="E90" s="14" t="s">
        <v>421</v>
      </c>
      <c r="F90" s="13" t="s">
        <v>44</v>
      </c>
      <c r="G90" s="15"/>
      <c r="H90" s="15">
        <v>200</v>
      </c>
      <c r="I90" s="16"/>
      <c r="J90" s="17"/>
      <c r="K90" s="16"/>
      <c r="L90" s="17"/>
      <c r="M90" s="16"/>
      <c r="N90" s="17"/>
      <c r="O90" s="17"/>
    </row>
    <row r="91" spans="2:15" ht="44.4" outlineLevel="1" x14ac:dyDescent="0.4">
      <c r="B91" s="26"/>
      <c r="C91" s="18"/>
      <c r="D91" s="18"/>
      <c r="E91" s="70" t="s">
        <v>294</v>
      </c>
      <c r="F91" s="18" t="s">
        <v>41</v>
      </c>
      <c r="G91" s="19">
        <v>0.15384615384615385</v>
      </c>
      <c r="H91" s="19">
        <f>G91*H90</f>
        <v>30.76923076923077</v>
      </c>
      <c r="I91" s="16"/>
      <c r="J91" s="16"/>
      <c r="K91" s="16"/>
      <c r="L91" s="16"/>
      <c r="M91" s="16"/>
      <c r="N91" s="16"/>
      <c r="O91" s="20"/>
    </row>
    <row r="92" spans="2:15" ht="44.4" outlineLevel="1" x14ac:dyDescent="0.4">
      <c r="B92" s="26"/>
      <c r="C92" s="18"/>
      <c r="D92" s="18"/>
      <c r="E92" s="70" t="s">
        <v>291</v>
      </c>
      <c r="F92" s="18" t="s">
        <v>41</v>
      </c>
      <c r="G92" s="19">
        <v>3.0769230769230771</v>
      </c>
      <c r="H92" s="19">
        <f>G92*H90</f>
        <v>615.38461538461547</v>
      </c>
      <c r="I92" s="16"/>
      <c r="J92" s="16"/>
      <c r="K92" s="16"/>
      <c r="L92" s="16"/>
      <c r="M92" s="16"/>
      <c r="N92" s="16"/>
      <c r="O92" s="20"/>
    </row>
    <row r="93" spans="2:15" ht="44.4" outlineLevel="1" x14ac:dyDescent="0.4">
      <c r="B93" s="26"/>
      <c r="C93" s="18"/>
      <c r="D93" s="18"/>
      <c r="E93" s="70" t="s">
        <v>292</v>
      </c>
      <c r="F93" s="18" t="s">
        <v>41</v>
      </c>
      <c r="G93" s="19">
        <v>0.76923076923076927</v>
      </c>
      <c r="H93" s="19">
        <f>G93*H90</f>
        <v>153.84615384615387</v>
      </c>
      <c r="I93" s="16"/>
      <c r="J93" s="16"/>
      <c r="K93" s="16"/>
      <c r="L93" s="16"/>
      <c r="M93" s="16"/>
      <c r="N93" s="16"/>
      <c r="O93" s="20"/>
    </row>
    <row r="94" spans="2:15" ht="44.4" outlineLevel="1" x14ac:dyDescent="0.4">
      <c r="B94" s="26"/>
      <c r="C94" s="18"/>
      <c r="D94" s="18"/>
      <c r="E94" s="70" t="s">
        <v>293</v>
      </c>
      <c r="F94" s="18" t="s">
        <v>41</v>
      </c>
      <c r="G94" s="19">
        <v>1.5384615384615385</v>
      </c>
      <c r="H94" s="19">
        <f>G94*H90</f>
        <v>307.69230769230774</v>
      </c>
      <c r="I94" s="16"/>
      <c r="J94" s="16"/>
      <c r="K94" s="16"/>
      <c r="L94" s="16"/>
      <c r="M94" s="16"/>
      <c r="N94" s="16"/>
      <c r="O94" s="20"/>
    </row>
    <row r="95" spans="2:15" ht="44.4" outlineLevel="1" x14ac:dyDescent="0.4">
      <c r="B95" s="26"/>
      <c r="C95" s="18"/>
      <c r="D95" s="18"/>
      <c r="E95" s="70" t="s">
        <v>299</v>
      </c>
      <c r="F95" s="18" t="s">
        <v>41</v>
      </c>
      <c r="G95" s="19">
        <v>0.38461538461538464</v>
      </c>
      <c r="H95" s="19">
        <f>G95*H90</f>
        <v>76.923076923076934</v>
      </c>
      <c r="I95" s="16"/>
      <c r="J95" s="16"/>
      <c r="K95" s="16"/>
      <c r="L95" s="16"/>
      <c r="M95" s="16"/>
      <c r="N95" s="16"/>
      <c r="O95" s="20"/>
    </row>
    <row r="96" spans="2:15" outlineLevel="1" x14ac:dyDescent="0.4">
      <c r="B96" s="26"/>
      <c r="C96" s="18"/>
      <c r="D96" s="18"/>
      <c r="E96" s="70" t="s">
        <v>268</v>
      </c>
      <c r="F96" s="18" t="s">
        <v>41</v>
      </c>
      <c r="G96" s="19">
        <v>0.30769230769230771</v>
      </c>
      <c r="H96" s="19">
        <f>G96*H90</f>
        <v>61.53846153846154</v>
      </c>
      <c r="I96" s="16"/>
      <c r="J96" s="16"/>
      <c r="K96" s="16"/>
      <c r="L96" s="16"/>
      <c r="M96" s="16"/>
      <c r="N96" s="16"/>
      <c r="O96" s="20"/>
    </row>
    <row r="97" spans="2:15" outlineLevel="1" x14ac:dyDescent="0.4">
      <c r="B97" s="26"/>
      <c r="C97" s="18"/>
      <c r="D97" s="18"/>
      <c r="E97" s="70" t="s">
        <v>296</v>
      </c>
      <c r="F97" s="18" t="s">
        <v>1</v>
      </c>
      <c r="G97" s="19">
        <v>0.76923076923076927</v>
      </c>
      <c r="H97" s="19">
        <f>G97*H90</f>
        <v>153.84615384615387</v>
      </c>
      <c r="I97" s="16"/>
      <c r="J97" s="16"/>
      <c r="K97" s="16"/>
      <c r="L97" s="16"/>
      <c r="M97" s="16"/>
      <c r="N97" s="16"/>
      <c r="O97" s="20"/>
    </row>
    <row r="98" spans="2:15" outlineLevel="1" x14ac:dyDescent="0.4">
      <c r="B98" s="26"/>
      <c r="C98" s="18"/>
      <c r="D98" s="18"/>
      <c r="E98" s="70" t="s">
        <v>295</v>
      </c>
      <c r="F98" s="18" t="s">
        <v>1</v>
      </c>
      <c r="G98" s="19">
        <v>0.76923076923076927</v>
      </c>
      <c r="H98" s="19">
        <f>G98*H90</f>
        <v>153.84615384615387</v>
      </c>
      <c r="I98" s="16"/>
      <c r="J98" s="16"/>
      <c r="K98" s="16"/>
      <c r="L98" s="16"/>
      <c r="M98" s="16"/>
      <c r="N98" s="16"/>
      <c r="O98" s="20"/>
    </row>
    <row r="99" spans="2:15" outlineLevel="1" x14ac:dyDescent="0.4">
      <c r="B99" s="26"/>
      <c r="C99" s="18"/>
      <c r="D99" s="18"/>
      <c r="E99" s="70" t="s">
        <v>297</v>
      </c>
      <c r="F99" s="18" t="s">
        <v>1</v>
      </c>
      <c r="G99" s="19">
        <v>0.92307692307692313</v>
      </c>
      <c r="H99" s="19">
        <f>G99*H90</f>
        <v>184.61538461538461</v>
      </c>
      <c r="I99" s="16"/>
      <c r="J99" s="16"/>
      <c r="K99" s="16"/>
      <c r="L99" s="16"/>
      <c r="M99" s="16"/>
      <c r="N99" s="16"/>
      <c r="O99" s="20"/>
    </row>
    <row r="100" spans="2:15" outlineLevel="1" x14ac:dyDescent="0.4">
      <c r="B100" s="26"/>
      <c r="C100" s="18"/>
      <c r="D100" s="18"/>
      <c r="E100" s="70" t="s">
        <v>110</v>
      </c>
      <c r="F100" s="18" t="s">
        <v>1</v>
      </c>
      <c r="G100" s="19">
        <v>0.15384615384615385</v>
      </c>
      <c r="H100" s="19">
        <f>G100*H90</f>
        <v>30.76923076923077</v>
      </c>
      <c r="I100" s="16"/>
      <c r="J100" s="16"/>
      <c r="K100" s="16"/>
      <c r="L100" s="16"/>
      <c r="M100" s="16"/>
      <c r="N100" s="16"/>
      <c r="O100" s="20"/>
    </row>
    <row r="101" spans="2:15" outlineLevel="1" x14ac:dyDescent="0.4">
      <c r="B101" s="26"/>
      <c r="C101" s="18"/>
      <c r="D101" s="18"/>
      <c r="E101" s="70" t="s">
        <v>298</v>
      </c>
      <c r="F101" s="18" t="s">
        <v>1</v>
      </c>
      <c r="G101" s="19">
        <v>3.0769230769230771E-2</v>
      </c>
      <c r="H101" s="19">
        <f>G101*H90</f>
        <v>6.1538461538461542</v>
      </c>
      <c r="I101" s="16"/>
      <c r="J101" s="16"/>
      <c r="K101" s="16"/>
      <c r="L101" s="16"/>
      <c r="M101" s="16"/>
      <c r="N101" s="16"/>
      <c r="O101" s="20"/>
    </row>
    <row r="102" spans="2:15" outlineLevel="1" x14ac:dyDescent="0.4">
      <c r="B102" s="26"/>
      <c r="C102" s="18"/>
      <c r="D102" s="18"/>
      <c r="E102" s="70" t="s">
        <v>301</v>
      </c>
      <c r="F102" s="18" t="s">
        <v>1</v>
      </c>
      <c r="G102" s="19">
        <v>3.0769230769230771E-2</v>
      </c>
      <c r="H102" s="19">
        <f>G102*H90</f>
        <v>6.1538461538461542</v>
      </c>
      <c r="I102" s="16"/>
      <c r="J102" s="16"/>
      <c r="K102" s="16"/>
      <c r="L102" s="16"/>
      <c r="M102" s="16"/>
      <c r="N102" s="16"/>
      <c r="O102" s="20"/>
    </row>
    <row r="103" spans="2:15" outlineLevel="1" x14ac:dyDescent="0.4">
      <c r="B103" s="26"/>
      <c r="C103" s="18"/>
      <c r="D103" s="18"/>
      <c r="E103" s="70" t="s">
        <v>302</v>
      </c>
      <c r="F103" s="18" t="s">
        <v>1</v>
      </c>
      <c r="G103" s="19">
        <v>7.6923076923076927E-2</v>
      </c>
      <c r="H103" s="19">
        <f>G103*H90</f>
        <v>15.384615384615385</v>
      </c>
      <c r="I103" s="16"/>
      <c r="J103" s="16"/>
      <c r="K103" s="16"/>
      <c r="L103" s="16"/>
      <c r="M103" s="16"/>
      <c r="N103" s="16"/>
      <c r="O103" s="20"/>
    </row>
    <row r="104" spans="2:15" outlineLevel="1" x14ac:dyDescent="0.4">
      <c r="B104" s="26"/>
      <c r="C104" s="18"/>
      <c r="D104" s="18"/>
      <c r="E104" s="70" t="s">
        <v>303</v>
      </c>
      <c r="F104" s="18" t="s">
        <v>138</v>
      </c>
      <c r="G104" s="19">
        <v>4.6153846153846156E-2</v>
      </c>
      <c r="H104" s="19">
        <f>G104*H90</f>
        <v>9.2307692307692317</v>
      </c>
      <c r="I104" s="16"/>
      <c r="J104" s="16"/>
      <c r="K104" s="16"/>
      <c r="L104" s="16"/>
      <c r="M104" s="16"/>
      <c r="N104" s="16"/>
      <c r="O104" s="20"/>
    </row>
    <row r="105" spans="2:15" outlineLevel="1" x14ac:dyDescent="0.4">
      <c r="B105" s="26"/>
      <c r="C105" s="18"/>
      <c r="D105" s="18"/>
      <c r="E105" s="70" t="s">
        <v>304</v>
      </c>
      <c r="F105" s="18" t="s">
        <v>138</v>
      </c>
      <c r="G105" s="19">
        <v>9.2307692307692313E-2</v>
      </c>
      <c r="H105" s="19">
        <f>G105*H90</f>
        <v>18.461538461538463</v>
      </c>
      <c r="I105" s="16"/>
      <c r="J105" s="16"/>
      <c r="K105" s="16"/>
      <c r="L105" s="16"/>
      <c r="M105" s="16"/>
      <c r="N105" s="16"/>
      <c r="O105" s="20"/>
    </row>
    <row r="106" spans="2:15" outlineLevel="1" x14ac:dyDescent="0.4">
      <c r="B106" s="26"/>
      <c r="C106" s="18"/>
      <c r="D106" s="18"/>
      <c r="E106" s="70" t="s">
        <v>129</v>
      </c>
      <c r="F106" s="18" t="s">
        <v>41</v>
      </c>
      <c r="G106" s="19">
        <v>5.9230769230769234</v>
      </c>
      <c r="H106" s="19">
        <f>G106*H90</f>
        <v>1184.6153846153848</v>
      </c>
      <c r="I106" s="16"/>
      <c r="J106" s="16"/>
      <c r="K106" s="16"/>
      <c r="L106" s="16"/>
      <c r="M106" s="16"/>
      <c r="N106" s="16"/>
      <c r="O106" s="20"/>
    </row>
    <row r="107" spans="2:15" outlineLevel="1" x14ac:dyDescent="0.4">
      <c r="B107" s="26"/>
      <c r="C107" s="18"/>
      <c r="D107" s="18"/>
      <c r="E107" s="70" t="s">
        <v>75</v>
      </c>
      <c r="F107" s="18" t="s">
        <v>78</v>
      </c>
      <c r="G107" s="19">
        <v>0.46153846153846156</v>
      </c>
      <c r="H107" s="19">
        <f>G107*H90</f>
        <v>92.307692307692307</v>
      </c>
      <c r="I107" s="16"/>
      <c r="J107" s="16"/>
      <c r="K107" s="16"/>
      <c r="L107" s="16"/>
      <c r="M107" s="16"/>
      <c r="N107" s="16"/>
      <c r="O107" s="20"/>
    </row>
    <row r="108" spans="2:15" outlineLevel="1" x14ac:dyDescent="0.4">
      <c r="B108" s="26"/>
      <c r="C108" s="18"/>
      <c r="D108" s="18"/>
      <c r="E108" s="18"/>
      <c r="F108" s="18"/>
      <c r="G108" s="19"/>
      <c r="H108" s="19"/>
      <c r="I108" s="16"/>
      <c r="J108" s="16"/>
      <c r="K108" s="16"/>
      <c r="L108" s="16"/>
      <c r="M108" s="16"/>
      <c r="N108" s="16"/>
      <c r="O108" s="20"/>
    </row>
    <row r="109" spans="2:15" outlineLevel="1" x14ac:dyDescent="0.4">
      <c r="B109" s="26"/>
      <c r="C109" s="18"/>
      <c r="D109" s="18"/>
      <c r="E109" s="14" t="s">
        <v>420</v>
      </c>
      <c r="F109" s="13" t="s">
        <v>356</v>
      </c>
      <c r="G109" s="15"/>
      <c r="H109" s="15">
        <v>1</v>
      </c>
      <c r="I109" s="16"/>
      <c r="J109" s="17"/>
      <c r="K109" s="16"/>
      <c r="L109" s="17"/>
      <c r="M109" s="16"/>
      <c r="N109" s="17"/>
      <c r="O109" s="17"/>
    </row>
    <row r="110" spans="2:15" ht="42" outlineLevel="1" x14ac:dyDescent="0.4">
      <c r="B110" s="26"/>
      <c r="C110" s="18"/>
      <c r="D110" s="18"/>
      <c r="E110" s="70" t="s">
        <v>363</v>
      </c>
      <c r="F110" s="18" t="s">
        <v>1</v>
      </c>
      <c r="G110" s="19">
        <v>1</v>
      </c>
      <c r="H110" s="19">
        <f>G110*H109</f>
        <v>1</v>
      </c>
      <c r="I110" s="16"/>
      <c r="J110" s="16"/>
      <c r="K110" s="16"/>
      <c r="L110" s="16"/>
      <c r="M110" s="16"/>
      <c r="N110" s="16"/>
      <c r="O110" s="20"/>
    </row>
    <row r="111" spans="2:15" outlineLevel="1" x14ac:dyDescent="0.4">
      <c r="B111" s="26"/>
      <c r="C111" s="18"/>
      <c r="D111" s="18"/>
      <c r="E111" s="70" t="s">
        <v>121</v>
      </c>
      <c r="F111" s="18" t="s">
        <v>1</v>
      </c>
      <c r="G111" s="19">
        <v>1</v>
      </c>
      <c r="H111" s="19">
        <v>9</v>
      </c>
      <c r="I111" s="16"/>
      <c r="J111" s="16"/>
      <c r="K111" s="16"/>
      <c r="L111" s="16"/>
      <c r="M111" s="16"/>
      <c r="N111" s="16"/>
      <c r="O111" s="20"/>
    </row>
    <row r="112" spans="2:15" outlineLevel="1" x14ac:dyDescent="0.4">
      <c r="B112" s="26"/>
      <c r="C112" s="18"/>
      <c r="D112" s="18"/>
      <c r="E112" s="70" t="s">
        <v>122</v>
      </c>
      <c r="F112" s="18" t="s">
        <v>1</v>
      </c>
      <c r="G112" s="19">
        <v>5</v>
      </c>
      <c r="H112" s="19">
        <v>1</v>
      </c>
      <c r="I112" s="16"/>
      <c r="J112" s="16"/>
      <c r="K112" s="16"/>
      <c r="L112" s="16"/>
      <c r="M112" s="16"/>
      <c r="N112" s="16"/>
      <c r="O112" s="20"/>
    </row>
    <row r="113" spans="2:15" outlineLevel="1" x14ac:dyDescent="0.4">
      <c r="B113" s="26"/>
      <c r="C113" s="18"/>
      <c r="D113" s="18"/>
      <c r="E113" s="70" t="s">
        <v>128</v>
      </c>
      <c r="F113" s="18" t="s">
        <v>1</v>
      </c>
      <c r="G113" s="19">
        <v>3</v>
      </c>
      <c r="H113" s="19">
        <v>1</v>
      </c>
      <c r="I113" s="16"/>
      <c r="J113" s="16"/>
      <c r="K113" s="16"/>
      <c r="L113" s="16"/>
      <c r="M113" s="16"/>
      <c r="N113" s="16"/>
      <c r="O113" s="20"/>
    </row>
    <row r="114" spans="2:15" outlineLevel="1" x14ac:dyDescent="0.4">
      <c r="B114" s="26"/>
      <c r="C114" s="18"/>
      <c r="D114" s="18"/>
      <c r="E114" s="70" t="s">
        <v>130</v>
      </c>
      <c r="F114" s="18" t="s">
        <v>1</v>
      </c>
      <c r="G114" s="19">
        <v>1</v>
      </c>
      <c r="H114" s="19">
        <f>G114*H109</f>
        <v>1</v>
      </c>
      <c r="I114" s="16"/>
      <c r="J114" s="16"/>
      <c r="K114" s="16"/>
      <c r="L114" s="16"/>
      <c r="M114" s="16"/>
      <c r="N114" s="16"/>
      <c r="O114" s="20"/>
    </row>
    <row r="115" spans="2:15" outlineLevel="1" x14ac:dyDescent="0.4">
      <c r="B115" s="26"/>
      <c r="C115" s="18"/>
      <c r="D115" s="18"/>
      <c r="E115" s="70" t="s">
        <v>126</v>
      </c>
      <c r="F115" s="18" t="s">
        <v>1</v>
      </c>
      <c r="G115" s="19">
        <v>1</v>
      </c>
      <c r="H115" s="19">
        <f>G115*H109</f>
        <v>1</v>
      </c>
      <c r="I115" s="16"/>
      <c r="J115" s="16"/>
      <c r="K115" s="16"/>
      <c r="L115" s="16"/>
      <c r="M115" s="16"/>
      <c r="N115" s="16"/>
      <c r="O115" s="20"/>
    </row>
    <row r="116" spans="2:15" outlineLevel="1" x14ac:dyDescent="0.4">
      <c r="B116" s="26"/>
      <c r="C116" s="18"/>
      <c r="D116" s="18"/>
      <c r="E116" s="70" t="s">
        <v>75</v>
      </c>
      <c r="F116" s="18" t="s">
        <v>78</v>
      </c>
      <c r="G116" s="19">
        <v>16</v>
      </c>
      <c r="H116" s="19">
        <f>G116*H109</f>
        <v>16</v>
      </c>
      <c r="I116" s="16"/>
      <c r="J116" s="16"/>
      <c r="K116" s="16"/>
      <c r="L116" s="16"/>
      <c r="M116" s="16"/>
      <c r="N116" s="16"/>
      <c r="O116" s="20"/>
    </row>
    <row r="117" spans="2:15" outlineLevel="1" x14ac:dyDescent="0.4">
      <c r="B117" s="26"/>
      <c r="C117" s="18"/>
      <c r="D117" s="18"/>
      <c r="E117" s="18"/>
      <c r="F117" s="18"/>
      <c r="G117" s="19"/>
      <c r="H117" s="19"/>
      <c r="I117" s="16"/>
      <c r="J117" s="16"/>
      <c r="K117" s="16"/>
      <c r="L117" s="16"/>
      <c r="M117" s="16"/>
      <c r="N117" s="16"/>
      <c r="O117" s="20"/>
    </row>
    <row r="118" spans="2:15" ht="42" outlineLevel="1" x14ac:dyDescent="0.4">
      <c r="B118" s="26"/>
      <c r="C118" s="18"/>
      <c r="D118" s="18"/>
      <c r="E118" s="14" t="s">
        <v>250</v>
      </c>
      <c r="F118" s="13" t="s">
        <v>41</v>
      </c>
      <c r="G118" s="15"/>
      <c r="H118" s="15">
        <v>400</v>
      </c>
      <c r="I118" s="16"/>
      <c r="J118" s="17"/>
      <c r="K118" s="16"/>
      <c r="L118" s="17"/>
      <c r="M118" s="16"/>
      <c r="N118" s="17"/>
      <c r="O118" s="17"/>
    </row>
    <row r="119" spans="2:15" outlineLevel="1" x14ac:dyDescent="0.4">
      <c r="B119" s="26"/>
      <c r="C119" s="18"/>
      <c r="D119" s="18"/>
      <c r="E119" s="70" t="s">
        <v>252</v>
      </c>
      <c r="F119" s="18" t="s">
        <v>41</v>
      </c>
      <c r="G119" s="19">
        <v>1.02</v>
      </c>
      <c r="H119" s="19">
        <f>G119*H118</f>
        <v>408</v>
      </c>
      <c r="I119" s="16"/>
      <c r="J119" s="16"/>
      <c r="K119" s="16"/>
      <c r="L119" s="16"/>
      <c r="M119" s="16"/>
      <c r="N119" s="16"/>
      <c r="O119" s="20"/>
    </row>
    <row r="120" spans="2:15" ht="42" outlineLevel="1" x14ac:dyDescent="0.4">
      <c r="B120" s="26"/>
      <c r="C120" s="18"/>
      <c r="D120" s="18"/>
      <c r="E120" s="70" t="s">
        <v>251</v>
      </c>
      <c r="F120" s="18" t="s">
        <v>41</v>
      </c>
      <c r="G120" s="19">
        <v>1</v>
      </c>
      <c r="H120" s="19">
        <f>G120*H118</f>
        <v>400</v>
      </c>
      <c r="I120" s="16"/>
      <c r="J120" s="16"/>
      <c r="K120" s="16"/>
      <c r="L120" s="16"/>
      <c r="M120" s="16"/>
      <c r="N120" s="16"/>
      <c r="O120" s="20"/>
    </row>
    <row r="121" spans="2:15" outlineLevel="1" x14ac:dyDescent="0.4">
      <c r="B121" s="26"/>
      <c r="C121" s="18"/>
      <c r="D121" s="18"/>
      <c r="E121" s="18"/>
      <c r="F121" s="18"/>
      <c r="G121" s="19"/>
      <c r="H121" s="19"/>
      <c r="I121" s="16"/>
      <c r="J121" s="16"/>
      <c r="K121" s="16"/>
      <c r="L121" s="16"/>
      <c r="M121" s="16"/>
      <c r="N121" s="16"/>
      <c r="O121" s="20"/>
    </row>
    <row r="122" spans="2:15" ht="42" outlineLevel="1" x14ac:dyDescent="0.4">
      <c r="B122" s="26"/>
      <c r="C122" s="18"/>
      <c r="D122" s="18"/>
      <c r="E122" s="14" t="s">
        <v>253</v>
      </c>
      <c r="F122" s="13" t="s">
        <v>1</v>
      </c>
      <c r="G122" s="15"/>
      <c r="H122" s="15">
        <v>4</v>
      </c>
      <c r="I122" s="16"/>
      <c r="J122" s="17"/>
      <c r="K122" s="16"/>
      <c r="L122" s="17"/>
      <c r="M122" s="16"/>
      <c r="N122" s="17"/>
      <c r="O122" s="17"/>
    </row>
    <row r="123" spans="2:15" outlineLevel="1" x14ac:dyDescent="0.4">
      <c r="B123" s="26"/>
      <c r="C123" s="18"/>
      <c r="D123" s="18"/>
      <c r="E123" s="70" t="s">
        <v>254</v>
      </c>
      <c r="F123" s="18" t="s">
        <v>1</v>
      </c>
      <c r="G123" s="19">
        <v>1</v>
      </c>
      <c r="H123" s="19">
        <f>G123*H122</f>
        <v>4</v>
      </c>
      <c r="I123" s="16"/>
      <c r="J123" s="16"/>
      <c r="K123" s="16"/>
      <c r="L123" s="16"/>
      <c r="M123" s="16"/>
      <c r="N123" s="16"/>
      <c r="O123" s="20"/>
    </row>
    <row r="124" spans="2:15" outlineLevel="1" x14ac:dyDescent="0.4">
      <c r="B124" s="26"/>
      <c r="C124" s="18"/>
      <c r="D124" s="18"/>
      <c r="E124" s="70" t="s">
        <v>255</v>
      </c>
      <c r="F124" s="18" t="s">
        <v>1</v>
      </c>
      <c r="G124" s="19">
        <v>1</v>
      </c>
      <c r="H124" s="19">
        <f>G124*H122</f>
        <v>4</v>
      </c>
      <c r="I124" s="16"/>
      <c r="J124" s="16"/>
      <c r="K124" s="16"/>
      <c r="L124" s="16"/>
      <c r="M124" s="16"/>
      <c r="N124" s="16"/>
      <c r="O124" s="20"/>
    </row>
    <row r="125" spans="2:15" outlineLevel="1" x14ac:dyDescent="0.4">
      <c r="B125" s="26"/>
      <c r="C125" s="18"/>
      <c r="D125" s="18"/>
      <c r="E125" s="18"/>
      <c r="F125" s="18"/>
      <c r="G125" s="19"/>
      <c r="H125" s="19"/>
      <c r="I125" s="16"/>
      <c r="J125" s="16"/>
      <c r="K125" s="16"/>
      <c r="L125" s="16"/>
      <c r="M125" s="16"/>
      <c r="N125" s="16"/>
      <c r="O125" s="20"/>
    </row>
    <row r="126" spans="2:15" outlineLevel="1" x14ac:dyDescent="0.4">
      <c r="B126" s="26"/>
      <c r="C126" s="18"/>
      <c r="D126" s="18"/>
      <c r="E126" s="14" t="s">
        <v>257</v>
      </c>
      <c r="F126" s="13" t="s">
        <v>1</v>
      </c>
      <c r="G126" s="15"/>
      <c r="H126" s="15">
        <v>20</v>
      </c>
      <c r="I126" s="16"/>
      <c r="J126" s="17"/>
      <c r="K126" s="16"/>
      <c r="L126" s="17"/>
      <c r="M126" s="16"/>
      <c r="N126" s="17"/>
      <c r="O126" s="17"/>
    </row>
    <row r="127" spans="2:15" outlineLevel="1" x14ac:dyDescent="0.4">
      <c r="B127" s="26"/>
      <c r="C127" s="18"/>
      <c r="D127" s="18"/>
      <c r="E127" s="70" t="s">
        <v>258</v>
      </c>
      <c r="F127" s="18" t="s">
        <v>1</v>
      </c>
      <c r="G127" s="19">
        <v>1</v>
      </c>
      <c r="H127" s="19">
        <f>G127*H126</f>
        <v>20</v>
      </c>
      <c r="I127" s="16"/>
      <c r="J127" s="16"/>
      <c r="K127" s="16"/>
      <c r="L127" s="16"/>
      <c r="M127" s="16"/>
      <c r="N127" s="16"/>
      <c r="O127" s="20"/>
    </row>
    <row r="128" spans="2:15" outlineLevel="1" x14ac:dyDescent="0.4">
      <c r="B128" s="26"/>
      <c r="C128" s="18"/>
      <c r="D128" s="18"/>
      <c r="E128" s="70" t="s">
        <v>256</v>
      </c>
      <c r="F128" s="18" t="s">
        <v>1</v>
      </c>
      <c r="G128" s="19">
        <v>1</v>
      </c>
      <c r="H128" s="19">
        <f>G128*H126</f>
        <v>20</v>
      </c>
      <c r="I128" s="16"/>
      <c r="J128" s="16"/>
      <c r="K128" s="16"/>
      <c r="L128" s="16"/>
      <c r="M128" s="16"/>
      <c r="N128" s="16"/>
      <c r="O128" s="20"/>
    </row>
    <row r="129" spans="2:15" outlineLevel="1" x14ac:dyDescent="0.4">
      <c r="B129" s="26"/>
      <c r="C129" s="18"/>
      <c r="D129" s="18"/>
      <c r="E129" s="18"/>
      <c r="F129" s="18"/>
      <c r="G129" s="19"/>
      <c r="H129" s="19"/>
      <c r="I129" s="16"/>
      <c r="J129" s="16"/>
      <c r="K129" s="16"/>
      <c r="L129" s="16"/>
      <c r="M129" s="16"/>
      <c r="N129" s="16"/>
      <c r="O129" s="20"/>
    </row>
    <row r="130" spans="2:15" ht="42" outlineLevel="1" x14ac:dyDescent="0.4">
      <c r="B130" s="26"/>
      <c r="C130" s="18"/>
      <c r="D130" s="18"/>
      <c r="E130" s="14" t="s">
        <v>259</v>
      </c>
      <c r="F130" s="13" t="s">
        <v>41</v>
      </c>
      <c r="G130" s="15"/>
      <c r="H130" s="15">
        <v>40</v>
      </c>
      <c r="I130" s="16"/>
      <c r="J130" s="17"/>
      <c r="K130" s="16"/>
      <c r="L130" s="17"/>
      <c r="M130" s="16"/>
      <c r="N130" s="17"/>
      <c r="O130" s="17"/>
    </row>
    <row r="131" spans="2:15" outlineLevel="1" x14ac:dyDescent="0.4">
      <c r="B131" s="26"/>
      <c r="C131" s="18"/>
      <c r="D131" s="18"/>
      <c r="E131" s="70" t="s">
        <v>262</v>
      </c>
      <c r="F131" s="18" t="s">
        <v>41</v>
      </c>
      <c r="G131" s="19">
        <v>1</v>
      </c>
      <c r="H131" s="19">
        <f>G131*H130</f>
        <v>40</v>
      </c>
      <c r="I131" s="16"/>
      <c r="J131" s="16"/>
      <c r="K131" s="16"/>
      <c r="L131" s="16"/>
      <c r="M131" s="16"/>
      <c r="N131" s="16"/>
      <c r="O131" s="20"/>
    </row>
    <row r="132" spans="2:15" ht="42" outlineLevel="1" x14ac:dyDescent="0.4">
      <c r="B132" s="26"/>
      <c r="C132" s="18"/>
      <c r="D132" s="18"/>
      <c r="E132" s="70" t="s">
        <v>263</v>
      </c>
      <c r="F132" s="18" t="s">
        <v>41</v>
      </c>
      <c r="G132" s="19">
        <v>1</v>
      </c>
      <c r="H132" s="19">
        <f>G132*H130</f>
        <v>40</v>
      </c>
      <c r="I132" s="16"/>
      <c r="J132" s="16"/>
      <c r="K132" s="16"/>
      <c r="L132" s="16"/>
      <c r="M132" s="16"/>
      <c r="N132" s="16"/>
      <c r="O132" s="20"/>
    </row>
    <row r="133" spans="2:15" outlineLevel="1" x14ac:dyDescent="0.4">
      <c r="B133" s="26"/>
      <c r="C133" s="18"/>
      <c r="D133" s="18"/>
      <c r="E133" s="18"/>
      <c r="F133" s="18"/>
      <c r="G133" s="19"/>
      <c r="H133" s="19"/>
      <c r="I133" s="16"/>
      <c r="J133" s="16"/>
      <c r="K133" s="16"/>
      <c r="L133" s="16"/>
      <c r="M133" s="16"/>
      <c r="N133" s="16"/>
      <c r="O133" s="20"/>
    </row>
    <row r="134" spans="2:15" ht="42" outlineLevel="1" x14ac:dyDescent="0.4">
      <c r="B134" s="26"/>
      <c r="C134" s="18"/>
      <c r="D134" s="18"/>
      <c r="E134" s="14" t="s">
        <v>260</v>
      </c>
      <c r="F134" s="13" t="s">
        <v>41</v>
      </c>
      <c r="G134" s="15"/>
      <c r="H134" s="15">
        <v>30</v>
      </c>
      <c r="I134" s="16"/>
      <c r="J134" s="17"/>
      <c r="K134" s="16"/>
      <c r="L134" s="17"/>
      <c r="M134" s="16"/>
      <c r="N134" s="17"/>
      <c r="O134" s="17"/>
    </row>
    <row r="135" spans="2:15" outlineLevel="1" x14ac:dyDescent="0.4">
      <c r="B135" s="26"/>
      <c r="C135" s="18"/>
      <c r="D135" s="18"/>
      <c r="E135" s="70" t="s">
        <v>264</v>
      </c>
      <c r="F135" s="18" t="s">
        <v>41</v>
      </c>
      <c r="G135" s="19">
        <v>1</v>
      </c>
      <c r="H135" s="19">
        <f>G135*H134</f>
        <v>30</v>
      </c>
      <c r="I135" s="16"/>
      <c r="J135" s="16"/>
      <c r="K135" s="16"/>
      <c r="L135" s="16"/>
      <c r="M135" s="16"/>
      <c r="N135" s="16"/>
      <c r="O135" s="20"/>
    </row>
    <row r="136" spans="2:15" ht="42" outlineLevel="1" x14ac:dyDescent="0.4">
      <c r="B136" s="26"/>
      <c r="C136" s="18"/>
      <c r="D136" s="18"/>
      <c r="E136" s="70" t="s">
        <v>265</v>
      </c>
      <c r="F136" s="18" t="s">
        <v>41</v>
      </c>
      <c r="G136" s="19">
        <v>1</v>
      </c>
      <c r="H136" s="19">
        <f>G136*H134</f>
        <v>30</v>
      </c>
      <c r="I136" s="16"/>
      <c r="J136" s="16"/>
      <c r="K136" s="16"/>
      <c r="L136" s="16"/>
      <c r="M136" s="16"/>
      <c r="N136" s="16"/>
      <c r="O136" s="20"/>
    </row>
    <row r="137" spans="2:15" outlineLevel="1" x14ac:dyDescent="0.4">
      <c r="B137" s="26"/>
      <c r="C137" s="18"/>
      <c r="D137" s="18"/>
      <c r="E137" s="18"/>
      <c r="F137" s="18"/>
      <c r="G137" s="19"/>
      <c r="H137" s="19"/>
      <c r="I137" s="16"/>
      <c r="J137" s="16"/>
      <c r="K137" s="16"/>
      <c r="L137" s="16"/>
      <c r="M137" s="16"/>
      <c r="N137" s="16"/>
      <c r="O137" s="20"/>
    </row>
    <row r="138" spans="2:15" outlineLevel="1" x14ac:dyDescent="0.4">
      <c r="B138" s="26"/>
      <c r="C138" s="18"/>
      <c r="D138" s="18"/>
      <c r="E138" s="14" t="s">
        <v>261</v>
      </c>
      <c r="F138" s="13" t="s">
        <v>1</v>
      </c>
      <c r="G138" s="15"/>
      <c r="H138" s="15">
        <v>4</v>
      </c>
      <c r="I138" s="16"/>
      <c r="J138" s="17"/>
      <c r="K138" s="16"/>
      <c r="L138" s="17"/>
      <c r="M138" s="16"/>
      <c r="N138" s="17"/>
      <c r="O138" s="17"/>
    </row>
    <row r="139" spans="2:15" outlineLevel="1" x14ac:dyDescent="0.4">
      <c r="B139" s="26"/>
      <c r="C139" s="18"/>
      <c r="D139" s="18"/>
      <c r="E139" s="70" t="s">
        <v>266</v>
      </c>
      <c r="F139" s="18" t="s">
        <v>1</v>
      </c>
      <c r="G139" s="19">
        <v>1</v>
      </c>
      <c r="H139" s="19">
        <f>G139*H138</f>
        <v>4</v>
      </c>
      <c r="I139" s="16"/>
      <c r="J139" s="16"/>
      <c r="K139" s="16"/>
      <c r="L139" s="16"/>
      <c r="M139" s="16"/>
      <c r="N139" s="16"/>
      <c r="O139" s="20"/>
    </row>
    <row r="140" spans="2:15" outlineLevel="1" x14ac:dyDescent="0.4">
      <c r="B140" s="26"/>
      <c r="C140" s="18"/>
      <c r="D140" s="18"/>
      <c r="E140" s="70" t="s">
        <v>267</v>
      </c>
      <c r="F140" s="18" t="s">
        <v>1</v>
      </c>
      <c r="G140" s="19">
        <v>1</v>
      </c>
      <c r="H140" s="19">
        <f>G140*H138</f>
        <v>4</v>
      </c>
      <c r="I140" s="16"/>
      <c r="J140" s="16"/>
      <c r="K140" s="16"/>
      <c r="L140" s="16"/>
      <c r="M140" s="16"/>
      <c r="N140" s="16"/>
      <c r="O140" s="20"/>
    </row>
    <row r="141" spans="2:15" outlineLevel="1" x14ac:dyDescent="0.4">
      <c r="B141" s="26"/>
      <c r="C141" s="18"/>
      <c r="D141" s="18"/>
      <c r="E141" s="18"/>
      <c r="F141" s="18"/>
      <c r="G141" s="19"/>
      <c r="H141" s="19"/>
      <c r="I141" s="16"/>
      <c r="J141" s="16"/>
      <c r="K141" s="16"/>
      <c r="L141" s="16"/>
      <c r="M141" s="16"/>
      <c r="N141" s="16"/>
      <c r="O141" s="20"/>
    </row>
    <row r="142" spans="2:15" x14ac:dyDescent="0.3">
      <c r="B142" s="77"/>
      <c r="C142" s="78"/>
      <c r="D142" s="78"/>
      <c r="E142" s="79" t="s">
        <v>312</v>
      </c>
      <c r="F142" s="78"/>
      <c r="G142" s="78"/>
      <c r="H142" s="78"/>
      <c r="I142" s="78"/>
      <c r="J142" s="78"/>
      <c r="K142" s="78"/>
      <c r="L142" s="78"/>
      <c r="M142" s="78"/>
      <c r="N142" s="78"/>
      <c r="O142" s="165"/>
    </row>
    <row r="143" spans="2:15" outlineLevel="1" x14ac:dyDescent="0.4">
      <c r="B143" s="26"/>
      <c r="C143" s="18"/>
      <c r="D143" s="18"/>
      <c r="E143" s="70"/>
      <c r="F143" s="18"/>
      <c r="G143" s="19"/>
      <c r="H143" s="19"/>
      <c r="I143" s="16"/>
      <c r="J143" s="16"/>
      <c r="K143" s="16"/>
      <c r="L143" s="16"/>
      <c r="M143" s="16"/>
      <c r="N143" s="16"/>
      <c r="O143" s="20"/>
    </row>
    <row r="144" spans="2:15" ht="42" outlineLevel="1" x14ac:dyDescent="0.4">
      <c r="B144" s="26"/>
      <c r="C144" s="18"/>
      <c r="D144" s="18"/>
      <c r="E144" s="14" t="s">
        <v>331</v>
      </c>
      <c r="F144" s="13" t="s">
        <v>41</v>
      </c>
      <c r="G144" s="15"/>
      <c r="H144" s="15">
        <v>80</v>
      </c>
      <c r="I144" s="16"/>
      <c r="J144" s="17"/>
      <c r="K144" s="16"/>
      <c r="L144" s="17"/>
      <c r="M144" s="16"/>
      <c r="N144" s="17"/>
      <c r="O144" s="17"/>
    </row>
    <row r="145" spans="2:15" outlineLevel="1" x14ac:dyDescent="0.4">
      <c r="B145" s="26"/>
      <c r="C145" s="18"/>
      <c r="D145" s="18"/>
      <c r="E145" s="70" t="s">
        <v>313</v>
      </c>
      <c r="F145" s="18" t="s">
        <v>41</v>
      </c>
      <c r="G145" s="19">
        <v>1</v>
      </c>
      <c r="H145" s="19">
        <f>G145*H144</f>
        <v>80</v>
      </c>
      <c r="I145" s="16"/>
      <c r="J145" s="16"/>
      <c r="K145" s="16"/>
      <c r="L145" s="16"/>
      <c r="M145" s="16"/>
      <c r="N145" s="16"/>
      <c r="O145" s="20"/>
    </row>
    <row r="146" spans="2:15" outlineLevel="1" x14ac:dyDescent="0.4">
      <c r="B146" s="26"/>
      <c r="C146" s="18"/>
      <c r="D146" s="18"/>
      <c r="E146" s="70" t="s">
        <v>314</v>
      </c>
      <c r="F146" s="18" t="s">
        <v>1</v>
      </c>
      <c r="G146" s="19">
        <v>1</v>
      </c>
      <c r="H146" s="19">
        <f>G146*H144</f>
        <v>80</v>
      </c>
      <c r="I146" s="16"/>
      <c r="J146" s="16"/>
      <c r="K146" s="16"/>
      <c r="L146" s="16"/>
      <c r="M146" s="16"/>
      <c r="N146" s="16"/>
      <c r="O146" s="20"/>
    </row>
    <row r="147" spans="2:15" outlineLevel="1" x14ac:dyDescent="0.4">
      <c r="B147" s="26"/>
      <c r="C147" s="18"/>
      <c r="D147" s="18"/>
      <c r="E147" s="70" t="s">
        <v>270</v>
      </c>
      <c r="F147" s="18" t="s">
        <v>203</v>
      </c>
      <c r="G147" s="19">
        <v>0.01</v>
      </c>
      <c r="H147" s="19">
        <f>G147*H144</f>
        <v>0.8</v>
      </c>
      <c r="I147" s="16"/>
      <c r="J147" s="16"/>
      <c r="K147" s="16"/>
      <c r="L147" s="16"/>
      <c r="M147" s="16"/>
      <c r="N147" s="16"/>
      <c r="O147" s="20"/>
    </row>
    <row r="148" spans="2:15" outlineLevel="1" x14ac:dyDescent="0.4">
      <c r="B148" s="26"/>
      <c r="C148" s="18"/>
      <c r="D148" s="18"/>
      <c r="E148" s="70" t="s">
        <v>330</v>
      </c>
      <c r="F148" s="18" t="s">
        <v>41</v>
      </c>
      <c r="G148" s="19">
        <v>1</v>
      </c>
      <c r="H148" s="19">
        <f>G148*H144</f>
        <v>80</v>
      </c>
      <c r="I148" s="16"/>
      <c r="J148" s="16"/>
      <c r="K148" s="16"/>
      <c r="L148" s="16"/>
      <c r="M148" s="16"/>
      <c r="N148" s="16"/>
      <c r="O148" s="20"/>
    </row>
    <row r="149" spans="2:15" outlineLevel="1" x14ac:dyDescent="0.4">
      <c r="B149" s="26"/>
      <c r="C149" s="18"/>
      <c r="D149" s="18"/>
      <c r="E149" s="70" t="s">
        <v>280</v>
      </c>
      <c r="F149" s="18" t="s">
        <v>41</v>
      </c>
      <c r="G149" s="19">
        <v>1</v>
      </c>
      <c r="H149" s="19">
        <f>G149*H144</f>
        <v>80</v>
      </c>
      <c r="I149" s="16"/>
      <c r="J149" s="16"/>
      <c r="K149" s="16"/>
      <c r="L149" s="16"/>
      <c r="M149" s="16"/>
      <c r="N149" s="16"/>
      <c r="O149" s="20"/>
    </row>
    <row r="150" spans="2:15" outlineLevel="1" x14ac:dyDescent="0.4">
      <c r="B150" s="26"/>
      <c r="C150" s="18"/>
      <c r="D150" s="18"/>
      <c r="E150" s="18"/>
      <c r="F150" s="18"/>
      <c r="G150" s="19"/>
      <c r="H150" s="19"/>
      <c r="I150" s="16"/>
      <c r="J150" s="16"/>
      <c r="K150" s="16"/>
      <c r="L150" s="16"/>
      <c r="M150" s="16"/>
      <c r="N150" s="16"/>
      <c r="O150" s="20"/>
    </row>
    <row r="151" spans="2:15" ht="42" outlineLevel="1" x14ac:dyDescent="0.4">
      <c r="B151" s="26"/>
      <c r="C151" s="18"/>
      <c r="D151" s="18"/>
      <c r="E151" s="14" t="s">
        <v>315</v>
      </c>
      <c r="F151" s="13" t="s">
        <v>41</v>
      </c>
      <c r="G151" s="15"/>
      <c r="H151" s="15">
        <v>30</v>
      </c>
      <c r="I151" s="16"/>
      <c r="J151" s="17"/>
      <c r="K151" s="16"/>
      <c r="L151" s="17"/>
      <c r="M151" s="16"/>
      <c r="N151" s="17"/>
      <c r="O151" s="17"/>
    </row>
    <row r="152" spans="2:15" outlineLevel="1" x14ac:dyDescent="0.4">
      <c r="B152" s="26"/>
      <c r="C152" s="18"/>
      <c r="D152" s="18"/>
      <c r="E152" s="70" t="s">
        <v>134</v>
      </c>
      <c r="F152" s="18" t="s">
        <v>41</v>
      </c>
      <c r="G152" s="19">
        <v>1</v>
      </c>
      <c r="H152" s="19">
        <f>G152*H151</f>
        <v>30</v>
      </c>
      <c r="I152" s="16"/>
      <c r="J152" s="16"/>
      <c r="K152" s="16"/>
      <c r="L152" s="16"/>
      <c r="M152" s="16"/>
      <c r="N152" s="16"/>
      <c r="O152" s="20"/>
    </row>
    <row r="153" spans="2:15" outlineLevel="1" x14ac:dyDescent="0.4">
      <c r="B153" s="26"/>
      <c r="C153" s="18"/>
      <c r="D153" s="18"/>
      <c r="E153" s="70" t="s">
        <v>118</v>
      </c>
      <c r="F153" s="18" t="s">
        <v>20</v>
      </c>
      <c r="G153" s="19">
        <v>0.05</v>
      </c>
      <c r="H153" s="19">
        <f>G153*H151</f>
        <v>1.5</v>
      </c>
      <c r="I153" s="16"/>
      <c r="J153" s="16"/>
      <c r="K153" s="16"/>
      <c r="L153" s="16"/>
      <c r="M153" s="16"/>
      <c r="N153" s="16"/>
      <c r="O153" s="20"/>
    </row>
    <row r="154" spans="2:15" outlineLevel="1" x14ac:dyDescent="0.4">
      <c r="B154" s="26"/>
      <c r="C154" s="18"/>
      <c r="D154" s="18"/>
      <c r="E154" s="70" t="s">
        <v>270</v>
      </c>
      <c r="F154" s="18" t="s">
        <v>203</v>
      </c>
      <c r="G154" s="19">
        <v>0.01</v>
      </c>
      <c r="H154" s="19">
        <f>G154*H151</f>
        <v>0.3</v>
      </c>
      <c r="I154" s="16"/>
      <c r="J154" s="16"/>
      <c r="K154" s="16"/>
      <c r="L154" s="16"/>
      <c r="M154" s="16"/>
      <c r="N154" s="16"/>
      <c r="O154" s="20"/>
    </row>
    <row r="155" spans="2:15" outlineLevel="1" x14ac:dyDescent="0.4">
      <c r="B155" s="26"/>
      <c r="C155" s="18"/>
      <c r="D155" s="18"/>
      <c r="E155" s="70" t="s">
        <v>316</v>
      </c>
      <c r="F155" s="18" t="s">
        <v>41</v>
      </c>
      <c r="G155" s="19">
        <v>1</v>
      </c>
      <c r="H155" s="19">
        <f>G155*H151</f>
        <v>30</v>
      </c>
      <c r="I155" s="16"/>
      <c r="J155" s="16"/>
      <c r="K155" s="16"/>
      <c r="L155" s="16"/>
      <c r="M155" s="16"/>
      <c r="N155" s="16"/>
      <c r="O155" s="20"/>
    </row>
    <row r="156" spans="2:15" outlineLevel="1" x14ac:dyDescent="0.4">
      <c r="B156" s="26"/>
      <c r="C156" s="18"/>
      <c r="D156" s="18"/>
      <c r="E156" s="18"/>
      <c r="F156" s="18"/>
      <c r="G156" s="19"/>
      <c r="H156" s="19">
        <v>30</v>
      </c>
      <c r="I156" s="16"/>
      <c r="J156" s="16"/>
      <c r="K156" s="16"/>
      <c r="L156" s="16"/>
      <c r="M156" s="16"/>
      <c r="N156" s="16"/>
      <c r="O156" s="20"/>
    </row>
    <row r="157" spans="2:15" ht="42" outlineLevel="1" x14ac:dyDescent="0.4">
      <c r="B157" s="26"/>
      <c r="C157" s="18"/>
      <c r="D157" s="18"/>
      <c r="E157" s="14" t="s">
        <v>318</v>
      </c>
      <c r="F157" s="13" t="s">
        <v>41</v>
      </c>
      <c r="G157" s="15"/>
      <c r="H157" s="15">
        <v>30</v>
      </c>
      <c r="I157" s="16"/>
      <c r="J157" s="17"/>
      <c r="K157" s="16"/>
      <c r="L157" s="17"/>
      <c r="M157" s="16"/>
      <c r="N157" s="17"/>
      <c r="O157" s="17"/>
    </row>
    <row r="158" spans="2:15" outlineLevel="1" x14ac:dyDescent="0.4">
      <c r="B158" s="26"/>
      <c r="C158" s="18"/>
      <c r="D158" s="18"/>
      <c r="E158" s="70" t="s">
        <v>133</v>
      </c>
      <c r="F158" s="18" t="s">
        <v>41</v>
      </c>
      <c r="G158" s="19">
        <v>1</v>
      </c>
      <c r="H158" s="19">
        <f>G158*H157</f>
        <v>30</v>
      </c>
      <c r="I158" s="16"/>
      <c r="J158" s="16"/>
      <c r="K158" s="16"/>
      <c r="L158" s="16"/>
      <c r="M158" s="16"/>
      <c r="N158" s="16"/>
      <c r="O158" s="20"/>
    </row>
    <row r="159" spans="2:15" outlineLevel="1" x14ac:dyDescent="0.4">
      <c r="B159" s="26"/>
      <c r="C159" s="18"/>
      <c r="D159" s="18"/>
      <c r="E159" s="70" t="s">
        <v>118</v>
      </c>
      <c r="F159" s="18" t="s">
        <v>20</v>
      </c>
      <c r="G159" s="19">
        <v>0.1</v>
      </c>
      <c r="H159" s="19">
        <f>G159*H157</f>
        <v>3</v>
      </c>
      <c r="I159" s="16"/>
      <c r="J159" s="16"/>
      <c r="K159" s="16"/>
      <c r="L159" s="16"/>
      <c r="M159" s="16"/>
      <c r="N159" s="16"/>
      <c r="O159" s="20"/>
    </row>
    <row r="160" spans="2:15" outlineLevel="1" x14ac:dyDescent="0.4">
      <c r="B160" s="26"/>
      <c r="C160" s="18"/>
      <c r="D160" s="18"/>
      <c r="E160" s="70" t="s">
        <v>270</v>
      </c>
      <c r="F160" s="18" t="s">
        <v>203</v>
      </c>
      <c r="G160" s="19">
        <v>0.01</v>
      </c>
      <c r="H160" s="19">
        <f>G160*H157</f>
        <v>0.3</v>
      </c>
      <c r="I160" s="16"/>
      <c r="J160" s="16"/>
      <c r="K160" s="16"/>
      <c r="L160" s="16"/>
      <c r="M160" s="16"/>
      <c r="N160" s="16"/>
      <c r="O160" s="20"/>
    </row>
    <row r="161" spans="2:15" outlineLevel="1" x14ac:dyDescent="0.4">
      <c r="B161" s="26"/>
      <c r="C161" s="18"/>
      <c r="D161" s="18"/>
      <c r="E161" s="70" t="s">
        <v>317</v>
      </c>
      <c r="F161" s="18" t="s">
        <v>41</v>
      </c>
      <c r="G161" s="19">
        <v>1</v>
      </c>
      <c r="H161" s="19">
        <f>G161*H157</f>
        <v>30</v>
      </c>
      <c r="I161" s="16"/>
      <c r="J161" s="16"/>
      <c r="K161" s="16"/>
      <c r="L161" s="16"/>
      <c r="M161" s="16"/>
      <c r="N161" s="16"/>
      <c r="O161" s="20"/>
    </row>
    <row r="162" spans="2:15" outlineLevel="1" x14ac:dyDescent="0.4">
      <c r="B162" s="26"/>
      <c r="C162" s="18"/>
      <c r="D162" s="18"/>
      <c r="E162" s="18"/>
      <c r="F162" s="18"/>
      <c r="G162" s="19"/>
      <c r="H162" s="19"/>
      <c r="I162" s="16"/>
      <c r="J162" s="16"/>
      <c r="K162" s="16"/>
      <c r="L162" s="16"/>
      <c r="M162" s="16"/>
      <c r="N162" s="16"/>
      <c r="O162" s="20"/>
    </row>
    <row r="163" spans="2:15" outlineLevel="1" x14ac:dyDescent="0.4">
      <c r="B163" s="26"/>
      <c r="C163" s="18"/>
      <c r="D163" s="18"/>
      <c r="E163" s="14" t="s">
        <v>319</v>
      </c>
      <c r="F163" s="13" t="s">
        <v>41</v>
      </c>
      <c r="G163" s="15"/>
      <c r="H163" s="15">
        <v>30</v>
      </c>
      <c r="I163" s="16"/>
      <c r="J163" s="17"/>
      <c r="K163" s="16"/>
      <c r="L163" s="17"/>
      <c r="M163" s="16"/>
      <c r="N163" s="17"/>
      <c r="O163" s="17"/>
    </row>
    <row r="164" spans="2:15" outlineLevel="1" x14ac:dyDescent="0.4">
      <c r="B164" s="26"/>
      <c r="C164" s="18"/>
      <c r="D164" s="18"/>
      <c r="E164" s="70" t="s">
        <v>321</v>
      </c>
      <c r="F164" s="18" t="s">
        <v>20</v>
      </c>
      <c r="G164" s="19">
        <f>0.02*2</f>
        <v>0.04</v>
      </c>
      <c r="H164" s="19">
        <f>G164*H163</f>
        <v>1.2</v>
      </c>
      <c r="I164" s="16"/>
      <c r="J164" s="16"/>
      <c r="K164" s="16"/>
      <c r="L164" s="16"/>
      <c r="M164" s="16"/>
      <c r="N164" s="16"/>
      <c r="O164" s="20"/>
    </row>
    <row r="165" spans="2:15" outlineLevel="1" x14ac:dyDescent="0.4">
      <c r="B165" s="26"/>
      <c r="C165" s="18"/>
      <c r="D165" s="18"/>
      <c r="E165" s="70" t="s">
        <v>322</v>
      </c>
      <c r="F165" s="18" t="s">
        <v>20</v>
      </c>
      <c r="G165" s="19">
        <v>0.02</v>
      </c>
      <c r="H165" s="19">
        <f>G165*H163</f>
        <v>0.6</v>
      </c>
      <c r="I165" s="16"/>
      <c r="J165" s="16"/>
      <c r="K165" s="16"/>
      <c r="L165" s="16"/>
      <c r="M165" s="16"/>
      <c r="N165" s="16"/>
      <c r="O165" s="20"/>
    </row>
    <row r="166" spans="2:15" outlineLevel="1" x14ac:dyDescent="0.4">
      <c r="B166" s="26"/>
      <c r="C166" s="18"/>
      <c r="D166" s="18"/>
      <c r="E166" s="70" t="s">
        <v>320</v>
      </c>
      <c r="F166" s="18" t="s">
        <v>41</v>
      </c>
      <c r="G166" s="19">
        <v>2</v>
      </c>
      <c r="H166" s="19">
        <f>G166*H163</f>
        <v>60</v>
      </c>
      <c r="I166" s="16"/>
      <c r="J166" s="16"/>
      <c r="K166" s="16"/>
      <c r="L166" s="16"/>
      <c r="M166" s="16"/>
      <c r="N166" s="16"/>
      <c r="O166" s="20"/>
    </row>
    <row r="167" spans="2:15" outlineLevel="1" x14ac:dyDescent="0.4">
      <c r="B167" s="26"/>
      <c r="C167" s="18"/>
      <c r="D167" s="18"/>
      <c r="E167" s="18"/>
      <c r="F167" s="18"/>
      <c r="G167" s="19"/>
      <c r="H167" s="19"/>
      <c r="I167" s="16"/>
      <c r="J167" s="16"/>
      <c r="K167" s="16"/>
      <c r="L167" s="16"/>
      <c r="M167" s="16"/>
      <c r="N167" s="16"/>
      <c r="O167" s="20"/>
    </row>
    <row r="168" spans="2:15" outlineLevel="1" x14ac:dyDescent="0.4">
      <c r="B168" s="26"/>
      <c r="C168" s="18"/>
      <c r="D168" s="18"/>
      <c r="E168" s="14" t="s">
        <v>327</v>
      </c>
      <c r="F168" s="13" t="s">
        <v>1</v>
      </c>
      <c r="G168" s="15"/>
      <c r="H168" s="15">
        <v>8</v>
      </c>
      <c r="I168" s="16"/>
      <c r="J168" s="17"/>
      <c r="K168" s="16"/>
      <c r="L168" s="17"/>
      <c r="M168" s="16"/>
      <c r="N168" s="17"/>
      <c r="O168" s="17"/>
    </row>
    <row r="169" spans="2:15" outlineLevel="1" x14ac:dyDescent="0.4">
      <c r="B169" s="26"/>
      <c r="C169" s="18"/>
      <c r="D169" s="18"/>
      <c r="E169" s="70" t="s">
        <v>328</v>
      </c>
      <c r="F169" s="18" t="s">
        <v>1</v>
      </c>
      <c r="G169" s="19">
        <v>1</v>
      </c>
      <c r="H169" s="19">
        <f>G169*H168</f>
        <v>8</v>
      </c>
      <c r="I169" s="16"/>
      <c r="J169" s="16"/>
      <c r="K169" s="16"/>
      <c r="L169" s="16"/>
      <c r="M169" s="16"/>
      <c r="N169" s="16"/>
      <c r="O169" s="20"/>
    </row>
    <row r="170" spans="2:15" outlineLevel="1" x14ac:dyDescent="0.4">
      <c r="B170" s="26"/>
      <c r="C170" s="18"/>
      <c r="D170" s="18"/>
      <c r="E170" s="70" t="s">
        <v>329</v>
      </c>
      <c r="F170" s="18" t="s">
        <v>1</v>
      </c>
      <c r="G170" s="19">
        <v>1</v>
      </c>
      <c r="H170" s="19">
        <f>G170*H168</f>
        <v>8</v>
      </c>
      <c r="I170" s="16"/>
      <c r="J170" s="16"/>
      <c r="K170" s="16"/>
      <c r="L170" s="16"/>
      <c r="M170" s="16"/>
      <c r="N170" s="16"/>
      <c r="O170" s="20"/>
    </row>
    <row r="171" spans="2:15" outlineLevel="1" x14ac:dyDescent="0.4">
      <c r="B171" s="26"/>
      <c r="C171" s="18"/>
      <c r="D171" s="18"/>
      <c r="E171" s="18"/>
      <c r="F171" s="18"/>
      <c r="G171" s="19"/>
      <c r="H171" s="19"/>
      <c r="I171" s="16"/>
      <c r="J171" s="16"/>
      <c r="K171" s="16"/>
      <c r="L171" s="16"/>
      <c r="M171" s="16"/>
      <c r="N171" s="16"/>
      <c r="O171" s="20"/>
    </row>
    <row r="172" spans="2:15" outlineLevel="1" x14ac:dyDescent="0.4">
      <c r="B172" s="26"/>
      <c r="C172" s="18"/>
      <c r="D172" s="18"/>
      <c r="E172" s="14" t="s">
        <v>323</v>
      </c>
      <c r="F172" s="13" t="s">
        <v>1</v>
      </c>
      <c r="G172" s="15"/>
      <c r="H172" s="15">
        <v>8</v>
      </c>
      <c r="I172" s="16"/>
      <c r="J172" s="17"/>
      <c r="K172" s="16"/>
      <c r="L172" s="17"/>
      <c r="M172" s="16"/>
      <c r="N172" s="17"/>
      <c r="O172" s="17"/>
    </row>
    <row r="173" spans="2:15" outlineLevel="1" x14ac:dyDescent="0.4">
      <c r="B173" s="26"/>
      <c r="C173" s="18"/>
      <c r="D173" s="18"/>
      <c r="E173" s="70" t="s">
        <v>137</v>
      </c>
      <c r="F173" s="18" t="s">
        <v>1</v>
      </c>
      <c r="G173" s="19">
        <v>1</v>
      </c>
      <c r="H173" s="19">
        <f>G173*H172</f>
        <v>8</v>
      </c>
      <c r="I173" s="16"/>
      <c r="J173" s="16"/>
      <c r="K173" s="16"/>
      <c r="L173" s="16"/>
      <c r="M173" s="16"/>
      <c r="N173" s="16"/>
      <c r="O173" s="20"/>
    </row>
    <row r="174" spans="2:15" outlineLevel="1" x14ac:dyDescent="0.4">
      <c r="B174" s="26"/>
      <c r="C174" s="18"/>
      <c r="D174" s="18"/>
      <c r="E174" s="70" t="s">
        <v>324</v>
      </c>
      <c r="F174" s="18" t="s">
        <v>1</v>
      </c>
      <c r="G174" s="19">
        <v>1</v>
      </c>
      <c r="H174" s="19">
        <f>G174*H172</f>
        <v>8</v>
      </c>
      <c r="I174" s="16"/>
      <c r="J174" s="16"/>
      <c r="K174" s="16"/>
      <c r="L174" s="16"/>
      <c r="M174" s="16"/>
      <c r="N174" s="16"/>
      <c r="O174" s="20"/>
    </row>
    <row r="175" spans="2:15" outlineLevel="1" x14ac:dyDescent="0.4">
      <c r="B175" s="26"/>
      <c r="C175" s="18"/>
      <c r="D175" s="18"/>
      <c r="E175" s="18"/>
      <c r="F175" s="18"/>
      <c r="G175" s="19"/>
      <c r="H175" s="19"/>
      <c r="I175" s="16"/>
      <c r="J175" s="16"/>
      <c r="K175" s="16"/>
      <c r="L175" s="16"/>
      <c r="M175" s="16"/>
      <c r="N175" s="16"/>
      <c r="O175" s="20"/>
    </row>
    <row r="176" spans="2:15" outlineLevel="1" x14ac:dyDescent="0.4">
      <c r="B176" s="26"/>
      <c r="C176" s="18"/>
      <c r="D176" s="18"/>
      <c r="E176" s="14" t="s">
        <v>325</v>
      </c>
      <c r="F176" s="13" t="s">
        <v>1</v>
      </c>
      <c r="G176" s="15"/>
      <c r="H176" s="15">
        <v>8</v>
      </c>
      <c r="I176" s="16"/>
      <c r="J176" s="17"/>
      <c r="K176" s="16"/>
      <c r="L176" s="17"/>
      <c r="M176" s="16"/>
      <c r="N176" s="17"/>
      <c r="O176" s="17"/>
    </row>
    <row r="177" spans="2:15" outlineLevel="1" x14ac:dyDescent="0.4">
      <c r="B177" s="26"/>
      <c r="C177" s="18"/>
      <c r="D177" s="18"/>
      <c r="E177" s="70" t="s">
        <v>136</v>
      </c>
      <c r="F177" s="18" t="s">
        <v>1</v>
      </c>
      <c r="G177" s="19">
        <v>1</v>
      </c>
      <c r="H177" s="19">
        <f>G177*H176</f>
        <v>8</v>
      </c>
      <c r="I177" s="16"/>
      <c r="J177" s="16"/>
      <c r="K177" s="16"/>
      <c r="L177" s="16"/>
      <c r="M177" s="16"/>
      <c r="N177" s="16"/>
      <c r="O177" s="20"/>
    </row>
    <row r="178" spans="2:15" outlineLevel="1" x14ac:dyDescent="0.4">
      <c r="B178" s="26"/>
      <c r="C178" s="18"/>
      <c r="D178" s="18"/>
      <c r="E178" s="70" t="s">
        <v>326</v>
      </c>
      <c r="F178" s="18" t="s">
        <v>1</v>
      </c>
      <c r="G178" s="19">
        <v>1</v>
      </c>
      <c r="H178" s="19">
        <f>G178*H176</f>
        <v>8</v>
      </c>
      <c r="I178" s="16"/>
      <c r="J178" s="16"/>
      <c r="K178" s="16"/>
      <c r="L178" s="16"/>
      <c r="M178" s="16"/>
      <c r="N178" s="16"/>
      <c r="O178" s="20"/>
    </row>
    <row r="179" spans="2:15" outlineLevel="1" x14ac:dyDescent="0.4">
      <c r="B179" s="26"/>
      <c r="C179" s="18"/>
      <c r="D179" s="18"/>
      <c r="E179" s="18"/>
      <c r="F179" s="18"/>
      <c r="G179" s="19"/>
      <c r="H179" s="19"/>
      <c r="I179" s="16"/>
      <c r="J179" s="16"/>
      <c r="K179" s="16"/>
      <c r="L179" s="16"/>
      <c r="M179" s="16"/>
      <c r="N179" s="16"/>
      <c r="O179" s="20"/>
    </row>
    <row r="180" spans="2:15" ht="42" outlineLevel="1" x14ac:dyDescent="0.4">
      <c r="B180" s="26"/>
      <c r="C180" s="18"/>
      <c r="D180" s="18"/>
      <c r="E180" s="14" t="s">
        <v>422</v>
      </c>
      <c r="F180" s="13" t="s">
        <v>340</v>
      </c>
      <c r="G180" s="15"/>
      <c r="H180" s="15">
        <v>8</v>
      </c>
      <c r="I180" s="16"/>
      <c r="J180" s="17"/>
      <c r="K180" s="16"/>
      <c r="L180" s="17"/>
      <c r="M180" s="16"/>
      <c r="N180" s="17"/>
      <c r="O180" s="17"/>
    </row>
    <row r="181" spans="2:15" outlineLevel="1" x14ac:dyDescent="0.4">
      <c r="B181" s="26"/>
      <c r="C181" s="18"/>
      <c r="D181" s="18"/>
      <c r="E181" s="70" t="s">
        <v>423</v>
      </c>
      <c r="F181" s="18" t="s">
        <v>269</v>
      </c>
      <c r="G181" s="19"/>
      <c r="H181" s="19">
        <v>15</v>
      </c>
      <c r="I181" s="16"/>
      <c r="J181" s="16"/>
      <c r="K181" s="16"/>
      <c r="L181" s="16"/>
      <c r="M181" s="16"/>
      <c r="N181" s="16"/>
      <c r="O181" s="20"/>
    </row>
    <row r="182" spans="2:15" outlineLevel="1" x14ac:dyDescent="0.4">
      <c r="B182" s="26"/>
      <c r="C182" s="18"/>
      <c r="D182" s="18"/>
      <c r="E182" s="70" t="s">
        <v>424</v>
      </c>
      <c r="F182" s="18" t="s">
        <v>269</v>
      </c>
      <c r="G182" s="19"/>
      <c r="H182" s="19">
        <v>8</v>
      </c>
      <c r="I182" s="16"/>
      <c r="J182" s="16"/>
      <c r="K182" s="16"/>
      <c r="L182" s="16"/>
      <c r="M182" s="16"/>
      <c r="N182" s="16"/>
      <c r="O182" s="20"/>
    </row>
    <row r="183" spans="2:15" outlineLevel="1" x14ac:dyDescent="0.4">
      <c r="B183" s="26"/>
      <c r="C183" s="18"/>
      <c r="D183" s="18"/>
      <c r="E183" s="70" t="s">
        <v>76</v>
      </c>
      <c r="F183" s="18" t="s">
        <v>41</v>
      </c>
      <c r="G183" s="19"/>
      <c r="H183" s="19">
        <v>15</v>
      </c>
      <c r="I183" s="16"/>
      <c r="J183" s="16"/>
      <c r="K183" s="16"/>
      <c r="L183" s="16"/>
      <c r="M183" s="16"/>
      <c r="N183" s="16"/>
      <c r="O183" s="20"/>
    </row>
    <row r="184" spans="2:15" outlineLevel="1" x14ac:dyDescent="0.4">
      <c r="B184" s="26"/>
      <c r="C184" s="18"/>
      <c r="D184" s="18"/>
      <c r="E184" s="70" t="s">
        <v>425</v>
      </c>
      <c r="F184" s="18" t="s">
        <v>269</v>
      </c>
      <c r="G184" s="19"/>
      <c r="H184" s="19">
        <v>7</v>
      </c>
      <c r="I184" s="16"/>
      <c r="J184" s="16"/>
      <c r="K184" s="16"/>
      <c r="L184" s="16"/>
      <c r="M184" s="16"/>
      <c r="N184" s="16"/>
      <c r="O184" s="20"/>
    </row>
    <row r="185" spans="2:15" outlineLevel="1" x14ac:dyDescent="0.4">
      <c r="B185" s="26"/>
      <c r="C185" s="18"/>
      <c r="D185" s="18"/>
      <c r="E185" s="70" t="s">
        <v>426</v>
      </c>
      <c r="F185" s="18" t="s">
        <v>1</v>
      </c>
      <c r="G185" s="19"/>
      <c r="H185" s="19">
        <v>2</v>
      </c>
      <c r="I185" s="16"/>
      <c r="J185" s="16"/>
      <c r="K185" s="16"/>
      <c r="L185" s="16"/>
      <c r="M185" s="16"/>
      <c r="N185" s="16"/>
      <c r="O185" s="20"/>
    </row>
    <row r="186" spans="2:15" outlineLevel="1" x14ac:dyDescent="0.4">
      <c r="B186" s="26"/>
      <c r="C186" s="18"/>
      <c r="D186" s="18"/>
      <c r="E186" s="70" t="s">
        <v>427</v>
      </c>
      <c r="F186" s="18" t="s">
        <v>1</v>
      </c>
      <c r="G186" s="19"/>
      <c r="H186" s="19">
        <v>2</v>
      </c>
      <c r="I186" s="16"/>
      <c r="J186" s="16"/>
      <c r="K186" s="16"/>
      <c r="L186" s="16"/>
      <c r="M186" s="16"/>
      <c r="N186" s="16"/>
      <c r="O186" s="20"/>
    </row>
    <row r="187" spans="2:15" outlineLevel="1" x14ac:dyDescent="0.4">
      <c r="B187" s="26"/>
      <c r="C187" s="18"/>
      <c r="D187" s="18"/>
      <c r="E187" s="70" t="s">
        <v>428</v>
      </c>
      <c r="F187" s="18" t="s">
        <v>1</v>
      </c>
      <c r="G187" s="19"/>
      <c r="H187" s="19">
        <v>2</v>
      </c>
      <c r="I187" s="16"/>
      <c r="J187" s="16"/>
      <c r="K187" s="16"/>
      <c r="L187" s="16"/>
      <c r="M187" s="16"/>
      <c r="N187" s="16"/>
      <c r="O187" s="20"/>
    </row>
    <row r="188" spans="2:15" outlineLevel="1" x14ac:dyDescent="0.4">
      <c r="B188" s="26"/>
      <c r="C188" s="18"/>
      <c r="D188" s="18"/>
      <c r="E188" s="70" t="s">
        <v>429</v>
      </c>
      <c r="F188" s="18" t="s">
        <v>1</v>
      </c>
      <c r="G188" s="19"/>
      <c r="H188" s="19">
        <v>2</v>
      </c>
      <c r="I188" s="16"/>
      <c r="J188" s="16"/>
      <c r="K188" s="16"/>
      <c r="L188" s="16"/>
      <c r="M188" s="16"/>
      <c r="N188" s="16"/>
      <c r="O188" s="20"/>
    </row>
    <row r="189" spans="2:15" outlineLevel="1" x14ac:dyDescent="0.4">
      <c r="B189" s="26"/>
      <c r="C189" s="18"/>
      <c r="D189" s="18"/>
      <c r="E189" s="70" t="s">
        <v>430</v>
      </c>
      <c r="F189" s="18" t="s">
        <v>41</v>
      </c>
      <c r="G189" s="19"/>
      <c r="H189" s="19">
        <v>20</v>
      </c>
      <c r="I189" s="16"/>
      <c r="J189" s="16"/>
      <c r="K189" s="16"/>
      <c r="L189" s="16"/>
      <c r="M189" s="16"/>
      <c r="N189" s="16"/>
      <c r="O189" s="20"/>
    </row>
    <row r="190" spans="2:15" outlineLevel="1" x14ac:dyDescent="0.4">
      <c r="B190" s="26"/>
      <c r="C190" s="18"/>
      <c r="D190" s="18"/>
      <c r="E190" s="70" t="s">
        <v>431</v>
      </c>
      <c r="F190" s="18" t="s">
        <v>41</v>
      </c>
      <c r="G190" s="19"/>
      <c r="H190" s="19">
        <v>20</v>
      </c>
      <c r="I190" s="16"/>
      <c r="J190" s="16"/>
      <c r="K190" s="16"/>
      <c r="L190" s="16"/>
      <c r="M190" s="16"/>
      <c r="N190" s="16"/>
      <c r="O190" s="20"/>
    </row>
    <row r="191" spans="2:15" outlineLevel="1" x14ac:dyDescent="0.4">
      <c r="B191" s="26"/>
      <c r="C191" s="18"/>
      <c r="D191" s="18"/>
      <c r="E191" s="18"/>
      <c r="F191" s="18"/>
      <c r="G191" s="19"/>
      <c r="H191" s="19"/>
      <c r="I191" s="16"/>
      <c r="J191" s="16"/>
      <c r="K191" s="16"/>
      <c r="L191" s="16"/>
      <c r="M191" s="16"/>
      <c r="N191" s="16"/>
      <c r="O191" s="20"/>
    </row>
    <row r="192" spans="2:15" ht="42" outlineLevel="1" x14ac:dyDescent="0.4">
      <c r="B192" s="26"/>
      <c r="C192" s="18"/>
      <c r="D192" s="18"/>
      <c r="E192" s="14" t="s">
        <v>332</v>
      </c>
      <c r="F192" s="13" t="s">
        <v>340</v>
      </c>
      <c r="G192" s="15"/>
      <c r="H192" s="15">
        <v>8</v>
      </c>
      <c r="I192" s="16"/>
      <c r="J192" s="17"/>
      <c r="K192" s="16"/>
      <c r="L192" s="17"/>
      <c r="M192" s="16"/>
      <c r="N192" s="17"/>
      <c r="O192" s="17"/>
    </row>
    <row r="193" spans="2:15" outlineLevel="1" x14ac:dyDescent="0.4">
      <c r="B193" s="26"/>
      <c r="C193" s="18"/>
      <c r="D193" s="18"/>
      <c r="E193" s="70" t="s">
        <v>333</v>
      </c>
      <c r="F193" s="18" t="s">
        <v>1</v>
      </c>
      <c r="G193" s="19">
        <v>0.29508196721311475</v>
      </c>
      <c r="H193" s="19">
        <f>G193*H192</f>
        <v>2.360655737704918</v>
      </c>
      <c r="I193" s="16"/>
      <c r="J193" s="16"/>
      <c r="K193" s="16"/>
      <c r="L193" s="16"/>
      <c r="M193" s="16"/>
      <c r="N193" s="16"/>
      <c r="O193" s="20"/>
    </row>
    <row r="194" spans="2:15" outlineLevel="1" x14ac:dyDescent="0.4">
      <c r="B194" s="26"/>
      <c r="C194" s="18"/>
      <c r="D194" s="18"/>
      <c r="E194" s="70" t="s">
        <v>334</v>
      </c>
      <c r="F194" s="18" t="s">
        <v>1</v>
      </c>
      <c r="G194" s="19">
        <v>3.2786885245901641E-2</v>
      </c>
      <c r="H194" s="19">
        <f>G194*H192</f>
        <v>0.26229508196721313</v>
      </c>
      <c r="I194" s="16"/>
      <c r="J194" s="16"/>
      <c r="K194" s="16"/>
      <c r="L194" s="16"/>
      <c r="M194" s="16"/>
      <c r="N194" s="16"/>
      <c r="O194" s="20"/>
    </row>
    <row r="195" spans="2:15" outlineLevel="1" x14ac:dyDescent="0.4">
      <c r="B195" s="26"/>
      <c r="C195" s="18"/>
      <c r="D195" s="18"/>
      <c r="E195" s="70" t="s">
        <v>338</v>
      </c>
      <c r="F195" s="18" t="s">
        <v>1</v>
      </c>
      <c r="G195" s="19">
        <v>1</v>
      </c>
      <c r="H195" s="19">
        <f>G195*H192</f>
        <v>8</v>
      </c>
      <c r="I195" s="16"/>
      <c r="J195" s="16"/>
      <c r="K195" s="16"/>
      <c r="L195" s="16"/>
      <c r="M195" s="16"/>
      <c r="N195" s="16"/>
      <c r="O195" s="20"/>
    </row>
    <row r="196" spans="2:15" outlineLevel="1" x14ac:dyDescent="0.4">
      <c r="B196" s="26"/>
      <c r="C196" s="18"/>
      <c r="D196" s="18"/>
      <c r="E196" s="70" t="s">
        <v>339</v>
      </c>
      <c r="F196" s="18" t="s">
        <v>1</v>
      </c>
      <c r="G196" s="19">
        <v>1</v>
      </c>
      <c r="H196" s="19">
        <f>G196*H192</f>
        <v>8</v>
      </c>
      <c r="I196" s="16"/>
      <c r="J196" s="16"/>
      <c r="K196" s="16"/>
      <c r="L196" s="16"/>
      <c r="M196" s="16"/>
      <c r="N196" s="16"/>
      <c r="O196" s="20"/>
    </row>
    <row r="197" spans="2:15" outlineLevel="1" x14ac:dyDescent="0.4">
      <c r="B197" s="26"/>
      <c r="C197" s="18"/>
      <c r="D197" s="18"/>
      <c r="E197" s="70" t="s">
        <v>335</v>
      </c>
      <c r="F197" s="18" t="s">
        <v>1</v>
      </c>
      <c r="G197" s="19">
        <v>1</v>
      </c>
      <c r="H197" s="19">
        <f>G197*H192</f>
        <v>8</v>
      </c>
      <c r="I197" s="16"/>
      <c r="J197" s="16"/>
      <c r="K197" s="16"/>
      <c r="L197" s="16"/>
      <c r="M197" s="16"/>
      <c r="N197" s="16"/>
      <c r="O197" s="20"/>
    </row>
    <row r="198" spans="2:15" outlineLevel="1" x14ac:dyDescent="0.4">
      <c r="B198" s="26"/>
      <c r="C198" s="18"/>
      <c r="D198" s="18"/>
      <c r="E198" s="70" t="s">
        <v>336</v>
      </c>
      <c r="F198" s="18" t="s">
        <v>41</v>
      </c>
      <c r="G198" s="19">
        <v>1</v>
      </c>
      <c r="H198" s="19">
        <f>G198*H192</f>
        <v>8</v>
      </c>
      <c r="I198" s="16"/>
      <c r="J198" s="16"/>
      <c r="K198" s="16"/>
      <c r="L198" s="16"/>
      <c r="M198" s="16"/>
      <c r="N198" s="16"/>
      <c r="O198" s="20"/>
    </row>
    <row r="199" spans="2:15" outlineLevel="1" x14ac:dyDescent="0.4">
      <c r="B199" s="26"/>
      <c r="C199" s="18"/>
      <c r="D199" s="18"/>
      <c r="E199" s="70" t="s">
        <v>337</v>
      </c>
      <c r="F199" s="18" t="s">
        <v>41</v>
      </c>
      <c r="G199" s="19">
        <v>1</v>
      </c>
      <c r="H199" s="19">
        <f>G199*H192</f>
        <v>8</v>
      </c>
      <c r="I199" s="16"/>
      <c r="J199" s="16"/>
      <c r="K199" s="16"/>
      <c r="L199" s="16"/>
      <c r="M199" s="16"/>
      <c r="N199" s="16"/>
      <c r="O199" s="20"/>
    </row>
    <row r="200" spans="2:15" outlineLevel="1" x14ac:dyDescent="0.4">
      <c r="B200" s="26"/>
      <c r="C200" s="18"/>
      <c r="D200" s="18"/>
      <c r="E200" s="70" t="s">
        <v>341</v>
      </c>
      <c r="F200" s="18" t="s">
        <v>41</v>
      </c>
      <c r="G200" s="19">
        <v>2.459016393442623</v>
      </c>
      <c r="H200" s="19">
        <f>G200*H192</f>
        <v>19.672131147540984</v>
      </c>
      <c r="I200" s="16"/>
      <c r="J200" s="16"/>
      <c r="K200" s="16"/>
      <c r="L200" s="16"/>
      <c r="M200" s="16"/>
      <c r="N200" s="16"/>
      <c r="O200" s="20"/>
    </row>
    <row r="201" spans="2:15" outlineLevel="1" x14ac:dyDescent="0.4">
      <c r="B201" s="26"/>
      <c r="C201" s="18"/>
      <c r="D201" s="18"/>
      <c r="E201" s="70" t="s">
        <v>342</v>
      </c>
      <c r="F201" s="18" t="s">
        <v>343</v>
      </c>
      <c r="G201" s="19">
        <v>0.49180327868852458</v>
      </c>
      <c r="H201" s="19">
        <f>G201*H192</f>
        <v>3.9344262295081966</v>
      </c>
      <c r="I201" s="16"/>
      <c r="J201" s="16"/>
      <c r="K201" s="16"/>
      <c r="L201" s="16"/>
      <c r="M201" s="16"/>
      <c r="N201" s="16"/>
      <c r="O201" s="20"/>
    </row>
    <row r="202" spans="2:15" outlineLevel="1" x14ac:dyDescent="0.4">
      <c r="B202" s="26"/>
      <c r="C202" s="18"/>
      <c r="D202" s="18"/>
      <c r="E202" s="70" t="s">
        <v>344</v>
      </c>
      <c r="F202" s="18" t="s">
        <v>343</v>
      </c>
      <c r="G202" s="19">
        <v>0.49180327868852458</v>
      </c>
      <c r="H202" s="19">
        <f>G202*H192</f>
        <v>3.9344262295081966</v>
      </c>
      <c r="I202" s="16"/>
      <c r="J202" s="16"/>
      <c r="K202" s="16"/>
      <c r="L202" s="16"/>
      <c r="M202" s="16"/>
      <c r="N202" s="16"/>
      <c r="O202" s="20"/>
    </row>
    <row r="203" spans="2:15" outlineLevel="1" x14ac:dyDescent="0.4">
      <c r="B203" s="26"/>
      <c r="C203" s="18"/>
      <c r="D203" s="18"/>
      <c r="E203" s="18"/>
      <c r="F203" s="18"/>
      <c r="G203" s="19"/>
      <c r="H203" s="19"/>
      <c r="I203" s="16"/>
      <c r="J203" s="16"/>
      <c r="K203" s="16"/>
      <c r="L203" s="16"/>
      <c r="M203" s="16"/>
      <c r="N203" s="16"/>
      <c r="O203" s="20"/>
    </row>
    <row r="204" spans="2:15" ht="42" outlineLevel="1" x14ac:dyDescent="0.4">
      <c r="B204" s="26"/>
      <c r="C204" s="18"/>
      <c r="D204" s="18"/>
      <c r="E204" s="14" t="s">
        <v>432</v>
      </c>
      <c r="F204" s="13" t="s">
        <v>44</v>
      </c>
      <c r="G204" s="15"/>
      <c r="H204" s="15">
        <v>200</v>
      </c>
      <c r="I204" s="16"/>
      <c r="J204" s="17"/>
      <c r="K204" s="16"/>
      <c r="L204" s="17"/>
      <c r="M204" s="16"/>
      <c r="N204" s="17"/>
      <c r="O204" s="17"/>
    </row>
    <row r="205" spans="2:15" ht="42" outlineLevel="1" x14ac:dyDescent="0.4">
      <c r="B205" s="26"/>
      <c r="C205" s="18"/>
      <c r="D205" s="18"/>
      <c r="E205" s="70" t="s">
        <v>163</v>
      </c>
      <c r="F205" s="18" t="s">
        <v>41</v>
      </c>
      <c r="G205" s="19">
        <v>1.2624048706240489</v>
      </c>
      <c r="H205" s="19">
        <f>G205*H204</f>
        <v>252.48097412480979</v>
      </c>
      <c r="I205" s="16"/>
      <c r="J205" s="16"/>
      <c r="K205" s="16"/>
      <c r="L205" s="16"/>
      <c r="M205" s="16"/>
      <c r="N205" s="16"/>
      <c r="O205" s="20"/>
    </row>
    <row r="206" spans="2:15" outlineLevel="1" x14ac:dyDescent="0.4">
      <c r="B206" s="26"/>
      <c r="C206" s="18"/>
      <c r="D206" s="18"/>
      <c r="E206" s="70" t="s">
        <v>164</v>
      </c>
      <c r="F206" s="18" t="s">
        <v>41</v>
      </c>
      <c r="G206" s="19">
        <v>1.2624048706240489</v>
      </c>
      <c r="H206" s="19">
        <f>G206*H204</f>
        <v>252.48097412480979</v>
      </c>
      <c r="I206" s="16"/>
      <c r="J206" s="16"/>
      <c r="K206" s="16"/>
      <c r="L206" s="16"/>
      <c r="M206" s="16"/>
      <c r="N206" s="16"/>
      <c r="O206" s="20"/>
    </row>
    <row r="207" spans="2:15" outlineLevel="1" x14ac:dyDescent="0.4">
      <c r="B207" s="26"/>
      <c r="C207" s="18"/>
      <c r="D207" s="18"/>
      <c r="E207" s="70" t="s">
        <v>230</v>
      </c>
      <c r="F207" s="18" t="s">
        <v>41</v>
      </c>
      <c r="G207" s="19">
        <v>1.2624048706240489</v>
      </c>
      <c r="H207" s="19">
        <f>G207*H204</f>
        <v>252.48097412480979</v>
      </c>
      <c r="I207" s="16"/>
      <c r="J207" s="16"/>
      <c r="K207" s="16"/>
      <c r="L207" s="16"/>
      <c r="M207" s="16"/>
      <c r="N207" s="16"/>
      <c r="O207" s="20"/>
    </row>
    <row r="208" spans="2:15" outlineLevel="1" x14ac:dyDescent="0.4">
      <c r="B208" s="26"/>
      <c r="C208" s="18"/>
      <c r="D208" s="18"/>
      <c r="E208" s="70" t="s">
        <v>280</v>
      </c>
      <c r="F208" s="18" t="s">
        <v>41</v>
      </c>
      <c r="G208" s="19">
        <v>1.2624048706240489</v>
      </c>
      <c r="H208" s="19">
        <f>G208*H204</f>
        <v>252.48097412480979</v>
      </c>
      <c r="I208" s="16"/>
      <c r="J208" s="16"/>
      <c r="K208" s="16"/>
      <c r="L208" s="16"/>
      <c r="M208" s="16"/>
      <c r="N208" s="16"/>
      <c r="O208" s="20"/>
    </row>
    <row r="209" spans="2:16" outlineLevel="1" x14ac:dyDescent="0.4">
      <c r="B209" s="26"/>
      <c r="C209" s="18"/>
      <c r="D209" s="18"/>
      <c r="E209" s="18"/>
      <c r="F209" s="18"/>
      <c r="G209" s="19"/>
      <c r="H209" s="19"/>
      <c r="I209" s="16"/>
      <c r="J209" s="16"/>
      <c r="K209" s="16"/>
      <c r="L209" s="16"/>
      <c r="M209" s="16"/>
      <c r="N209" s="16"/>
      <c r="O209" s="20"/>
    </row>
    <row r="210" spans="2:16" x14ac:dyDescent="0.4">
      <c r="B210" s="29"/>
      <c r="C210" s="21"/>
      <c r="D210" s="21"/>
      <c r="E210" s="12" t="s">
        <v>30</v>
      </c>
      <c r="F210" s="21"/>
      <c r="G210" s="22"/>
      <c r="H210" s="22"/>
      <c r="I210" s="22"/>
      <c r="J210" s="22">
        <f>SUBTOTAL(9,J9:J209)</f>
        <v>0</v>
      </c>
      <c r="K210" s="22"/>
      <c r="L210" s="22">
        <f>SUBTOTAL(9,L9:L209)</f>
        <v>0</v>
      </c>
      <c r="M210" s="22"/>
      <c r="N210" s="22">
        <f>SUBTOTAL(9,N9:N209)</f>
        <v>0</v>
      </c>
      <c r="O210" s="22">
        <f>SUM(O9:O209)</f>
        <v>0</v>
      </c>
    </row>
    <row r="211" spans="2:16" x14ac:dyDescent="0.4">
      <c r="B211" s="26"/>
      <c r="C211" s="18"/>
      <c r="D211" s="18"/>
      <c r="E211" s="23" t="s">
        <v>31</v>
      </c>
      <c r="F211" s="24">
        <v>0.03</v>
      </c>
      <c r="G211" s="20"/>
      <c r="H211" s="20"/>
      <c r="I211" s="20"/>
      <c r="J211" s="20">
        <f>J210*F211</f>
        <v>0</v>
      </c>
      <c r="K211" s="20"/>
      <c r="L211" s="20"/>
      <c r="M211" s="20"/>
      <c r="N211" s="20"/>
      <c r="O211" s="20">
        <f>J210*F211</f>
        <v>0</v>
      </c>
    </row>
    <row r="212" spans="2:16" x14ac:dyDescent="0.4">
      <c r="B212" s="29"/>
      <c r="C212" s="21"/>
      <c r="D212" s="21"/>
      <c r="E212" s="12" t="s">
        <v>37</v>
      </c>
      <c r="F212" s="12"/>
      <c r="G212" s="22"/>
      <c r="H212" s="22"/>
      <c r="I212" s="22"/>
      <c r="J212" s="22">
        <f>SUM(J210:J211)</f>
        <v>0</v>
      </c>
      <c r="K212" s="22"/>
      <c r="L212" s="22">
        <f>SUM(L210:L211)</f>
        <v>0</v>
      </c>
      <c r="M212" s="22"/>
      <c r="N212" s="22">
        <f>SUM(N210:N211)</f>
        <v>0</v>
      </c>
      <c r="O212" s="22">
        <f>SUM(O210:O211)</f>
        <v>0</v>
      </c>
    </row>
    <row r="213" spans="2:16" x14ac:dyDescent="0.4">
      <c r="B213" s="26"/>
      <c r="C213" s="18"/>
      <c r="D213" s="18"/>
      <c r="E213" s="23" t="s">
        <v>35</v>
      </c>
      <c r="F213" s="24">
        <v>0</v>
      </c>
      <c r="G213" s="20"/>
      <c r="H213" s="20"/>
      <c r="I213" s="20"/>
      <c r="J213" s="20">
        <f>J212*$F$213</f>
        <v>0</v>
      </c>
      <c r="K213" s="20"/>
      <c r="L213" s="20">
        <f>L212*$F$213</f>
        <v>0</v>
      </c>
      <c r="M213" s="20"/>
      <c r="N213" s="20">
        <f>N212*$F$213</f>
        <v>0</v>
      </c>
      <c r="O213" s="20">
        <f>O212*F213</f>
        <v>0</v>
      </c>
    </row>
    <row r="214" spans="2:16" x14ac:dyDescent="0.4">
      <c r="B214" s="29"/>
      <c r="C214" s="21"/>
      <c r="D214" s="21"/>
      <c r="E214" s="12" t="s">
        <v>37</v>
      </c>
      <c r="F214" s="12"/>
      <c r="G214" s="22"/>
      <c r="H214" s="22"/>
      <c r="I214" s="22"/>
      <c r="J214" s="22">
        <f>SUM(J212:J213)</f>
        <v>0</v>
      </c>
      <c r="K214" s="22"/>
      <c r="L214" s="22">
        <f>SUM(L212:L213)</f>
        <v>0</v>
      </c>
      <c r="M214" s="22"/>
      <c r="N214" s="22">
        <f>SUM(N212:N213)</f>
        <v>0</v>
      </c>
      <c r="O214" s="22">
        <f>SUM(O212:O213)</f>
        <v>0</v>
      </c>
    </row>
    <row r="215" spans="2:16" x14ac:dyDescent="0.4">
      <c r="B215" s="26"/>
      <c r="C215" s="18"/>
      <c r="D215" s="18"/>
      <c r="E215" s="23" t="s">
        <v>32</v>
      </c>
      <c r="F215" s="24">
        <v>0.04</v>
      </c>
      <c r="G215" s="20"/>
      <c r="H215" s="20"/>
      <c r="I215" s="20"/>
      <c r="J215" s="20">
        <f>J214*$F$215</f>
        <v>0</v>
      </c>
      <c r="K215" s="20"/>
      <c r="L215" s="20">
        <f>L214*$F$215</f>
        <v>0</v>
      </c>
      <c r="M215" s="20"/>
      <c r="N215" s="20">
        <f>N214*$F$215</f>
        <v>0</v>
      </c>
      <c r="O215" s="20">
        <f>O214*$F$215</f>
        <v>0</v>
      </c>
    </row>
    <row r="216" spans="2:16" x14ac:dyDescent="0.4">
      <c r="B216" s="29"/>
      <c r="C216" s="21"/>
      <c r="D216" s="21"/>
      <c r="E216" s="12" t="s">
        <v>37</v>
      </c>
      <c r="F216" s="12"/>
      <c r="G216" s="22"/>
      <c r="H216" s="22"/>
      <c r="I216" s="22"/>
      <c r="J216" s="22">
        <f>SUM(J214:J215)</f>
        <v>0</v>
      </c>
      <c r="K216" s="22"/>
      <c r="L216" s="22">
        <f>SUM(L214:L215)</f>
        <v>0</v>
      </c>
      <c r="M216" s="22"/>
      <c r="N216" s="22">
        <f>SUM(N214:N215)</f>
        <v>0</v>
      </c>
      <c r="O216" s="22">
        <f>SUM(O214:O215)</f>
        <v>0</v>
      </c>
    </row>
    <row r="217" spans="2:16" x14ac:dyDescent="0.4">
      <c r="B217" s="26"/>
      <c r="C217" s="18"/>
      <c r="D217" s="18"/>
      <c r="E217" s="23" t="s">
        <v>33</v>
      </c>
      <c r="F217" s="24">
        <v>0</v>
      </c>
      <c r="G217" s="20"/>
      <c r="H217" s="20"/>
      <c r="I217" s="20"/>
      <c r="J217" s="20">
        <f>J216*$F$217</f>
        <v>0</v>
      </c>
      <c r="K217" s="20"/>
      <c r="L217" s="20">
        <f>L216*$F$217</f>
        <v>0</v>
      </c>
      <c r="M217" s="20"/>
      <c r="N217" s="20">
        <f>N216*$F$217</f>
        <v>0</v>
      </c>
      <c r="O217" s="20">
        <f>O216*$F$217</f>
        <v>0</v>
      </c>
    </row>
    <row r="218" spans="2:16" x14ac:dyDescent="0.4">
      <c r="B218" s="29"/>
      <c r="C218" s="21"/>
      <c r="D218" s="21"/>
      <c r="E218" s="12" t="s">
        <v>37</v>
      </c>
      <c r="F218" s="12"/>
      <c r="G218" s="22"/>
      <c r="H218" s="22"/>
      <c r="I218" s="22"/>
      <c r="J218" s="22">
        <f>SUM(J216:J217)</f>
        <v>0</v>
      </c>
      <c r="K218" s="22"/>
      <c r="L218" s="22">
        <f>SUM(L216:L217)</f>
        <v>0</v>
      </c>
      <c r="M218" s="22"/>
      <c r="N218" s="22">
        <f>SUM(N216:N217)</f>
        <v>0</v>
      </c>
      <c r="O218" s="22">
        <f>SUM(O216:O217)</f>
        <v>0</v>
      </c>
    </row>
    <row r="219" spans="2:16" x14ac:dyDescent="0.4">
      <c r="B219" s="26"/>
      <c r="C219" s="18"/>
      <c r="D219" s="18"/>
      <c r="E219" s="23" t="s">
        <v>34</v>
      </c>
      <c r="F219" s="24">
        <v>0.18</v>
      </c>
      <c r="G219" s="20"/>
      <c r="H219" s="20"/>
      <c r="I219" s="20"/>
      <c r="J219" s="20">
        <f>J218*$F$219</f>
        <v>0</v>
      </c>
      <c r="K219" s="20"/>
      <c r="L219" s="20">
        <f>L218*$F$219</f>
        <v>0</v>
      </c>
      <c r="M219" s="20"/>
      <c r="N219" s="20">
        <f>N218*$F$219</f>
        <v>0</v>
      </c>
      <c r="O219" s="20">
        <f>O218*$F$219</f>
        <v>0</v>
      </c>
    </row>
    <row r="220" spans="2:16" x14ac:dyDescent="0.4">
      <c r="B220" s="30"/>
      <c r="C220" s="31"/>
      <c r="D220" s="31"/>
      <c r="E220" s="32" t="s">
        <v>36</v>
      </c>
      <c r="F220" s="31"/>
      <c r="G220" s="33"/>
      <c r="H220" s="33"/>
      <c r="I220" s="33"/>
      <c r="J220" s="33">
        <f>SUM(J218:J219)</f>
        <v>0</v>
      </c>
      <c r="K220" s="33"/>
      <c r="L220" s="33">
        <f>SUM(L218:L219)</f>
        <v>0</v>
      </c>
      <c r="M220" s="33"/>
      <c r="N220" s="33">
        <f>SUM(N218:N219)</f>
        <v>0</v>
      </c>
      <c r="O220" s="33">
        <f>SUM(O218:O219)</f>
        <v>0</v>
      </c>
      <c r="P220" s="6">
        <f>O220-N220-L220-J220</f>
        <v>0</v>
      </c>
    </row>
    <row r="221" spans="2:16" ht="48.75" customHeight="1" x14ac:dyDescent="0.4"/>
    <row r="222" spans="2:16" ht="48.75" customHeight="1" x14ac:dyDescent="0.4">
      <c r="N222" s="7"/>
      <c r="O222" s="3"/>
    </row>
    <row r="223" spans="2:16" ht="48.75" customHeight="1" x14ac:dyDescent="0.4">
      <c r="O223" s="2"/>
    </row>
    <row r="224" spans="2:16" ht="48.75" customHeight="1" x14ac:dyDescent="0.4"/>
    <row r="225" spans="15:18" ht="48.75" customHeight="1" x14ac:dyDescent="0.4"/>
    <row r="226" spans="15:18" ht="48.75" customHeight="1" x14ac:dyDescent="0.4">
      <c r="O226" s="3"/>
    </row>
    <row r="227" spans="15:18" ht="48.75" customHeight="1" x14ac:dyDescent="0.4"/>
    <row r="228" spans="15:18" ht="48.75" customHeight="1" x14ac:dyDescent="0.4"/>
    <row r="229" spans="15:18" ht="48.75" customHeight="1" x14ac:dyDescent="0.4"/>
    <row r="230" spans="15:18" ht="48.75" customHeight="1" x14ac:dyDescent="0.4"/>
    <row r="231" spans="15:18" s="1" customFormat="1" ht="48.75" customHeight="1" x14ac:dyDescent="0.4">
      <c r="P231"/>
      <c r="Q231"/>
      <c r="R231"/>
    </row>
    <row r="232" spans="15:18" s="1" customFormat="1" ht="48.75" customHeight="1" x14ac:dyDescent="0.4"/>
    <row r="233" spans="15:18" s="1" customFormat="1" ht="48.75" customHeight="1" x14ac:dyDescent="0.4"/>
    <row r="234" spans="15:18" s="1" customFormat="1" ht="48.75" customHeight="1" x14ac:dyDescent="0.4"/>
    <row r="235" spans="15:18" s="1" customFormat="1" ht="48.75" customHeight="1" x14ac:dyDescent="0.4"/>
    <row r="236" spans="15:18" s="1" customFormat="1" ht="48.75" customHeight="1" x14ac:dyDescent="0.4"/>
    <row r="237" spans="15:18" s="1" customFormat="1" ht="48.75" customHeight="1" x14ac:dyDescent="0.4"/>
    <row r="238" spans="15:18" s="1" customFormat="1" ht="48.75" customHeight="1" x14ac:dyDescent="0.4"/>
    <row r="239" spans="15:18" s="1" customFormat="1" ht="48.75" customHeight="1" x14ac:dyDescent="0.4"/>
    <row r="240" spans="15:18" s="1" customFormat="1" ht="48.75" customHeight="1" x14ac:dyDescent="0.4"/>
    <row r="241" s="1" customFormat="1" ht="48.75" customHeight="1" x14ac:dyDescent="0.4"/>
    <row r="242" s="1" customFormat="1" ht="48.75" customHeight="1" x14ac:dyDescent="0.4"/>
    <row r="243" s="1" customFormat="1" ht="48.75" customHeight="1" x14ac:dyDescent="0.4"/>
    <row r="244" s="1" customFormat="1" ht="48.75" customHeight="1" x14ac:dyDescent="0.4"/>
    <row r="245" s="1" customFormat="1" ht="48.75" customHeight="1" x14ac:dyDescent="0.4"/>
    <row r="246" s="1" customFormat="1" ht="48.75" customHeight="1" x14ac:dyDescent="0.4"/>
    <row r="247" s="1" customFormat="1" ht="48.75" customHeight="1" x14ac:dyDescent="0.4"/>
    <row r="248" s="1" customFormat="1" ht="48.75" customHeight="1" x14ac:dyDescent="0.4"/>
    <row r="249" s="1" customFormat="1" ht="48.75" customHeight="1" x14ac:dyDescent="0.4"/>
    <row r="250" s="1" customFormat="1" ht="48.75" customHeight="1" x14ac:dyDescent="0.4"/>
    <row r="251" s="1" customFormat="1" ht="48.75" customHeight="1" x14ac:dyDescent="0.4"/>
    <row r="252" s="1" customFormat="1" ht="48.75" customHeight="1" x14ac:dyDescent="0.4"/>
    <row r="253" s="1" customFormat="1" ht="48.75" customHeight="1" x14ac:dyDescent="0.4"/>
    <row r="254" s="1" customFormat="1" ht="48.75" customHeight="1" x14ac:dyDescent="0.4"/>
    <row r="255" s="1" customFormat="1" ht="48.75" customHeight="1" x14ac:dyDescent="0.4"/>
    <row r="256" s="1" customFormat="1" ht="48.75" customHeight="1" x14ac:dyDescent="0.4"/>
    <row r="257" s="1" customFormat="1" ht="48.75" customHeight="1" x14ac:dyDescent="0.4"/>
    <row r="258" s="1" customFormat="1" ht="48.75" customHeight="1" x14ac:dyDescent="0.4"/>
    <row r="259" s="1" customFormat="1" ht="48.75" customHeight="1" x14ac:dyDescent="0.4"/>
    <row r="260" s="1" customFormat="1" ht="48.75" customHeight="1" x14ac:dyDescent="0.4"/>
    <row r="261" s="1" customFormat="1" ht="48.75" customHeight="1" x14ac:dyDescent="0.4"/>
    <row r="262" s="1" customFormat="1" ht="48.75" customHeight="1" x14ac:dyDescent="0.4"/>
    <row r="263" s="1" customFormat="1" ht="48.75" customHeight="1" x14ac:dyDescent="0.4"/>
    <row r="264" s="1" customFormat="1" ht="48.75" customHeight="1" x14ac:dyDescent="0.4"/>
    <row r="265" s="1" customFormat="1" ht="48.75" customHeight="1" x14ac:dyDescent="0.4"/>
    <row r="266" s="1" customFormat="1" ht="48.75" customHeight="1" x14ac:dyDescent="0.4"/>
    <row r="267" s="1" customFormat="1" ht="48.75" customHeight="1" x14ac:dyDescent="0.4"/>
    <row r="268" s="1" customFormat="1" ht="48.75" customHeight="1" x14ac:dyDescent="0.4"/>
    <row r="269" s="1" customFormat="1" ht="48.75" customHeight="1" x14ac:dyDescent="0.4"/>
    <row r="270" s="1" customFormat="1" ht="48.75" customHeight="1" x14ac:dyDescent="0.4"/>
    <row r="271" s="1" customFormat="1" ht="48.75" customHeight="1" x14ac:dyDescent="0.4"/>
    <row r="272" s="1" customFormat="1" ht="48.75" customHeight="1" x14ac:dyDescent="0.4"/>
    <row r="273" s="1" customFormat="1" ht="48.75" customHeight="1" x14ac:dyDescent="0.4"/>
    <row r="274" s="1" customFormat="1" ht="48.75" customHeight="1" x14ac:dyDescent="0.4"/>
    <row r="275" s="1" customFormat="1" ht="48.75" customHeight="1" x14ac:dyDescent="0.4"/>
    <row r="276" s="1" customFormat="1" ht="48.75" customHeight="1" x14ac:dyDescent="0.4"/>
    <row r="277" s="1" customFormat="1" ht="48.75" customHeight="1" x14ac:dyDescent="0.4"/>
    <row r="278" s="1" customFormat="1" ht="48.75" customHeight="1" x14ac:dyDescent="0.4"/>
    <row r="279" s="1" customFormat="1" ht="48.75" customHeight="1" x14ac:dyDescent="0.4"/>
  </sheetData>
  <autoFilter ref="B8:O220" xr:uid="{361D4AB0-0706-4BFB-AC63-002C191578BD}"/>
  <mergeCells count="16">
    <mergeCell ref="G6:G7"/>
    <mergeCell ref="H6:H7"/>
    <mergeCell ref="I6:J6"/>
    <mergeCell ref="K6:L6"/>
    <mergeCell ref="M6:N6"/>
    <mergeCell ref="O6:O7"/>
    <mergeCell ref="B2:D5"/>
    <mergeCell ref="E2:M4"/>
    <mergeCell ref="N2:O5"/>
    <mergeCell ref="E5:I5"/>
    <mergeCell ref="J5:L5"/>
    <mergeCell ref="B6:B7"/>
    <mergeCell ref="C6:C7"/>
    <mergeCell ref="D6:D7"/>
    <mergeCell ref="E6:E7"/>
    <mergeCell ref="F6:F7"/>
  </mergeCells>
  <dataValidations count="1">
    <dataValidation type="list" allowBlank="1" showInputMessage="1" showErrorMessage="1" sqref="E1:E1048576" xr:uid="{F5FC3D22-5254-49E0-9617-2A8B864E799D}">
      <formula1>UNIT_PRICES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Earthworks</vt:lpstr>
      <vt:lpstr>Structure</vt:lpstr>
      <vt:lpstr>Roof</vt:lpstr>
      <vt:lpstr>Shell &amp; Core</vt:lpstr>
      <vt:lpstr>MEP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Akhvlediani</dc:creator>
  <cp:lastModifiedBy>Nika Chikobava</cp:lastModifiedBy>
  <dcterms:created xsi:type="dcterms:W3CDTF">2015-06-05T18:17:20Z</dcterms:created>
  <dcterms:modified xsi:type="dcterms:W3CDTF">2026-02-23T14:26:45Z</dcterms:modified>
</cp:coreProperties>
</file>