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beroshvili\Downloads\"/>
    </mc:Choice>
  </mc:AlternateContent>
  <xr:revisionPtr revIDLastSave="0" documentId="13_ncr:1_{3A0F3433-0124-44A4-BAD7-72D30D13DF2B}" xr6:coauthVersionLast="47" xr6:coauthVersionMax="47" xr10:uidLastSave="{00000000-0000-0000-0000-000000000000}"/>
  <bookViews>
    <workbookView xWindow="28680" yWindow="-120" windowWidth="29040" windowHeight="15720" tabRatio="741" firstSheet="9" activeTab="10" xr2:uid="{00000000-000D-0000-FFFF-FFFF00000000}"/>
  </bookViews>
  <sheets>
    <sheet name="ICMS" sheetId="2" state="veryHidden" r:id="rId1"/>
    <sheet name="1.01_PRE" sheetId="5" state="hidden" r:id="rId2"/>
    <sheet name="1.02_SUBS" sheetId="3" state="hidden" r:id="rId3"/>
    <sheet name="1.03_STR" sheetId="4" state="hidden" r:id="rId4"/>
    <sheet name="1.04.1_SH&amp;C" sheetId="10" state="hidden" r:id="rId5"/>
    <sheet name="1.04.2_FIN" sheetId="11" state="hidden" r:id="rId6"/>
    <sheet name="1.04.3_FAC" sheetId="12" state="hidden" r:id="rId7"/>
    <sheet name="1.04.4_DOR" sheetId="13" state="hidden" r:id="rId8"/>
    <sheet name="1.04.5_STI" sheetId="14" state="hidden" r:id="rId9"/>
    <sheet name="კაფეტერიის შენობა" sheetId="35" r:id="rId10"/>
    <sheet name="სათაო შენობა" sheetId="36" r:id="rId11"/>
  </sheets>
  <definedNames>
    <definedName name="_xlnm._FilterDatabase" localSheetId="10" hidden="1">'სათაო შენობა'!$A$1:$D$1</definedName>
    <definedName name="ColumnTitle1">#REF!</definedName>
    <definedName name="company_name">#REF!</definedName>
    <definedName name="_xlnm.Print_Area" localSheetId="1">'1.01_PRE'!$A$1:$N$26</definedName>
    <definedName name="_xlnm.Print_Area" localSheetId="2">'1.02_SUBS'!$A$1:$N$26</definedName>
    <definedName name="_xlnm.Print_Area" localSheetId="3">'1.03_STR'!$A$1:$N$26</definedName>
    <definedName name="_xlnm.Print_Area" localSheetId="4">'1.04.1_SH&amp;C'!$A$1:$N$26</definedName>
    <definedName name="_xlnm.Print_Area" localSheetId="5">'1.04.2_FIN'!$A$1:$N$26</definedName>
    <definedName name="_xlnm.Print_Area" localSheetId="6">'1.04.3_FAC'!$A$1:$N$26</definedName>
    <definedName name="_xlnm.Print_Area" localSheetId="7">'1.04.4_DOR'!$A$1:$N$26</definedName>
    <definedName name="_xlnm.Print_Area" localSheetId="8">'1.04.5_STI'!$A$1:$N$26</definedName>
    <definedName name="_xlnm.Print_Area" localSheetId="0">ICMS!$B$2:$C$157</definedName>
    <definedName name="_xlnm.Print_Area" localSheetId="9">'კაფეტერიის შენობა'!$A$1:$C$28</definedName>
    <definedName name="RowTitleRegion1..C7">#REF!</definedName>
    <definedName name="RowTitleRegion2..G5">#REF!</definedName>
    <definedName name="RowTitleRegion3..G2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5" l="1"/>
  <c r="E22" i="35"/>
  <c r="E23" i="35"/>
  <c r="E24" i="35"/>
  <c r="E25" i="35"/>
  <c r="E21" i="35"/>
  <c r="D26" i="35" s="1"/>
  <c r="E17" i="35"/>
  <c r="E16" i="35"/>
  <c r="E18" i="35"/>
  <c r="E15" i="35"/>
  <c r="D19" i="35" s="1"/>
  <c r="E6" i="35"/>
  <c r="E7" i="35"/>
  <c r="E8" i="35"/>
  <c r="E9" i="35"/>
  <c r="E10" i="35"/>
  <c r="E11" i="35"/>
  <c r="E12" i="35"/>
  <c r="F3" i="36"/>
  <c r="E42" i="36"/>
  <c r="E36" i="36"/>
  <c r="E30" i="36"/>
  <c r="E26" i="36"/>
  <c r="F39" i="36"/>
  <c r="F40" i="36"/>
  <c r="F41" i="36"/>
  <c r="F38" i="36"/>
  <c r="F33" i="36"/>
  <c r="F34" i="36"/>
  <c r="F35" i="36"/>
  <c r="F32" i="36"/>
  <c r="F29" i="36"/>
  <c r="F28" i="36"/>
  <c r="F19" i="36"/>
  <c r="F20" i="36"/>
  <c r="F21" i="36"/>
  <c r="F22" i="36"/>
  <c r="F23" i="36"/>
  <c r="F24" i="36"/>
  <c r="F25" i="36"/>
  <c r="F18" i="36"/>
  <c r="F4" i="36"/>
  <c r="F5" i="36"/>
  <c r="F6" i="36"/>
  <c r="F7" i="36"/>
  <c r="F8" i="36"/>
  <c r="F9" i="36"/>
  <c r="F10" i="36"/>
  <c r="F11" i="36"/>
  <c r="F12" i="36"/>
  <c r="F13" i="36"/>
  <c r="F14" i="36"/>
  <c r="F15" i="36"/>
  <c r="C1" i="35"/>
  <c r="D13" i="35" l="1"/>
  <c r="E44" i="36"/>
  <c r="E16" i="36"/>
  <c r="B17" i="2"/>
  <c r="B16" i="2"/>
  <c r="B15" i="2"/>
  <c r="B13" i="2"/>
  <c r="B14" i="2"/>
  <c r="B11" i="2"/>
  <c r="B12" i="2"/>
  <c r="B10" i="2"/>
  <c r="B9" i="2"/>
  <c r="B8" i="2"/>
  <c r="C20" i="2"/>
  <c r="H10" i="2" l="1"/>
  <c r="H14" i="2"/>
  <c r="H13" i="2"/>
  <c r="H11" i="2"/>
  <c r="H12" i="2"/>
  <c r="H4" i="2"/>
  <c r="B2" i="14" l="1"/>
  <c r="C26" i="14"/>
  <c r="C25" i="14"/>
  <c r="C24" i="14"/>
  <c r="C23" i="14"/>
  <c r="L22" i="14"/>
  <c r="J22" i="14"/>
  <c r="H22" i="14"/>
  <c r="C22" i="14"/>
  <c r="K5" i="14"/>
  <c r="I5" i="14"/>
  <c r="G5" i="14"/>
  <c r="L4" i="14"/>
  <c r="K4" i="14"/>
  <c r="J4" i="14"/>
  <c r="I4" i="14"/>
  <c r="H4" i="14"/>
  <c r="G4" i="14"/>
  <c r="F4" i="14"/>
  <c r="E4" i="14"/>
  <c r="N3" i="14"/>
  <c r="M3" i="14"/>
  <c r="K3" i="14"/>
  <c r="I3" i="14"/>
  <c r="G3" i="14"/>
  <c r="E3" i="14"/>
  <c r="D3" i="14"/>
  <c r="C3" i="14"/>
  <c r="B3" i="14"/>
  <c r="B2" i="13"/>
  <c r="C26" i="13"/>
  <c r="C25" i="13"/>
  <c r="C24" i="13"/>
  <c r="C23" i="13"/>
  <c r="L22" i="13"/>
  <c r="J22" i="13"/>
  <c r="H22" i="13"/>
  <c r="C22" i="13"/>
  <c r="K5" i="13"/>
  <c r="I5" i="13"/>
  <c r="G5" i="13"/>
  <c r="L4" i="13"/>
  <c r="K4" i="13"/>
  <c r="J4" i="13"/>
  <c r="I4" i="13"/>
  <c r="H4" i="13"/>
  <c r="G4" i="13"/>
  <c r="F4" i="13"/>
  <c r="E4" i="13"/>
  <c r="N3" i="13"/>
  <c r="M3" i="13"/>
  <c r="K3" i="13"/>
  <c r="I3" i="13"/>
  <c r="G3" i="13"/>
  <c r="E3" i="13"/>
  <c r="D3" i="13"/>
  <c r="C3" i="13"/>
  <c r="B3" i="13"/>
  <c r="B2" i="12"/>
  <c r="C26" i="12"/>
  <c r="C25" i="12"/>
  <c r="C24" i="12"/>
  <c r="C23" i="12"/>
  <c r="L22" i="12"/>
  <c r="J22" i="12"/>
  <c r="H22" i="12"/>
  <c r="C22" i="12"/>
  <c r="K5" i="12"/>
  <c r="I5" i="12"/>
  <c r="G5" i="12"/>
  <c r="L4" i="12"/>
  <c r="K4" i="12"/>
  <c r="J4" i="12"/>
  <c r="I4" i="12"/>
  <c r="H4" i="12"/>
  <c r="G4" i="12"/>
  <c r="F4" i="12"/>
  <c r="E4" i="12"/>
  <c r="N3" i="12"/>
  <c r="M3" i="12"/>
  <c r="K3" i="12"/>
  <c r="I3" i="12"/>
  <c r="G3" i="12"/>
  <c r="E3" i="12"/>
  <c r="D3" i="12"/>
  <c r="C3" i="12"/>
  <c r="B3" i="12"/>
  <c r="B2" i="11"/>
  <c r="C26" i="11"/>
  <c r="C25" i="11"/>
  <c r="C24" i="11"/>
  <c r="C23" i="11"/>
  <c r="L22" i="11"/>
  <c r="J22" i="11"/>
  <c r="H22" i="11"/>
  <c r="C22" i="11"/>
  <c r="K5" i="11"/>
  <c r="I5" i="11"/>
  <c r="G5" i="11"/>
  <c r="L4" i="11"/>
  <c r="K4" i="11"/>
  <c r="J4" i="11"/>
  <c r="I4" i="11"/>
  <c r="H4" i="11"/>
  <c r="G4" i="11"/>
  <c r="F4" i="11"/>
  <c r="E4" i="11"/>
  <c r="N3" i="11"/>
  <c r="M3" i="11"/>
  <c r="K3" i="11"/>
  <c r="I3" i="11"/>
  <c r="G3" i="11"/>
  <c r="E3" i="11"/>
  <c r="D3" i="11"/>
  <c r="C3" i="11"/>
  <c r="B3" i="11"/>
  <c r="B2" i="10"/>
  <c r="B3" i="10"/>
  <c r="C26" i="10"/>
  <c r="C25" i="10"/>
  <c r="C24" i="10"/>
  <c r="C23" i="10"/>
  <c r="L22" i="10"/>
  <c r="J22" i="10"/>
  <c r="H22" i="10"/>
  <c r="C22" i="10"/>
  <c r="K5" i="10"/>
  <c r="I5" i="10"/>
  <c r="G5" i="10"/>
  <c r="L4" i="10"/>
  <c r="K4" i="10"/>
  <c r="J4" i="10"/>
  <c r="I4" i="10"/>
  <c r="H4" i="10"/>
  <c r="G4" i="10"/>
  <c r="F4" i="10"/>
  <c r="E4" i="10"/>
  <c r="N3" i="10"/>
  <c r="M3" i="10"/>
  <c r="K3" i="10"/>
  <c r="I3" i="10"/>
  <c r="G3" i="10"/>
  <c r="E3" i="10"/>
  <c r="D3" i="10"/>
  <c r="C3" i="10"/>
  <c r="K5" i="4"/>
  <c r="I5" i="4"/>
  <c r="G5" i="4"/>
  <c r="L4" i="4"/>
  <c r="K4" i="4"/>
  <c r="J4" i="4"/>
  <c r="I4" i="4"/>
  <c r="H4" i="4"/>
  <c r="G4" i="4"/>
  <c r="F4" i="4"/>
  <c r="E4" i="4"/>
  <c r="N3" i="4"/>
  <c r="M3" i="4"/>
  <c r="K3" i="4"/>
  <c r="I3" i="4"/>
  <c r="G3" i="4"/>
  <c r="E3" i="4"/>
  <c r="D3" i="4"/>
  <c r="C3" i="4"/>
  <c r="B3" i="4"/>
  <c r="C26" i="4"/>
  <c r="C25" i="4"/>
  <c r="C24" i="4"/>
  <c r="C23" i="4"/>
  <c r="L22" i="4"/>
  <c r="J22" i="4"/>
  <c r="H22" i="4"/>
  <c r="C22" i="4"/>
  <c r="C26" i="3"/>
  <c r="C25" i="3"/>
  <c r="C24" i="3"/>
  <c r="C23" i="3"/>
  <c r="L22" i="3"/>
  <c r="J22" i="3"/>
  <c r="H22" i="3"/>
  <c r="C22" i="3"/>
  <c r="K5" i="3"/>
  <c r="I5" i="3"/>
  <c r="G5" i="3"/>
  <c r="L4" i="3"/>
  <c r="K4" i="3"/>
  <c r="J4" i="3"/>
  <c r="I4" i="3"/>
  <c r="H4" i="3"/>
  <c r="G4" i="3"/>
  <c r="F4" i="3"/>
  <c r="E4" i="3"/>
  <c r="N3" i="3"/>
  <c r="M3" i="3"/>
  <c r="K3" i="3"/>
  <c r="I3" i="3"/>
  <c r="G3" i="3"/>
  <c r="E3" i="3"/>
  <c r="D3" i="3"/>
  <c r="C3" i="3"/>
  <c r="B3" i="3"/>
  <c r="A1" i="5"/>
  <c r="B3" i="5"/>
  <c r="C25" i="5"/>
  <c r="C24" i="5"/>
  <c r="C23" i="5"/>
  <c r="C26" i="5"/>
  <c r="C22" i="5"/>
  <c r="N3" i="5"/>
  <c r="M3" i="5"/>
  <c r="L4" i="5"/>
  <c r="K3" i="5"/>
  <c r="I3" i="5"/>
  <c r="G3" i="5"/>
  <c r="K5" i="5"/>
  <c r="I5" i="5"/>
  <c r="G5" i="5"/>
  <c r="K4" i="5"/>
  <c r="I4" i="5"/>
  <c r="G4" i="5"/>
  <c r="J4" i="5"/>
  <c r="H4" i="5"/>
  <c r="F4" i="5"/>
  <c r="E4" i="5"/>
  <c r="D3" i="5"/>
  <c r="E3" i="5"/>
  <c r="C3" i="5"/>
  <c r="B2" i="5"/>
  <c r="B2" i="4"/>
  <c r="B2" i="3"/>
  <c r="M22" i="10" l="1"/>
  <c r="M23" i="10" s="1"/>
  <c r="M24" i="10" s="1"/>
  <c r="M25" i="10" s="1"/>
  <c r="M26" i="10" s="1"/>
  <c r="M22" i="4"/>
  <c r="M23" i="4" s="1"/>
  <c r="M24" i="4" s="1"/>
  <c r="M25" i="4" s="1"/>
  <c r="M26" i="4" s="1"/>
  <c r="M22" i="11"/>
  <c r="M23" i="11" s="1"/>
  <c r="M24" i="11" s="1"/>
  <c r="M25" i="11" s="1"/>
  <c r="M26" i="11" s="1"/>
  <c r="M22" i="14"/>
  <c r="M23" i="14" s="1"/>
  <c r="M24" i="14" s="1"/>
  <c r="M25" i="14" s="1"/>
  <c r="M26" i="14" s="1"/>
  <c r="M22" i="12"/>
  <c r="M23" i="12" s="1"/>
  <c r="M24" i="12" s="1"/>
  <c r="M25" i="12" s="1"/>
  <c r="M26" i="12" s="1"/>
  <c r="M22" i="3"/>
  <c r="M23" i="3" s="1"/>
  <c r="M24" i="3" s="1"/>
  <c r="M25" i="3" s="1"/>
  <c r="M26" i="3" s="1"/>
  <c r="M22" i="13"/>
  <c r="M23" i="13" s="1"/>
  <c r="M24" i="13" s="1"/>
  <c r="M25" i="13" s="1"/>
  <c r="M26" i="13" s="1"/>
  <c r="A1" i="11"/>
  <c r="A1" i="3"/>
  <c r="A1" i="10"/>
  <c r="A1" i="14"/>
  <c r="A1" i="12"/>
  <c r="A1" i="4"/>
  <c r="A1" i="13"/>
  <c r="H7" i="2" l="1"/>
  <c r="H6" i="2"/>
  <c r="H5" i="2"/>
  <c r="B4" i="2"/>
  <c r="B7" i="2" l="1"/>
  <c r="B6" i="2"/>
  <c r="B5" i="2"/>
  <c r="B3" i="2"/>
  <c r="B2" i="2"/>
  <c r="C2" i="2"/>
  <c r="L22" i="5" l="1"/>
  <c r="J22" i="5"/>
  <c r="H22" i="5"/>
  <c r="M22" i="5" l="1"/>
  <c r="M23" i="5" s="1"/>
  <c r="M24" i="5" s="1"/>
  <c r="M25" i="5" l="1"/>
  <c r="M26" i="5" s="1"/>
</calcChain>
</file>

<file path=xl/sharedStrings.xml><?xml version="1.0" encoding="utf-8"?>
<sst xmlns="http://schemas.openxmlformats.org/spreadsheetml/2006/main" count="353" uniqueCount="270">
  <si>
    <t>N</t>
  </si>
  <si>
    <t>Conversion date</t>
  </si>
  <si>
    <t>Project status</t>
  </si>
  <si>
    <t>Construction period</t>
  </si>
  <si>
    <t>Code</t>
  </si>
  <si>
    <t>Local functional classification standard</t>
  </si>
  <si>
    <t>•     name of standard</t>
  </si>
  <si>
    <t>•     code number of construction</t>
  </si>
  <si>
    <t>Works</t>
  </si>
  <si>
    <t>Functional type</t>
  </si>
  <si>
    <t>Exchange rates</t>
  </si>
  <si>
    <t>GEO</t>
  </si>
  <si>
    <t xml:space="preserve">fixed unit rates | unit rates subject to fluctuating adjustment </t>
  </si>
  <si>
    <t>Construction Cost Currency Conversion</t>
  </si>
  <si>
    <t>Construction Programme</t>
  </si>
  <si>
    <t>initiation and concept phase | design phase | construction and commissioning phase | complete</t>
  </si>
  <si>
    <t>•     Start date (planned or actual)</t>
  </si>
  <si>
    <t>•     Number of months</t>
  </si>
  <si>
    <t>•     End date (planned or actual)</t>
  </si>
  <si>
    <t>Site</t>
  </si>
  <si>
    <t>Existing site status</t>
  </si>
  <si>
    <t xml:space="preserve">• state of use </t>
  </si>
  <si>
    <t xml:space="preserve">• type of use </t>
  </si>
  <si>
    <t xml:space="preserve">greenfield | brownfield </t>
  </si>
  <si>
    <t xml:space="preserve">urban | rural | agricultural </t>
  </si>
  <si>
    <t>Legal status of site</t>
  </si>
  <si>
    <t xml:space="preserve">freehold | leasehold | joint venture | not owned | other stated </t>
  </si>
  <si>
    <t>Site topography</t>
  </si>
  <si>
    <t xml:space="preserve">principally flat | principally hilly | mountainous | offshore | other stated </t>
  </si>
  <si>
    <t>Ground conditions (predominant)</t>
  </si>
  <si>
    <t xml:space="preserve">soft | rocky | reclaimed | submerged | swampy </t>
  </si>
  <si>
    <t xml:space="preserve">Seismic zones (state more than one if applicable based on location) </t>
  </si>
  <si>
    <t xml:space="preserve">Site conditions and constraints </t>
  </si>
  <si>
    <t>• access problems</t>
  </si>
  <si>
    <t xml:space="preserve">difficult | average | easy </t>
  </si>
  <si>
    <t>• extreme climatic conditions</t>
  </si>
  <si>
    <t>difficult | average | easy</t>
  </si>
  <si>
    <t>• environmental constraints</t>
  </si>
  <si>
    <t>• statutory planning constraints</t>
  </si>
  <si>
    <t xml:space="preserve">Construction Procurement </t>
  </si>
  <si>
    <t>Funding</t>
  </si>
  <si>
    <t xml:space="preserve">private | public | public and private in partnership </t>
  </si>
  <si>
    <t xml:space="preserve">Project delivery </t>
  </si>
  <si>
    <t>• pricing method</t>
  </si>
  <si>
    <t>lump sum | stipulated price | re-measurement | cost reimbursement | other stated</t>
  </si>
  <si>
    <t>• mode of procurement</t>
  </si>
  <si>
    <t xml:space="preserve">design bid build | design and build (turnkey) | build operate and transfer | public private partnership | management contracting | construction management | engineer procure construct | target | other stated </t>
  </si>
  <si>
    <t>• joint venture foreign Constructor</t>
  </si>
  <si>
    <t xml:space="preserve">yes | no </t>
  </si>
  <si>
    <t>• predominant source of Constructors</t>
  </si>
  <si>
    <t xml:space="preserve">local | foreign </t>
  </si>
  <si>
    <t xml:space="preserve">Life Cycle Cost Related </t>
  </si>
  <si>
    <t xml:space="preserve">Life cycle costing </t>
  </si>
  <si>
    <t>• purpose</t>
  </si>
  <si>
    <t xml:space="preserve">for a business case | for option appraisals | for producing a sinking fund | for cost analysis | other stated </t>
  </si>
  <si>
    <t>• method of presentation of costs</t>
  </si>
  <si>
    <t xml:space="preserve">net present value </t>
  </si>
  <si>
    <t xml:space="preserve">• common date (to which all costs are discounted or compounded)
</t>
  </si>
  <si>
    <t>• project status at common date</t>
  </si>
  <si>
    <t>initiation and concept phase | design phase | construction and commissioning phase | in use | close to end of life</t>
  </si>
  <si>
    <t>• discount rate</t>
  </si>
  <si>
    <t>real discount rate | nominal discount rate</t>
  </si>
  <si>
    <t xml:space="preserve">Expected constructed asset life span after completion of construction
</t>
  </si>
  <si>
    <t>design life | alternative life span</t>
  </si>
  <si>
    <t xml:space="preserve">Period of analysis for life cycle costing </t>
  </si>
  <si>
    <t>• until</t>
  </si>
  <si>
    <t>end of life | end of interest</t>
  </si>
  <si>
    <t>• from</t>
  </si>
  <si>
    <t>• to</t>
  </si>
  <si>
    <t>• number of months l years</t>
  </si>
  <si>
    <t>Primary usage type constraints affecting expected life and life cycle costs (if applicable)</t>
  </si>
  <si>
    <t xml:space="preserve">• hours of operation (e.g. office hours 9 to 5.30 Monday to Friday) </t>
  </si>
  <si>
    <t xml:space="preserve">• access restrictions </t>
  </si>
  <si>
    <t xml:space="preserve">• environmental </t>
  </si>
  <si>
    <t xml:space="preserve">• statutory </t>
  </si>
  <si>
    <t xml:space="preserve">• contractual </t>
  </si>
  <si>
    <t xml:space="preserve">• others </t>
  </si>
  <si>
    <t xml:space="preserve">Renewals planned (during period of analysis) </t>
  </si>
  <si>
    <t xml:space="preserve">• scope of renewal (stating key Cost Groups/Sub-Groups included)
</t>
  </si>
  <si>
    <t>• respective cycle (e.g. every 5 years)</t>
  </si>
  <si>
    <t xml:space="preserve">• number of renewal cycles included (during the period of analysis)
</t>
  </si>
  <si>
    <t xml:space="preserve">End of Life Costs </t>
  </si>
  <si>
    <t>• handback obligations at end of life/ period of analysis (if applicable)</t>
  </si>
  <si>
    <t>Table 4: Buildings</t>
  </si>
  <si>
    <t>residential | office | commercial | shopping centre | industrial | hotel | car park | warehouse | educational | hospital | airport terminal | railway station | ferry terminal | plant facility |  other stated</t>
  </si>
  <si>
    <t>Nature</t>
  </si>
  <si>
    <t xml:space="preserve">new build | major adaptation | temporary </t>
  </si>
  <si>
    <t xml:space="preserve">Grade (qualitative description to be read in conjunction with the location)
</t>
  </si>
  <si>
    <t>ordinary quality | medium quality | high quality</t>
  </si>
  <si>
    <t>Hotel grade</t>
  </si>
  <si>
    <t xml:space="preserve">international below 4-star | international 4-star | international 5-star | international over 5-star | local below 4-star | local 4-star | local 5-star | local over 5-star </t>
  </si>
  <si>
    <t>Environmental grade</t>
  </si>
  <si>
    <t xml:space="preserve">• grade and name of environmental certification </t>
  </si>
  <si>
    <t>• status</t>
  </si>
  <si>
    <t>targeted | achieved | none</t>
  </si>
  <si>
    <t xml:space="preserve">Principal design features </t>
  </si>
  <si>
    <t>• structural (predominant)</t>
  </si>
  <si>
    <t>timber | concrete | steel | load bearing masonry | other stated</t>
  </si>
  <si>
    <t>• external walls (predominant)</t>
  </si>
  <si>
    <t xml:space="preserve">stone | brick/block | render/block | curtain walling | other stated </t>
  </si>
  <si>
    <t>• environmental control</t>
  </si>
  <si>
    <t xml:space="preserve">non-air conditioned | air conditioning </t>
  </si>
  <si>
    <t>• degree of prefabrication</t>
  </si>
  <si>
    <t xml:space="preserve">less than 25% | up to 50% | up to 75% | up to 100%, of Construction Costs </t>
  </si>
  <si>
    <t>• major prefabricated work</t>
  </si>
  <si>
    <t xml:space="preserve">suites (inclusive of toilets, kitchens and the like) | standalone toilets, bathrooms, shower rooms and the like | standalone kitchens | classrooms | heathcare rooms | operating theatres | plant rooms, pipe ducts and the like | soundproof rooms | computer rooms | cold rooms | kiosks | balconies | corridors | staircases | other stated </t>
  </si>
  <si>
    <t>Project Complexity</t>
  </si>
  <si>
    <t>• shape (on plan)</t>
  </si>
  <si>
    <t xml:space="preserve">circular, elliptical or similar | square, rectangular, or similar | complex </t>
  </si>
  <si>
    <t>• shape (vertical section)</t>
  </si>
  <si>
    <t>circular, elliptical or similar | square, rectangular, or similar | complex</t>
  </si>
  <si>
    <t>• design</t>
  </si>
  <si>
    <t>simple | bespoke | complex</t>
  </si>
  <si>
    <t>• method of working</t>
  </si>
  <si>
    <t>sectional completion | out-of-hours working | confined working | other stated</t>
  </si>
  <si>
    <t>Design life</t>
  </si>
  <si>
    <t>Average height of site above or below sea level</t>
  </si>
  <si>
    <t>Typical storey height (floor level to floor level)</t>
  </si>
  <si>
    <t>Dimensions (overall length × width × height of each building to highest point of the building)</t>
  </si>
  <si>
    <t>Other storey heights and applicable floors</t>
  </si>
  <si>
    <t>Number of storeys above ground (qualitative description to be read in conjunction with the location)</t>
  </si>
  <si>
    <t xml:space="preserve">house | low rise | medium rise | high rise </t>
  </si>
  <si>
    <t>Number of storeys above ground (quantitative)</t>
  </si>
  <si>
    <t>specific number 0–3 | 4–7 | 8–20 | 21–30 | 31–50 | over 50</t>
  </si>
  <si>
    <t>Number of storeys below ground</t>
  </si>
  <si>
    <t xml:space="preserve">specific number </t>
  </si>
  <si>
    <t xml:space="preserve">Project Quantities </t>
  </si>
  <si>
    <t>Site area (within legal boundary of building site, excluding temporary working areas outside the site)</t>
  </si>
  <si>
    <t>Covered area on plan</t>
  </si>
  <si>
    <t>Gross external floor area as IPMS 1 (EXTERNAL)</t>
  </si>
  <si>
    <t>Gross internal floor area as IPMS 2 (INTERNAL)</t>
  </si>
  <si>
    <t>Functional units</t>
  </si>
  <si>
    <t>number of occupants | number of bedrooms | number of hospital beds | number of hotel rooms | number of car parking spaces | number of classrooms | number of students | number of passengers | number of boarding gates | other stated</t>
  </si>
  <si>
    <t>Table 5: Roads, Runways and Motorways</t>
  </si>
  <si>
    <t xml:space="preserve">Local functional classification standard </t>
  </si>
  <si>
    <t xml:space="preserve">• name of standard </t>
  </si>
  <si>
    <t>• code number of construction</t>
  </si>
  <si>
    <t xml:space="preserve">motorway | highway | freeway | expressway | road | lane | runway | hardstanding </t>
  </si>
  <si>
    <t>new build | major adaptation | temporary</t>
  </si>
  <si>
    <t xml:space="preserve">targeted | achieved | none </t>
  </si>
  <si>
    <t>• position</t>
  </si>
  <si>
    <t xml:space="preserve">at grade | in cutting | on embankment | elevated </t>
  </si>
  <si>
    <t>• design speed</t>
  </si>
  <si>
    <t>• number of carriageways</t>
  </si>
  <si>
    <t xml:space="preserve">• number of lanes per carriageway </t>
  </si>
  <si>
    <t>• lane width</t>
  </si>
  <si>
    <t>• hard shoulders</t>
  </si>
  <si>
    <t>• footways</t>
  </si>
  <si>
    <t>• footway width</t>
  </si>
  <si>
    <t>• surfacing</t>
  </si>
  <si>
    <t>flexible construction | concrete pavement</t>
  </si>
  <si>
    <t>• vertical profile</t>
  </si>
  <si>
    <t xml:space="preserve">switchbacks | undulating | flat </t>
  </si>
  <si>
    <t>• plan profile</t>
  </si>
  <si>
    <t xml:space="preserve">straight | winding </t>
  </si>
  <si>
    <t xml:space="preserve">Project Complexity </t>
  </si>
  <si>
    <t xml:space="preserve">• number of grade-separated intersections </t>
  </si>
  <si>
    <t xml:space="preserve">• number of at-grade intersections </t>
  </si>
  <si>
    <t xml:space="preserve">• number of crossings over other roads, railways, waterways, valleys and the like </t>
  </si>
  <si>
    <t xml:space="preserve">• number of access ramps </t>
  </si>
  <si>
    <t>Altitude</t>
  </si>
  <si>
    <t>• minimum height of passageway above or below sea level</t>
  </si>
  <si>
    <t>• maximum height of passageway above or below sea level</t>
  </si>
  <si>
    <t>Dimensions</t>
  </si>
  <si>
    <t xml:space="preserve">Total width of metalled surface of each road, runway or motorway (including hard shoulders but excluding footways)
</t>
  </si>
  <si>
    <t>Project Quantities</t>
  </si>
  <si>
    <t xml:space="preserve">Total length (between two places, irrespective of number of lanes)
</t>
  </si>
  <si>
    <t>Equated lane length (being the length of all lanes along the route, including those in passing loops, sidings and depots reduced to a single length)</t>
  </si>
  <si>
    <t>Total paved area</t>
  </si>
  <si>
    <t>• capacity</t>
  </si>
  <si>
    <t>Table 7: Bridges</t>
  </si>
  <si>
    <t>roads | rail | conveyors | pipeline | canal | pedestrians | other stated</t>
  </si>
  <si>
    <t>• support</t>
  </si>
  <si>
    <t xml:space="preserve">arch | post and beam | cantilever | suspension | cable-stayed | other stated </t>
  </si>
  <si>
    <t>• mobility</t>
  </si>
  <si>
    <t xml:space="preserve">fixed | movable | temporary </t>
  </si>
  <si>
    <t>• materials</t>
  </si>
  <si>
    <t xml:space="preserve">natural materials | wood | concrete | steel | advanced materials | other stated </t>
  </si>
  <si>
    <t>Types of obstacles crossed</t>
  </si>
  <si>
    <t xml:space="preserve">river and canal | roads and motorways | railways | other stated </t>
  </si>
  <si>
    <t>• curvature (predominant)</t>
  </si>
  <si>
    <t xml:space="preserve">straight | curved </t>
  </si>
  <si>
    <t xml:space="preserve">• number each of abutments/piers/towers with foundations in water </t>
  </si>
  <si>
    <t xml:space="preserve">• number each of abutments/piers/towers with foundations not in water </t>
  </si>
  <si>
    <t>• average height of deck above or below sea level</t>
  </si>
  <si>
    <t>• width (including walkways, hard shoulders and the like)</t>
  </si>
  <si>
    <t>• maximum height above the lowest point land/water</t>
  </si>
  <si>
    <t>• minimum clearance height</t>
  </si>
  <si>
    <t>Deck length measured from face to face of abutments</t>
  </si>
  <si>
    <t>Surface area of deck</t>
  </si>
  <si>
    <t>vehicles | litres | gallons | tonnes | tons per hour</t>
  </si>
  <si>
    <t>1.04.1</t>
  </si>
  <si>
    <t>1.04.2</t>
  </si>
  <si>
    <t>1.04.3</t>
  </si>
  <si>
    <t>1.04.4</t>
  </si>
  <si>
    <t>1.04.5</t>
  </si>
  <si>
    <t>waste water treatment works</t>
  </si>
  <si>
    <t>water treatment works</t>
  </si>
  <si>
    <t>pipelines</t>
  </si>
  <si>
    <t>wells and boreholes</t>
  </si>
  <si>
    <t>power-generating plants</t>
  </si>
  <si>
    <t>chemical plants</t>
  </si>
  <si>
    <t>refineries</t>
  </si>
  <si>
    <t>dams and reservoirs</t>
  </si>
  <si>
    <t>mines and quarries</t>
  </si>
  <si>
    <t>common</t>
  </si>
  <si>
    <t xml:space="preserve">other stated </t>
  </si>
  <si>
    <t>საორიენტაციო ღირებულება</t>
  </si>
  <si>
    <t>(GEL) ₾</t>
  </si>
  <si>
    <t>ზომა</t>
  </si>
  <si>
    <t>ოფისები</t>
  </si>
  <si>
    <t>გათბობსი ქვაბი  65კვტ</t>
  </si>
  <si>
    <t>ჩილერი 65კვტ</t>
  </si>
  <si>
    <t>კაფეტერია</t>
  </si>
  <si>
    <t>სამზარეულოს გამწოვი ვინტილიატორი 8000მ3 300 Pa</t>
  </si>
  <si>
    <t xml:space="preserve">არხული ტიპის ფანკოილი </t>
  </si>
  <si>
    <t>5.0-კვტ</t>
  </si>
  <si>
    <t>2.5-კვტ</t>
  </si>
  <si>
    <t>3.5-კვტ</t>
  </si>
  <si>
    <t>6.6-კვტ</t>
  </si>
  <si>
    <r>
      <rPr>
        <sz val="10"/>
        <rFont val="Sylfaen"/>
        <family val="1"/>
      </rPr>
      <t xml:space="preserve">მოდინებითი სავენტილაციო აგრეგატი </t>
    </r>
    <r>
      <rPr>
        <sz val="10"/>
        <rFont val="Tahoma"/>
        <family val="2"/>
      </rPr>
      <t xml:space="preserve">AHU.   </t>
    </r>
    <r>
      <rPr>
        <sz val="10"/>
        <color rgb="FF0000FF"/>
        <rFont val="Sylfaen"/>
        <family val="1"/>
      </rPr>
      <t>მოდინება1000მ</t>
    </r>
    <r>
      <rPr>
        <sz val="10"/>
        <color rgb="FF0000FF"/>
        <rFont val="Tahoma"/>
        <family val="2"/>
      </rPr>
      <t>3</t>
    </r>
    <r>
      <rPr>
        <sz val="10"/>
        <rFont val="Tahoma"/>
        <family val="2"/>
      </rPr>
      <t xml:space="preserve">/ </t>
    </r>
    <r>
      <rPr>
        <sz val="10"/>
        <rFont val="Sylfaen"/>
        <family val="1"/>
      </rPr>
      <t>სტატიკური წნევა 30</t>
    </r>
    <r>
      <rPr>
        <sz val="10"/>
        <rFont val="Tahoma"/>
        <family val="2"/>
      </rPr>
      <t xml:space="preserve">0 Pa. </t>
    </r>
    <r>
      <rPr>
        <sz val="10"/>
        <rFont val="Sylfaen"/>
        <family val="1"/>
      </rPr>
      <t>დაკომპლექტებული გათბობის და გაგრილების ქოილით</t>
    </r>
    <r>
      <rPr>
        <sz val="10"/>
        <rFont val="Tahoma"/>
        <family val="2"/>
      </rPr>
      <t xml:space="preserve">, </t>
    </r>
    <r>
      <rPr>
        <sz val="10"/>
        <rFont val="Sylfaen"/>
        <family val="1"/>
      </rPr>
      <t>გამართული ფუნქციონირებისთვის საჭირო სრული ავტომატიკით</t>
    </r>
    <r>
      <rPr>
        <sz val="10"/>
        <rFont val="Tahoma"/>
        <family val="2"/>
      </rPr>
      <t xml:space="preserve">. </t>
    </r>
    <r>
      <rPr>
        <sz val="10"/>
        <rFont val="Sylfaen"/>
        <family val="1"/>
      </rPr>
      <t>გათბობის ქოილი გარე საანგარიშო +1</t>
    </r>
    <r>
      <rPr>
        <sz val="10"/>
        <rFont val="Tahoma"/>
        <family val="2"/>
      </rPr>
      <t xml:space="preserve">°c </t>
    </r>
    <r>
      <rPr>
        <sz val="10"/>
        <rFont val="Sylfaen"/>
        <family val="1"/>
      </rPr>
      <t>დროს 100</t>
    </r>
    <r>
      <rPr>
        <sz val="10"/>
        <rFont val="Tahoma"/>
        <family val="2"/>
      </rPr>
      <t xml:space="preserve"> </t>
    </r>
    <r>
      <rPr>
        <sz val="10"/>
        <rFont val="Sylfaen"/>
        <family val="1"/>
      </rPr>
      <t>კვტ</t>
    </r>
    <r>
      <rPr>
        <sz val="10"/>
        <rFont val="Tahoma"/>
        <family val="2"/>
      </rPr>
      <t xml:space="preserve">. </t>
    </r>
    <r>
      <rPr>
        <sz val="10"/>
        <rFont val="Sylfaen"/>
        <family val="1"/>
      </rPr>
      <t xml:space="preserve">გაგრილების ქოილი გარე
</t>
    </r>
    <r>
      <rPr>
        <sz val="10"/>
        <rFont val="Tahoma"/>
        <family val="2"/>
      </rPr>
      <t xml:space="preserve">+40°c </t>
    </r>
    <r>
      <rPr>
        <sz val="10"/>
        <rFont val="Sylfaen"/>
        <family val="1"/>
      </rPr>
      <t>დროს 65ვკტ</t>
    </r>
    <r>
      <rPr>
        <sz val="10"/>
        <rFont val="Tahoma"/>
        <family val="2"/>
      </rPr>
      <t>.</t>
    </r>
  </si>
  <si>
    <t>გათბობსი ქვაბი  90კვტ</t>
  </si>
  <si>
    <t>არხული ტიპის ფანკოილი</t>
  </si>
  <si>
    <t xml:space="preserve">რეკუპერატორი 6000მ3/სთ 200პა </t>
  </si>
  <si>
    <t>ჩილერი 16კვტ</t>
  </si>
  <si>
    <t>MGC-V16WD2N8-B</t>
  </si>
  <si>
    <t>გათბობსი ქვაბი  20 კვტ</t>
  </si>
  <si>
    <t xml:space="preserve">რეკუპერატორი 500მ3/სთ 200პა </t>
  </si>
  <si>
    <t>1ანტრესოლი</t>
  </si>
  <si>
    <t>კომპლექტი</t>
  </si>
  <si>
    <t>სპლიტ სისტემის ინვერტორული კედლის ტიპის შიდა ბლოკი 12 000 BTU</t>
  </si>
  <si>
    <t>სპლიტ სისტემის ინვერტორული გარე ბლოკი 12 000 BTU</t>
  </si>
  <si>
    <t xml:space="preserve">მაღალწნევიანი ოთხმილოვანი არხული ტიპის ფანკოილი. კონდენსატის ტუმბოთი. სიმძლავრე საშუალო სიჩქარეზე  Qc =6.6kw. Qh=9.7kw. </t>
  </si>
  <si>
    <t xml:space="preserve">ოთხმილოვანი ცალმხრივი დაბერვის ტიპის ფანკოილი. კონდენსატის ტუმბოთი. სიმძლავრე საშუალო სიჩქარეზე  Qc =3.0kw. Qh=5.0kw. </t>
  </si>
  <si>
    <t xml:space="preserve">ოთხმილოვანი  კასეტური ტიპის ფანკოილი. ოთხმხრივი დაბერვით, კონდენსატის ტუმბოთი. სიმძლავრე საშუალო სიჩქარეზე  Qc =4.7kw. Qh=7.7kw. </t>
  </si>
  <si>
    <t xml:space="preserve">ოთხმილოვანი კასეტური ტიპის ფანკოილი. ოთხმხრივი დაბერვით, კონდენსატის ტუმბოთი. სიმძლავრე საშუალო სიჩქარეზე  Qc =3.6kw. Qh=4.7kw. </t>
  </si>
  <si>
    <t xml:space="preserve">ოთხმილოვანი კასეტური ტიპის ფანკოილი. ოთხმხრივი დაბერვით, კონდენსატის ტუმბოთი. სიმძლავრე საშუალო სიჩქარეზე  Qc =3.1kw. Qh=4.3kw. </t>
  </si>
  <si>
    <t xml:space="preserve">ოთხმილოვანი კასეტური ტიპის ფანკოილი. ოთხმხრივი დაბერვით, კონდენსატის ტუმბოთი. სიმძლავრე საშუალო სიჩქარეზე  Qc =2.6kw. Qh=3.5kw. </t>
  </si>
  <si>
    <t>გათბობა-გაგრილება (III სართული)</t>
  </si>
  <si>
    <t xml:space="preserve">ოთხმილოვანი არხული ტიპის ფანკოილი. კონდენსატის ტუმბოთი. სიმძლავრე საშუალო სიჩქარეზე  Qc =4.8kw. Qh=8.6kw. </t>
  </si>
  <si>
    <t xml:space="preserve">ოთხმილოვანი  კასეტური ტიპის ფანკოილი. ოთხმხრივი დაბერვით, კონდენსატის ტუმბოთი. სიმძლავრე საშუალო სიჩქარეზე  Qc =5.6kw. Qh=9.2kw. </t>
  </si>
  <si>
    <t xml:space="preserve">ოთხმილოვანი კომპაქტური კასეტური ტიპის ფანკოილი. ოთხმხრივი დაბერვით, კონდენსატის ტუმბოთი. სიმძლავრე საშუალო სიჩქარეზე  Qc =3.6kw. Qh=4.7kw. </t>
  </si>
  <si>
    <t xml:space="preserve">ოთხმილოვანი კომპაქტური კასეტური ტიპის ფანკოილი. ოთხმხრივი დაბერვით, კონდენსატის ტუმბოთი. სიმძლავრე საშუალო სიჩქარეზე  Qc =3.1kw. Qh=4.3kw. </t>
  </si>
  <si>
    <t xml:space="preserve">ოთხმილოვანი კომპაქტური კასეტური ტიპის ფანკოილი. ოთხმხრივი დაბერვით, კონდენსატის ტუმბოთი. სიმძლავრე საშუალო სიჩქარეზე  Qc =2.6kw. Qh=3.5kw. </t>
  </si>
  <si>
    <t>ჩილერი ჰაერის კონდენსატორით N=250kw.  წყლის სამუშო ტემპერატურა: 2/7℃ (სამუშაო ტემპერატურა  7/12℃ -ზე)</t>
  </si>
  <si>
    <t>ბუნებრივ აირზე მომუშავე კედლის საკონდენსაციო ქვაბი, ინტეგრირებული საცირკულაციო ტუმბოთი N=120kw</t>
  </si>
  <si>
    <t>სათაო</t>
  </si>
  <si>
    <t>რაოდენობა</t>
  </si>
  <si>
    <t>ჭერში შესაკიდი ტიპის სავენტილაციო დანადგარი AHU ჰაერის მოდინება 5000m3/h,  სტატ. წნევა 300პა. გაწოვა 4700m3/h, სტატ. წნევა 280პა. როტორული ტიპის რეკუპერატორით, ავტომატიკის კარადით კომპლექტში. ძრავების სიხშირული მართვით.  ფილტრი მოდინებაზე ePM1 60%. ფილტრი გაწოვაზე ePM10 60%. ელ. ტენი გათბობისთვის 15 kW 400 V</t>
  </si>
  <si>
    <t>G4 ტიპის ფილტრი 500x400</t>
  </si>
  <si>
    <t>ცალი</t>
  </si>
  <si>
    <t>ვენტილაცია (II სართული)</t>
  </si>
  <si>
    <t>ჭერში შესაკიდი ტიპის სავენტილაციო დანადგარი AHU#1 ჰაერის მოდინება 4800m3/h,  სტატ. წნევა 300პა. გაწოვა 4500m3/h, სტატ. წნევა 280პა. როტორული ტიპის რეკუპერატორით, ავტომატიკის კარადით კომპლექტში. ძრავების სიხშირული მართვით.  ფილტრი მოდინებაზე ePM1 60%. ფილტრი გაწოვაზე ePM10 60%. ელ. ტენი გათბობისთვის 13 kW 400 V</t>
  </si>
  <si>
    <t>ჭერში შესაკიდი ტიპის სავენტილაციო დანადგარი AHU#2 ჰაერის მოდინება 5400m3/h,  სტატ. წნევა 300პა. გაწოვა 5400m3/h, სტატ. წნევა 300პა. როტორული ტიპის რეკუპერატორით, ავტომატიკის კარადით კომპლექტში. ძრავების სიხშირული მართვით.  ფილტრი მოდინებაზე ePM1 60%. ფილტრი გაწოვაზე ePM10 60%. ელ. ტენი გათბობისთვის 15 kW 400 V</t>
  </si>
  <si>
    <t>ჭერში შესაკიდი ტიპის სავენტილაციო დანადგარი AHU#3 ჰაერის მოდინება 5400m3/h,  სტატ. წნევა 300პა. გაწოვა 5400m3/h, სტატ. წნევა 300პა. როტორული ტიპის რეკუპერატორით, ავტომატიკის კარადით კომპლექტში. ძრავების სიხშირული მართვით.  ფილტრი მოდინებაზე ePM1 60%. ფილტრი გაწოვაზე ePM10 60%. ელ. ტენი გათბობისთვის 15 kW 400 V</t>
  </si>
  <si>
    <t>ვენტილაცია (III სართული)</t>
  </si>
  <si>
    <t>ჭერში შესაკიდი ტიპის სავენტილაციო დანადგარი AHU#4 ჰაერის მოდინება 5000m3/h,  სტატ. წნევა 300პა. გაწოვა 4700m3/h, სტატ. წნევა 280პა. როტორული ტიპის რეკუპერატორით, ავტომატიკის კარადით კომპლექტში. ძრავების სიხშირული მართვით.  ფილტრი მოდინებაზე ePM1 60%. ფილტრი გაწოვაზე ePM10 60%. ელ. ტენი გათბობისთვის 15 kW 400 V</t>
  </si>
  <si>
    <t>ჭერში შესაკიდი ტიპის სავენტილაციო დანადგარი AHU#5 ჰაერის მოდინება 4600m3/h,  სტატ. წნევა 280პა. გაწოვა 3600m3/h, სტატ. წნევა 280პა. როტორული ტიპის რეკუპერატორით, ავტომატიკის კარადით კომპლექტში. ძრავების სიხშირული მართვით.  ფილტრი მოდინებაზე ePM1 60%. ფილტრი გაწოვაზე ePM10 60%. ელ. ტენი გათბობისთვის 12 kW 400 V</t>
  </si>
  <si>
    <t>ჭერში შესაკიდი ტიპის სავენტილაციო დანადგარი AHU#6 ჰაერის მოდინება 4650m3/h,  სტატ. წნევა 280პა. გაწოვა 4450m3/h, სტატ. წნევა 280პა. როტორული ტიპის რეკუპერატორით, ავტომატიკის კარადით კომპლექტში. ძრავების სიხშირული მართვით.  ფილტრი მოდინებაზე ePM1 60%. ფილტრი გაწოვაზე ePM10 60%. ელ. ტენი გათბობისთვის 13 kW 400 V</t>
  </si>
  <si>
    <t>ვენტილაცია (I სართული)</t>
  </si>
  <si>
    <t>გათბობა-გაგრილება (საქვაბე)</t>
  </si>
  <si>
    <t>გათბობა-გაგრილება (II სართული - საორიენტაციო)</t>
  </si>
  <si>
    <t>გათბობა-გაგრილება (I სართული -საორიენტაციო)</t>
  </si>
  <si>
    <t>სპლიტ სისტემის ინვერტორული შიდა და გარე ბლოკი 12 000 BTU</t>
  </si>
  <si>
    <t>განზომ.</t>
  </si>
  <si>
    <t>ფასი</t>
  </si>
  <si>
    <t>ჯამური ფასი</t>
  </si>
  <si>
    <t>ჟამი</t>
  </si>
  <si>
    <t>ერთ ფასი</t>
  </si>
  <si>
    <t>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</si>
</sst>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,##0.00,"/>
    <numFmt numFmtId="165" formatCode="0.0"/>
    <numFmt numFmtId="166" formatCode="_-* #,##0.00\ [$₾-437]_-;\-* #,##0.00\ [$₾-437]_-;_-* &quot;-&quot;??\ [$₾-437]_-;_-@_-"/>
    <numFmt numFmtId="167" formatCode="0\ &quot;km/h&quot;"/>
    <numFmt numFmtId="168" formatCode="[&lt;=9999999]###\-####;\(###\)\ ###\-####"/>
    <numFmt numFmtId="169" formatCode="#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sz val="14"/>
      <color theme="1"/>
      <name val="Sylfaen"/>
      <family val="1"/>
    </font>
    <font>
      <b/>
      <sz val="12"/>
      <color theme="1"/>
      <name val="Sylfaen"/>
      <family val="1"/>
    </font>
    <font>
      <b/>
      <sz val="12"/>
      <color theme="0"/>
      <name val="Sylfaen"/>
      <family val="1"/>
    </font>
    <font>
      <sz val="12"/>
      <color theme="0"/>
      <name val="Sylfaen"/>
      <family val="1"/>
    </font>
    <font>
      <b/>
      <sz val="18"/>
      <color theme="0"/>
      <name val="Sylfaen"/>
      <family val="1"/>
    </font>
    <font>
      <b/>
      <sz val="12"/>
      <color theme="0"/>
      <name val="Arial"/>
      <family val="2"/>
    </font>
    <font>
      <b/>
      <sz val="14"/>
      <color theme="1"/>
      <name val="Sylfaen"/>
      <family val="1"/>
    </font>
    <font>
      <b/>
      <sz val="16"/>
      <color theme="1"/>
      <name val="Sylfae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sz val="11"/>
      <color theme="2" tint="-0.89996032593768116"/>
      <name val="Calibri"/>
      <family val="2"/>
      <scheme val="minor"/>
    </font>
    <font>
      <sz val="11"/>
      <color theme="4" tint="-0.499984740745262"/>
      <name val="Calibri Light"/>
      <family val="2"/>
      <scheme val="major"/>
    </font>
    <font>
      <sz val="11"/>
      <color theme="2" tint="-0.749992370372631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name val="Arial"/>
      <family val="2"/>
    </font>
    <font>
      <b/>
      <sz val="10"/>
      <color theme="0"/>
      <name val="Sylfaen"/>
      <family val="1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rgb="FFFF0000"/>
      <name val="Sylfaen"/>
      <family val="1"/>
    </font>
    <font>
      <sz val="10"/>
      <name val="Sylfaen"/>
      <family val="1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333333"/>
      <name val="Calibri Light"/>
      <family val="2"/>
      <scheme val="major"/>
    </font>
    <font>
      <sz val="10"/>
      <name val="Tahoma"/>
      <family val="2"/>
    </font>
    <font>
      <sz val="10"/>
      <color rgb="FF0000FF"/>
      <name val="Sylfaen"/>
      <family val="1"/>
    </font>
    <font>
      <sz val="10"/>
      <color rgb="FF0000FF"/>
      <name val="Tahoma"/>
      <family val="2"/>
    </font>
    <font>
      <sz val="10"/>
      <color theme="1"/>
      <name val="Calibri"/>
      <family val="1"/>
    </font>
    <font>
      <sz val="11"/>
      <name val="Sylfaen"/>
      <family val="1"/>
      <charset val="204"/>
    </font>
    <font>
      <b/>
      <i/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b/>
      <i/>
      <sz val="10"/>
      <name val="Sylfaen"/>
      <family val="1"/>
      <charset val="204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b/>
      <sz val="11"/>
      <color rgb="FFFF0000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89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0"/>
      </right>
      <top style="thin">
        <color theme="0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599963377788628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8" fillId="0" borderId="0" applyFill="0" applyBorder="0">
      <alignment horizontal="left" vertical="center" wrapText="1" indent="1"/>
    </xf>
    <xf numFmtId="0" fontId="19" fillId="9" borderId="25" applyProtection="0">
      <alignment vertical="center"/>
    </xf>
    <xf numFmtId="0" fontId="20" fillId="8" borderId="0" applyNumberFormat="0" applyBorder="0" applyProtection="0">
      <alignment vertical="center" wrapText="1"/>
    </xf>
    <xf numFmtId="168" fontId="20" fillId="0" borderId="0" applyFont="0" applyFill="0" applyBorder="0" applyAlignment="0">
      <alignment vertical="center"/>
    </xf>
    <xf numFmtId="0" fontId="21" fillId="0" borderId="0" applyNumberFormat="0" applyFill="0" applyBorder="0" applyProtection="0">
      <alignment vertical="center"/>
    </xf>
    <xf numFmtId="14" fontId="22" fillId="0" borderId="0" applyFont="0" applyFill="0" applyBorder="0" applyAlignment="0" applyProtection="0">
      <alignment horizontal="left" wrapText="1"/>
    </xf>
    <xf numFmtId="0" fontId="23" fillId="0" borderId="0" applyNumberFormat="0" applyFill="0" applyBorder="0" applyProtection="0">
      <alignment horizontal="left" vertical="center" indent="1"/>
    </xf>
    <xf numFmtId="169" fontId="18" fillId="0" borderId="0" applyFont="0" applyFill="0" applyBorder="0">
      <alignment horizontal="right" vertical="center"/>
    </xf>
    <xf numFmtId="44" fontId="18" fillId="0" borderId="0" applyFont="0" applyFill="0" applyBorder="0" applyProtection="0">
      <alignment horizontal="right" vertical="center"/>
    </xf>
    <xf numFmtId="0" fontId="24" fillId="0" borderId="26" applyFill="0" applyProtection="0">
      <alignment horizontal="right" vertical="center" indent="1"/>
    </xf>
    <xf numFmtId="10" fontId="25" fillId="0" borderId="0" applyFill="0" applyBorder="0" applyProtection="0">
      <alignment horizontal="right" vertical="center"/>
    </xf>
    <xf numFmtId="0" fontId="20" fillId="10" borderId="0" applyBorder="0" applyProtection="0">
      <alignment horizontal="left" indent="1"/>
    </xf>
    <xf numFmtId="0" fontId="26" fillId="7" borderId="0" applyNumberFormat="0" applyBorder="0" applyProtection="0">
      <alignment horizontal="left" vertical="top" wrapText="1" indent="1"/>
    </xf>
    <xf numFmtId="0" fontId="17" fillId="0" borderId="26" applyNumberFormat="0" applyAlignment="0" applyProtection="0"/>
    <xf numFmtId="0" fontId="27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9" fontId="16" fillId="4" borderId="1" xfId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166" fontId="16" fillId="4" borderId="5" xfId="0" applyNumberFormat="1" applyFont="1" applyFill="1" applyBorder="1" applyAlignment="1">
      <alignment horizontal="center" vertical="center"/>
    </xf>
    <xf numFmtId="166" fontId="16" fillId="4" borderId="6" xfId="0" applyNumberFormat="1" applyFont="1" applyFill="1" applyBorder="1" applyAlignment="1">
      <alignment horizontal="center" vertical="center"/>
    </xf>
    <xf numFmtId="166" fontId="16" fillId="4" borderId="2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166" fontId="16" fillId="4" borderId="9" xfId="0" applyNumberFormat="1" applyFont="1" applyFill="1" applyBorder="1" applyAlignment="1">
      <alignment horizontal="center" vertical="center"/>
    </xf>
    <xf numFmtId="166" fontId="16" fillId="4" borderId="10" xfId="0" applyNumberFormat="1" applyFont="1" applyFill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14" fillId="2" borderId="3" xfId="0" applyNumberFormat="1" applyFont="1" applyFill="1" applyBorder="1" applyAlignment="1">
      <alignment horizontal="center" vertical="center"/>
    </xf>
    <xf numFmtId="166" fontId="11" fillId="2" borderId="3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 indent="1"/>
    </xf>
    <xf numFmtId="0" fontId="9" fillId="5" borderId="11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165" fontId="12" fillId="0" borderId="3" xfId="0" applyNumberFormat="1" applyFont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166" fontId="13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/>
    </xf>
    <xf numFmtId="167" fontId="2" fillId="3" borderId="22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166" fontId="1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9" fillId="11" borderId="27" xfId="0" applyFont="1" applyFill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2" borderId="27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vertical="center"/>
    </xf>
    <xf numFmtId="0" fontId="34" fillId="0" borderId="27" xfId="0" applyFont="1" applyBorder="1" applyAlignment="1">
      <alignment horizontal="left"/>
    </xf>
    <xf numFmtId="0" fontId="33" fillId="2" borderId="27" xfId="0" applyFont="1" applyFill="1" applyBorder="1" applyAlignment="1">
      <alignment horizontal="left" vertical="center"/>
    </xf>
    <xf numFmtId="0" fontId="33" fillId="2" borderId="27" xfId="0" applyFont="1" applyFill="1" applyBorder="1" applyAlignment="1">
      <alignment vertical="center"/>
    </xf>
    <xf numFmtId="0" fontId="33" fillId="2" borderId="27" xfId="0" applyFont="1" applyFill="1" applyBorder="1" applyAlignment="1">
      <alignment horizontal="left" vertical="center" wrapText="1"/>
    </xf>
    <xf numFmtId="0" fontId="33" fillId="2" borderId="27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vertical="top" wrapText="1"/>
    </xf>
    <xf numFmtId="0" fontId="31" fillId="12" borderId="27" xfId="0" applyFont="1" applyFill="1" applyBorder="1" applyAlignment="1">
      <alignment horizontal="center" vertical="center"/>
    </xf>
    <xf numFmtId="0" fontId="33" fillId="12" borderId="27" xfId="0" applyFont="1" applyFill="1" applyBorder="1" applyAlignment="1">
      <alignment vertical="center" wrapText="1"/>
    </xf>
    <xf numFmtId="0" fontId="33" fillId="12" borderId="27" xfId="0" applyFont="1" applyFill="1" applyBorder="1" applyAlignment="1">
      <alignment horizontal="center" vertical="center"/>
    </xf>
    <xf numFmtId="0" fontId="2" fillId="12" borderId="27" xfId="0" applyFont="1" applyFill="1" applyBorder="1" applyAlignment="1">
      <alignment vertical="center"/>
    </xf>
    <xf numFmtId="0" fontId="2" fillId="12" borderId="27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2" fillId="13" borderId="2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0" fillId="0" borderId="2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1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vertical="center" wrapText="1"/>
    </xf>
    <xf numFmtId="0" fontId="40" fillId="0" borderId="3" xfId="0" applyFont="1" applyBorder="1" applyAlignment="1">
      <alignment horizontal="left" vertical="center" wrapText="1"/>
    </xf>
    <xf numFmtId="0" fontId="43" fillId="13" borderId="27" xfId="0" applyFont="1" applyFill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164" fontId="45" fillId="0" borderId="27" xfId="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0" fillId="0" borderId="27" xfId="0" applyBorder="1"/>
    <xf numFmtId="43" fontId="45" fillId="0" borderId="27" xfId="17" applyFont="1" applyBorder="1" applyAlignment="1">
      <alignment horizontal="center" vertical="center"/>
    </xf>
    <xf numFmtId="43" fontId="0" fillId="0" borderId="27" xfId="17" applyFont="1" applyBorder="1"/>
    <xf numFmtId="43" fontId="46" fillId="0" borderId="27" xfId="17" applyFont="1" applyBorder="1" applyAlignment="1">
      <alignment horizontal="center"/>
    </xf>
    <xf numFmtId="43" fontId="40" fillId="0" borderId="27" xfId="17" applyFont="1" applyBorder="1" applyAlignment="1">
      <alignment horizontal="center" vertical="center"/>
    </xf>
    <xf numFmtId="0" fontId="47" fillId="0" borderId="27" xfId="0" applyFont="1" applyBorder="1"/>
    <xf numFmtId="0" fontId="31" fillId="2" borderId="0" xfId="0" applyFont="1" applyFill="1" applyAlignment="1">
      <alignment vertical="center"/>
    </xf>
    <xf numFmtId="43" fontId="2" fillId="2" borderId="27" xfId="17" applyFont="1" applyFill="1" applyBorder="1" applyAlignment="1">
      <alignment horizontal="center" vertical="center"/>
    </xf>
    <xf numFmtId="43" fontId="31" fillId="2" borderId="27" xfId="17" applyFont="1" applyFill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1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center" vertical="center"/>
    </xf>
    <xf numFmtId="43" fontId="40" fillId="0" borderId="30" xfId="17" applyFont="1" applyBorder="1" applyAlignment="1">
      <alignment horizontal="center" vertical="center"/>
    </xf>
    <xf numFmtId="43" fontId="0" fillId="0" borderId="30" xfId="17" applyFont="1" applyBorder="1"/>
    <xf numFmtId="0" fontId="0" fillId="0" borderId="27" xfId="0" applyBorder="1" applyAlignment="1">
      <alignment wrapText="1"/>
    </xf>
    <xf numFmtId="43" fontId="0" fillId="0" borderId="27" xfId="17" applyFont="1" applyBorder="1" applyAlignment="1">
      <alignment horizontal="center"/>
    </xf>
    <xf numFmtId="0" fontId="17" fillId="0" borderId="27" xfId="0" applyFont="1" applyBorder="1" applyAlignment="1">
      <alignment wrapText="1"/>
    </xf>
  </cellXfs>
  <cellStyles count="18">
    <cellStyle name="20% - Accent1 2" xfId="14" xr:uid="{00000000-0005-0000-0000-000000000000}"/>
    <cellStyle name="60% - Accent1 2" xfId="4" xr:uid="{00000000-0005-0000-0000-000001000000}"/>
    <cellStyle name="Comma" xfId="17" builtinId="3"/>
    <cellStyle name="Currency 2" xfId="10" xr:uid="{00000000-0005-0000-0000-000003000000}"/>
    <cellStyle name="Date" xfId="7" xr:uid="{00000000-0005-0000-0000-000004000000}"/>
    <cellStyle name="Heading 1 2" xfId="6" xr:uid="{00000000-0005-0000-0000-000005000000}"/>
    <cellStyle name="Heading 2 2" xfId="8" xr:uid="{00000000-0005-0000-0000-000006000000}"/>
    <cellStyle name="Heading 3 2" xfId="11" xr:uid="{00000000-0005-0000-0000-000007000000}"/>
    <cellStyle name="Heading 4 2" xfId="13" xr:uid="{00000000-0005-0000-0000-000008000000}"/>
    <cellStyle name="Normal" xfId="0" builtinId="0"/>
    <cellStyle name="Normal 2" xfId="2" xr:uid="{00000000-0005-0000-0000-00000A000000}"/>
    <cellStyle name="Percent" xfId="1" builtinId="5"/>
    <cellStyle name="Percent 2" xfId="12" xr:uid="{00000000-0005-0000-0000-00000C000000}"/>
    <cellStyle name="Phone" xfId="5" xr:uid="{00000000-0005-0000-0000-00000D000000}"/>
    <cellStyle name="Quantity" xfId="9" xr:uid="{00000000-0005-0000-0000-00000E000000}"/>
    <cellStyle name="Title 2" xfId="3" xr:uid="{00000000-0005-0000-0000-00000F000000}"/>
    <cellStyle name="Total 2" xfId="15" xr:uid="{00000000-0005-0000-0000-000010000000}"/>
    <cellStyle name="Обычный 2" xfId="16" xr:uid="{00000000-0005-0000-0000-000011000000}"/>
  </cellStyles>
  <dxfs count="6"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Invoice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mruColors>
      <color rgb="FFEF89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844"/>
  <sheetViews>
    <sheetView topLeftCell="A10" zoomScale="85" zoomScaleNormal="85" workbookViewId="0">
      <selection activeCell="C13" sqref="C13"/>
    </sheetView>
  </sheetViews>
  <sheetFormatPr defaultColWidth="8.90625" defaultRowHeight="16" x14ac:dyDescent="0.35"/>
  <cols>
    <col min="1" max="1" width="3.36328125" style="2" customWidth="1"/>
    <col min="2" max="3" width="50.6328125" style="1" customWidth="1"/>
    <col min="4" max="27" width="8.90625" style="2" customWidth="1"/>
    <col min="28" max="43" width="8.90625" style="2"/>
    <col min="44" max="16384" width="8.90625" style="1"/>
  </cols>
  <sheetData>
    <row r="1" spans="2:8" s="2" customFormat="1" ht="16.5" thickBot="1" x14ac:dyDescent="0.4"/>
    <row r="2" spans="2:8" s="2" customFormat="1" ht="16.5" thickTop="1" x14ac:dyDescent="0.35">
      <c r="B2" s="69" t="str">
        <f>IF(ICMS!C13="GEO","პროექტის მახასიათებლები","Project Attributes")</f>
        <v>პროექტის მახასიათებლები</v>
      </c>
      <c r="C2" s="70" t="str">
        <f>IF(ICMS!C13="GEO","მაჩვენებლები","Values")</f>
        <v>მაჩვენებლები</v>
      </c>
    </row>
    <row r="3" spans="2:8" s="2" customFormat="1" x14ac:dyDescent="0.35">
      <c r="B3" s="43" t="str">
        <f>IF(ICMS!C13="GEO","პროექტის დასახელება","Project title")</f>
        <v>პროექტის დასახელება</v>
      </c>
      <c r="C3" s="45"/>
    </row>
    <row r="4" spans="2:8" s="2" customFormat="1" x14ac:dyDescent="0.35">
      <c r="B4" s="43" t="str">
        <f>IF(ICMS!C13="GEO","ანგარიშის სტატუსი","Status of cost report")</f>
        <v>ანგარიშის სტატუსი</v>
      </c>
      <c r="C4" s="45" t="s">
        <v>207</v>
      </c>
      <c r="H4" s="2" t="str">
        <f>IF(ICMS!C13="GEO","საორიენტაციო ღირებულება","pre-construction forecast")</f>
        <v>საორიენტაციო ღირებულება</v>
      </c>
    </row>
    <row r="5" spans="2:8" s="2" customFormat="1" x14ac:dyDescent="0.35">
      <c r="B5" s="43" t="str">
        <f>IF(ICMS!C13="GEO","ანგარიშის თარიღი","Date of cost report")</f>
        <v>ანგარიშის თარიღი</v>
      </c>
      <c r="C5" s="45"/>
      <c r="H5" s="2" t="str">
        <f>IF(ICMS!C13="GEO","სატენდერო ღირებულება","at tender ")</f>
        <v>სატენდერო ღირებულება</v>
      </c>
    </row>
    <row r="6" spans="2:8" s="2" customFormat="1" x14ac:dyDescent="0.35">
      <c r="B6" s="43" t="str">
        <f>IF(ICMS!C13="GEO","ანგარიშის რევიზიის №","Revision number of cost report")</f>
        <v>ანგარიშის რევიზიის №</v>
      </c>
      <c r="C6" s="45"/>
      <c r="H6" s="2" t="str">
        <f>IF(ICMS!C13="GEO","მშენებლობის ღირებულება","during construction ")</f>
        <v>მშენებლობის ღირებულება</v>
      </c>
    </row>
    <row r="7" spans="2:8" s="2" customFormat="1" x14ac:dyDescent="0.35">
      <c r="B7" s="43" t="str">
        <f>IF(ICMS!C13="GEO","პროექტის ზოგადი აღწერილობა","Brief description of the Project")</f>
        <v>პროექტის ზოგადი აღწერილობა</v>
      </c>
      <c r="C7" s="45"/>
      <c r="H7" s="2" t="str">
        <f>IF(ICMS!C13="GEO","სამშენებლობო ღირებულება","actual costs of construction postcompletion ")</f>
        <v>სამშენებლობო ღირებულება</v>
      </c>
    </row>
    <row r="8" spans="2:8" s="2" customFormat="1" x14ac:dyDescent="0.35">
      <c r="B8" s="43" t="str">
        <f>IF(ICMS!C13="GEO","• დამკვეთის დასახელება","• Client’s name")</f>
        <v>• დამკვეთის დასახელება</v>
      </c>
      <c r="C8" s="45"/>
    </row>
    <row r="9" spans="2:8" s="2" customFormat="1" x14ac:dyDescent="0.35">
      <c r="B9" s="43" t="str">
        <f>IF(ICMS!C13="GEO","• ძირითადი პროექტის ტიპი","• Main Project type (principal Sub-Project)")</f>
        <v>• ძირითადი პროექტის ტიპი</v>
      </c>
      <c r="C9" s="45"/>
    </row>
    <row r="10" spans="2:8" s="2" customFormat="1" x14ac:dyDescent="0.35">
      <c r="B10" s="43" t="str">
        <f>IF(ICMS!C13="GEO","• ზოგადი აღწერილობა","• Brief scope)")</f>
        <v>• ზოგადი აღწერილობა</v>
      </c>
      <c r="C10" s="45"/>
      <c r="H10" s="2" t="str">
        <f>IF(ICMS!C13="GEO","შენობა","Buildings")</f>
        <v>შენობა</v>
      </c>
    </row>
    <row r="11" spans="2:8" s="2" customFormat="1" x14ac:dyDescent="0.35">
      <c r="B11" s="43" t="str">
        <f>IF(ICMS!C13="GEO","პროექტის მდებარეობა","Location and country)")</f>
        <v>პროექტის მდებარეობა</v>
      </c>
      <c r="C11" s="45"/>
      <c r="H11" s="2" t="str">
        <f>IF(ICMS!C13="GEO","გზა,მაგისრალი,ასაფრენი ზოლი","Roads, runways and motorways")</f>
        <v>გზა,მაგისრალი,ასაფრენი ზოლი</v>
      </c>
    </row>
    <row r="12" spans="2:8" s="2" customFormat="1" x14ac:dyDescent="0.35">
      <c r="B12" s="43" t="str">
        <f>IF(ICMS!C13="GEO","დამატებითი პროექტის ტიპი","Sub-Projects included)")</f>
        <v>დამატებითი პროექტის ტიპი</v>
      </c>
      <c r="C12" s="45"/>
      <c r="H12" s="2" t="str">
        <f>IF(ICMS!C13="GEO","რკინიგზა","Railways")</f>
        <v>რკინიგზა</v>
      </c>
    </row>
    <row r="13" spans="2:8" s="2" customFormat="1" x14ac:dyDescent="0.35">
      <c r="B13" s="43" t="str">
        <f>IF(ICMS!C13="GEO","ენა","Project Language)")</f>
        <v>ენა</v>
      </c>
      <c r="C13" s="45" t="s">
        <v>11</v>
      </c>
      <c r="H13" s="2" t="str">
        <f>IF(ICMS!C13="GEO","ხიდი","Bridges")</f>
        <v>ხიდი</v>
      </c>
    </row>
    <row r="14" spans="2:8" s="2" customFormat="1" x14ac:dyDescent="0.35">
      <c r="B14" s="106" t="str">
        <f>IF(ICMS!C13="GEO","მშენებლობის ღირებულების დონე","Construction Cost Price Level")</f>
        <v>მშენებლობის ღირებულების დონე</v>
      </c>
      <c r="C14" s="107"/>
      <c r="H14" s="2" t="str">
        <f>IF(ICMS!C13="GEO","გვირაბი","Tunnels")</f>
        <v>გვირაბი</v>
      </c>
    </row>
    <row r="15" spans="2:8" s="2" customFormat="1" x14ac:dyDescent="0.35">
      <c r="B15" s="43" t="str">
        <f>IF(ICMS!C13="GEO","ISO ვალუტის კოდი","ISO currency code)")</f>
        <v>ISO ვალუტის კოდი</v>
      </c>
      <c r="C15" s="45" t="s">
        <v>208</v>
      </c>
      <c r="H15" s="2" t="s">
        <v>196</v>
      </c>
    </row>
    <row r="16" spans="2:8" s="2" customFormat="1" x14ac:dyDescent="0.35">
      <c r="B16" s="43" t="str">
        <f>IF(ICMS!C13="GEO","ერთეული ფასების საფუძველი","Base date of costs")</f>
        <v>ერთეული ფასების საფუძველი</v>
      </c>
      <c r="C16" s="44" t="s">
        <v>12</v>
      </c>
      <c r="H16" s="2" t="s">
        <v>197</v>
      </c>
    </row>
    <row r="17" spans="2:8" s="2" customFormat="1" x14ac:dyDescent="0.35">
      <c r="B17" s="43" t="str">
        <f>IF(ICMS!C13="GEO","ძირითადი ვალუტა","Price basis")</f>
        <v>ძირითადი ვალუტა</v>
      </c>
      <c r="C17" s="45" t="s">
        <v>208</v>
      </c>
      <c r="H17" s="2" t="s">
        <v>198</v>
      </c>
    </row>
    <row r="18" spans="2:8" s="2" customFormat="1" x14ac:dyDescent="0.35">
      <c r="B18" s="102" t="s">
        <v>13</v>
      </c>
      <c r="C18" s="103"/>
      <c r="H18" s="2" t="s">
        <v>199</v>
      </c>
    </row>
    <row r="19" spans="2:8" s="2" customFormat="1" x14ac:dyDescent="0.35">
      <c r="B19" s="43" t="s">
        <v>1</v>
      </c>
      <c r="C19" s="44"/>
      <c r="H19" s="2" t="s">
        <v>200</v>
      </c>
    </row>
    <row r="20" spans="2:8" s="2" customFormat="1" x14ac:dyDescent="0.35">
      <c r="B20" s="43" t="s">
        <v>10</v>
      </c>
      <c r="C20" s="45">
        <f>IF(C15="(GEL) ₾",1,IF(C15="(USD) $",2.8,IF(C15="(EUR) €",3.05)))</f>
        <v>1</v>
      </c>
      <c r="H20" s="2" t="s">
        <v>201</v>
      </c>
    </row>
    <row r="21" spans="2:8" s="2" customFormat="1" x14ac:dyDescent="0.35">
      <c r="B21" s="106" t="s">
        <v>14</v>
      </c>
      <c r="C21" s="107"/>
      <c r="H21" s="2" t="s">
        <v>202</v>
      </c>
    </row>
    <row r="22" spans="2:8" s="2" customFormat="1" x14ac:dyDescent="0.35">
      <c r="B22" s="43" t="s">
        <v>2</v>
      </c>
      <c r="C22" s="45" t="s">
        <v>15</v>
      </c>
      <c r="H22" s="2" t="s">
        <v>203</v>
      </c>
    </row>
    <row r="23" spans="2:8" s="2" customFormat="1" x14ac:dyDescent="0.35">
      <c r="B23" s="102" t="s">
        <v>3</v>
      </c>
      <c r="C23" s="103"/>
      <c r="H23" s="2" t="s">
        <v>204</v>
      </c>
    </row>
    <row r="24" spans="2:8" s="2" customFormat="1" x14ac:dyDescent="0.35">
      <c r="B24" s="43" t="s">
        <v>17</v>
      </c>
      <c r="C24" s="45"/>
      <c r="H24" s="2" t="s">
        <v>205</v>
      </c>
    </row>
    <row r="25" spans="2:8" s="2" customFormat="1" ht="14.4" customHeight="1" x14ac:dyDescent="0.35">
      <c r="B25" s="43" t="s">
        <v>16</v>
      </c>
      <c r="C25" s="45"/>
      <c r="H25" s="2" t="s">
        <v>206</v>
      </c>
    </row>
    <row r="26" spans="2:8" s="2" customFormat="1" ht="14.4" customHeight="1" x14ac:dyDescent="0.35">
      <c r="B26" s="43" t="s">
        <v>18</v>
      </c>
      <c r="C26" s="45"/>
    </row>
    <row r="27" spans="2:8" s="2" customFormat="1" ht="14.4" customHeight="1" x14ac:dyDescent="0.35">
      <c r="B27" s="102" t="s">
        <v>19</v>
      </c>
      <c r="C27" s="103"/>
    </row>
    <row r="28" spans="2:8" s="2" customFormat="1" ht="14.4" customHeight="1" x14ac:dyDescent="0.35">
      <c r="B28" s="43" t="s">
        <v>20</v>
      </c>
      <c r="C28" s="45"/>
    </row>
    <row r="29" spans="2:8" s="2" customFormat="1" ht="14.4" customHeight="1" x14ac:dyDescent="0.35">
      <c r="B29" s="43" t="s">
        <v>21</v>
      </c>
      <c r="C29" s="45" t="s">
        <v>23</v>
      </c>
    </row>
    <row r="30" spans="2:8" s="2" customFormat="1" ht="14.4" customHeight="1" x14ac:dyDescent="0.35">
      <c r="B30" s="43" t="s">
        <v>22</v>
      </c>
      <c r="C30" s="45" t="s">
        <v>24</v>
      </c>
    </row>
    <row r="31" spans="2:8" s="2" customFormat="1" ht="14.4" customHeight="1" x14ac:dyDescent="0.35">
      <c r="B31" s="43" t="s">
        <v>25</v>
      </c>
      <c r="C31" s="45" t="s">
        <v>26</v>
      </c>
    </row>
    <row r="32" spans="2:8" s="2" customFormat="1" ht="14.4" customHeight="1" x14ac:dyDescent="0.35">
      <c r="B32" s="43" t="s">
        <v>27</v>
      </c>
      <c r="C32" s="45" t="s">
        <v>28</v>
      </c>
    </row>
    <row r="33" spans="2:3" s="2" customFormat="1" ht="14.4" customHeight="1" x14ac:dyDescent="0.35">
      <c r="B33" s="43" t="s">
        <v>29</v>
      </c>
      <c r="C33" s="45" t="s">
        <v>30</v>
      </c>
    </row>
    <row r="34" spans="2:3" s="2" customFormat="1" ht="14.4" customHeight="1" x14ac:dyDescent="0.35">
      <c r="B34" s="43" t="s">
        <v>31</v>
      </c>
      <c r="C34" s="45"/>
    </row>
    <row r="35" spans="2:3" s="2" customFormat="1" ht="14.4" customHeight="1" x14ac:dyDescent="0.35">
      <c r="B35" s="102" t="s">
        <v>32</v>
      </c>
      <c r="C35" s="103"/>
    </row>
    <row r="36" spans="2:3" s="2" customFormat="1" ht="14.4" customHeight="1" x14ac:dyDescent="0.35">
      <c r="B36" s="43" t="s">
        <v>33</v>
      </c>
      <c r="C36" s="45" t="s">
        <v>34</v>
      </c>
    </row>
    <row r="37" spans="2:3" s="2" customFormat="1" ht="14.4" customHeight="1" x14ac:dyDescent="0.35">
      <c r="B37" s="43" t="s">
        <v>35</v>
      </c>
      <c r="C37" s="45" t="s">
        <v>36</v>
      </c>
    </row>
    <row r="38" spans="2:3" s="2" customFormat="1" ht="14.4" customHeight="1" x14ac:dyDescent="0.35">
      <c r="B38" s="43" t="s">
        <v>37</v>
      </c>
      <c r="C38" s="45" t="s">
        <v>36</v>
      </c>
    </row>
    <row r="39" spans="2:3" s="2" customFormat="1" ht="14.4" customHeight="1" x14ac:dyDescent="0.35">
      <c r="B39" s="43" t="s">
        <v>38</v>
      </c>
      <c r="C39" s="45" t="s">
        <v>36</v>
      </c>
    </row>
    <row r="40" spans="2:3" s="2" customFormat="1" ht="14.4" customHeight="1" x14ac:dyDescent="0.35">
      <c r="B40" s="102" t="s">
        <v>39</v>
      </c>
      <c r="C40" s="103"/>
    </row>
    <row r="41" spans="2:3" s="2" customFormat="1" ht="14.4" customHeight="1" x14ac:dyDescent="0.35">
      <c r="B41" s="43" t="s">
        <v>40</v>
      </c>
      <c r="C41" s="45" t="s">
        <v>41</v>
      </c>
    </row>
    <row r="42" spans="2:3" s="2" customFormat="1" ht="14.4" customHeight="1" x14ac:dyDescent="0.35">
      <c r="B42" s="43" t="s">
        <v>42</v>
      </c>
      <c r="C42" s="45"/>
    </row>
    <row r="43" spans="2:3" s="2" customFormat="1" ht="14.4" customHeight="1" x14ac:dyDescent="0.35">
      <c r="B43" s="43" t="s">
        <v>43</v>
      </c>
      <c r="C43" s="45" t="s">
        <v>44</v>
      </c>
    </row>
    <row r="44" spans="2:3" s="2" customFormat="1" ht="14.4" customHeight="1" x14ac:dyDescent="0.35">
      <c r="B44" s="43" t="s">
        <v>45</v>
      </c>
      <c r="C44" s="45" t="s">
        <v>46</v>
      </c>
    </row>
    <row r="45" spans="2:3" s="2" customFormat="1" ht="14.4" customHeight="1" x14ac:dyDescent="0.35">
      <c r="B45" s="43" t="s">
        <v>47</v>
      </c>
      <c r="C45" s="45" t="s">
        <v>48</v>
      </c>
    </row>
    <row r="46" spans="2:3" s="2" customFormat="1" ht="14.4" customHeight="1" x14ac:dyDescent="0.35">
      <c r="B46" s="43" t="s">
        <v>49</v>
      </c>
      <c r="C46" s="45" t="s">
        <v>50</v>
      </c>
    </row>
    <row r="47" spans="2:3" s="2" customFormat="1" ht="16.5" thickBot="1" x14ac:dyDescent="0.4">
      <c r="B47" s="41"/>
      <c r="C47" s="42"/>
    </row>
    <row r="48" spans="2:3" s="2" customFormat="1" ht="16.5" thickTop="1" x14ac:dyDescent="0.35"/>
    <row r="49" spans="2:3" s="2" customFormat="1" ht="14.4" customHeight="1" x14ac:dyDescent="0.35">
      <c r="B49" s="102" t="s">
        <v>51</v>
      </c>
      <c r="C49" s="103"/>
    </row>
    <row r="50" spans="2:3" s="2" customFormat="1" ht="14.4" customHeight="1" x14ac:dyDescent="0.35">
      <c r="B50" s="102" t="s">
        <v>52</v>
      </c>
      <c r="C50" s="103"/>
    </row>
    <row r="51" spans="2:3" s="2" customFormat="1" ht="14.4" customHeight="1" x14ac:dyDescent="0.35">
      <c r="B51" s="43" t="s">
        <v>53</v>
      </c>
      <c r="C51" s="45" t="s">
        <v>54</v>
      </c>
    </row>
    <row r="52" spans="2:3" s="2" customFormat="1" ht="14.4" customHeight="1" x14ac:dyDescent="0.35">
      <c r="B52" s="43" t="s">
        <v>55</v>
      </c>
      <c r="C52" s="45" t="s">
        <v>56</v>
      </c>
    </row>
    <row r="53" spans="2:3" s="2" customFormat="1" ht="14.4" customHeight="1" x14ac:dyDescent="0.35">
      <c r="B53" s="50" t="s">
        <v>57</v>
      </c>
      <c r="C53" s="45"/>
    </row>
    <row r="54" spans="2:3" s="2" customFormat="1" ht="14.4" customHeight="1" x14ac:dyDescent="0.35">
      <c r="B54" s="43" t="s">
        <v>58</v>
      </c>
      <c r="C54" s="45" t="s">
        <v>59</v>
      </c>
    </row>
    <row r="55" spans="2:3" s="2" customFormat="1" ht="14.4" customHeight="1" x14ac:dyDescent="0.35">
      <c r="B55" s="43" t="s">
        <v>60</v>
      </c>
      <c r="C55" s="51" t="s">
        <v>61</v>
      </c>
    </row>
    <row r="56" spans="2:3" s="2" customFormat="1" ht="14.4" customHeight="1" x14ac:dyDescent="0.35">
      <c r="B56" s="50" t="s">
        <v>62</v>
      </c>
      <c r="C56" s="51" t="s">
        <v>63</v>
      </c>
    </row>
    <row r="57" spans="2:3" s="2" customFormat="1" ht="14.4" customHeight="1" x14ac:dyDescent="0.35">
      <c r="B57" s="43" t="s">
        <v>64</v>
      </c>
      <c r="C57" s="45"/>
    </row>
    <row r="58" spans="2:3" s="2" customFormat="1" ht="14.4" customHeight="1" x14ac:dyDescent="0.35">
      <c r="B58" s="43" t="s">
        <v>65</v>
      </c>
      <c r="C58" s="45" t="s">
        <v>66</v>
      </c>
    </row>
    <row r="59" spans="2:3" s="2" customFormat="1" ht="14.4" customHeight="1" x14ac:dyDescent="0.35">
      <c r="B59" s="43" t="s">
        <v>67</v>
      </c>
      <c r="C59" s="45" t="s">
        <v>68</v>
      </c>
    </row>
    <row r="60" spans="2:3" s="2" customFormat="1" ht="14.4" customHeight="1" x14ac:dyDescent="0.35">
      <c r="B60" s="43" t="s">
        <v>69</v>
      </c>
      <c r="C60" s="45"/>
    </row>
    <row r="61" spans="2:3" s="2" customFormat="1" ht="14.4" customHeight="1" x14ac:dyDescent="0.35">
      <c r="B61" s="102" t="s">
        <v>70</v>
      </c>
      <c r="C61" s="103"/>
    </row>
    <row r="62" spans="2:3" s="2" customFormat="1" ht="14.4" customHeight="1" x14ac:dyDescent="0.35">
      <c r="B62" s="43" t="s">
        <v>71</v>
      </c>
      <c r="C62" s="45"/>
    </row>
    <row r="63" spans="2:3" s="2" customFormat="1" ht="14.4" customHeight="1" x14ac:dyDescent="0.35">
      <c r="B63" s="43" t="s">
        <v>72</v>
      </c>
      <c r="C63" s="45"/>
    </row>
    <row r="64" spans="2:3" s="2" customFormat="1" ht="14.4" customHeight="1" x14ac:dyDescent="0.35">
      <c r="B64" s="43" t="s">
        <v>73</v>
      </c>
      <c r="C64" s="45"/>
    </row>
    <row r="65" spans="2:3" s="2" customFormat="1" ht="14.4" customHeight="1" x14ac:dyDescent="0.35">
      <c r="B65" s="43" t="s">
        <v>74</v>
      </c>
      <c r="C65" s="45"/>
    </row>
    <row r="66" spans="2:3" s="2" customFormat="1" ht="14.4" customHeight="1" x14ac:dyDescent="0.35">
      <c r="B66" s="43" t="s">
        <v>75</v>
      </c>
      <c r="C66" s="45"/>
    </row>
    <row r="67" spans="2:3" s="2" customFormat="1" ht="14.4" customHeight="1" x14ac:dyDescent="0.35">
      <c r="B67" s="43" t="s">
        <v>76</v>
      </c>
      <c r="C67" s="45"/>
    </row>
    <row r="68" spans="2:3" s="2" customFormat="1" ht="14.4" customHeight="1" x14ac:dyDescent="0.35">
      <c r="B68" s="102" t="s">
        <v>77</v>
      </c>
      <c r="C68" s="103"/>
    </row>
    <row r="69" spans="2:3" s="2" customFormat="1" ht="14.4" customHeight="1" x14ac:dyDescent="0.35">
      <c r="B69" s="50" t="s">
        <v>78</v>
      </c>
      <c r="C69" s="45"/>
    </row>
    <row r="70" spans="2:3" s="2" customFormat="1" ht="14.4" customHeight="1" x14ac:dyDescent="0.35">
      <c r="B70" s="43" t="s">
        <v>79</v>
      </c>
      <c r="C70" s="45"/>
    </row>
    <row r="71" spans="2:3" s="2" customFormat="1" ht="14.4" customHeight="1" x14ac:dyDescent="0.35">
      <c r="B71" s="50" t="s">
        <v>80</v>
      </c>
      <c r="C71" s="45"/>
    </row>
    <row r="72" spans="2:3" s="2" customFormat="1" ht="14.4" customHeight="1" x14ac:dyDescent="0.35">
      <c r="B72" s="102" t="s">
        <v>81</v>
      </c>
      <c r="C72" s="103"/>
    </row>
    <row r="73" spans="2:3" s="2" customFormat="1" ht="14.4" customHeight="1" x14ac:dyDescent="0.35">
      <c r="B73" s="43" t="s">
        <v>82</v>
      </c>
      <c r="C73" s="45"/>
    </row>
    <row r="74" spans="2:3" s="2" customFormat="1" ht="16.5" thickBot="1" x14ac:dyDescent="0.4">
      <c r="B74" s="41"/>
      <c r="C74" s="42"/>
    </row>
    <row r="75" spans="2:3" s="2" customFormat="1" ht="16.5" thickTop="1" x14ac:dyDescent="0.35"/>
    <row r="76" spans="2:3" s="2" customFormat="1" x14ac:dyDescent="0.35">
      <c r="B76" s="108" t="s">
        <v>83</v>
      </c>
      <c r="C76" s="107"/>
    </row>
    <row r="77" spans="2:3" s="2" customFormat="1" x14ac:dyDescent="0.35">
      <c r="B77" s="102" t="s">
        <v>4</v>
      </c>
      <c r="C77" s="103"/>
    </row>
    <row r="78" spans="2:3" s="2" customFormat="1" x14ac:dyDescent="0.35">
      <c r="B78" s="43" t="s">
        <v>5</v>
      </c>
      <c r="C78" s="45"/>
    </row>
    <row r="79" spans="2:3" s="2" customFormat="1" x14ac:dyDescent="0.35">
      <c r="B79" s="43" t="s">
        <v>6</v>
      </c>
      <c r="C79" s="45"/>
    </row>
    <row r="80" spans="2:3" s="2" customFormat="1" x14ac:dyDescent="0.35">
      <c r="B80" s="43" t="s">
        <v>7</v>
      </c>
      <c r="C80" s="45"/>
    </row>
    <row r="81" spans="2:3" s="2" customFormat="1" x14ac:dyDescent="0.35">
      <c r="B81" s="106" t="s">
        <v>8</v>
      </c>
      <c r="C81" s="107"/>
    </row>
    <row r="82" spans="2:3" s="2" customFormat="1" x14ac:dyDescent="0.35">
      <c r="B82" s="43" t="s">
        <v>9</v>
      </c>
      <c r="C82" s="45" t="s">
        <v>84</v>
      </c>
    </row>
    <row r="83" spans="2:3" s="2" customFormat="1" x14ac:dyDescent="0.35">
      <c r="B83" s="43" t="s">
        <v>85</v>
      </c>
      <c r="C83" s="45" t="s">
        <v>86</v>
      </c>
    </row>
    <row r="84" spans="2:3" s="2" customFormat="1" ht="16.25" customHeight="1" x14ac:dyDescent="0.35">
      <c r="B84" s="50" t="s">
        <v>87</v>
      </c>
      <c r="C84" s="45" t="s">
        <v>88</v>
      </c>
    </row>
    <row r="85" spans="2:3" s="2" customFormat="1" x14ac:dyDescent="0.35">
      <c r="B85" s="43" t="s">
        <v>89</v>
      </c>
      <c r="C85" s="45" t="s">
        <v>90</v>
      </c>
    </row>
    <row r="86" spans="2:3" s="2" customFormat="1" x14ac:dyDescent="0.35">
      <c r="B86" s="102" t="s">
        <v>91</v>
      </c>
      <c r="C86" s="103"/>
    </row>
    <row r="87" spans="2:3" s="2" customFormat="1" x14ac:dyDescent="0.35">
      <c r="B87" s="43" t="s">
        <v>92</v>
      </c>
      <c r="C87" s="45"/>
    </row>
    <row r="88" spans="2:3" s="2" customFormat="1" x14ac:dyDescent="0.35">
      <c r="B88" s="43" t="s">
        <v>93</v>
      </c>
      <c r="C88" s="45" t="s">
        <v>94</v>
      </c>
    </row>
    <row r="89" spans="2:3" s="2" customFormat="1" x14ac:dyDescent="0.35">
      <c r="B89" s="102" t="s">
        <v>95</v>
      </c>
      <c r="C89" s="103"/>
    </row>
    <row r="90" spans="2:3" s="2" customFormat="1" x14ac:dyDescent="0.35">
      <c r="B90" s="43" t="s">
        <v>96</v>
      </c>
      <c r="C90" s="45" t="s">
        <v>97</v>
      </c>
    </row>
    <row r="91" spans="2:3" s="2" customFormat="1" x14ac:dyDescent="0.35">
      <c r="B91" s="43" t="s">
        <v>98</v>
      </c>
      <c r="C91" s="45" t="s">
        <v>99</v>
      </c>
    </row>
    <row r="92" spans="2:3" s="2" customFormat="1" x14ac:dyDescent="0.35">
      <c r="B92" s="43" t="s">
        <v>100</v>
      </c>
      <c r="C92" s="45" t="s">
        <v>101</v>
      </c>
    </row>
    <row r="93" spans="2:3" s="2" customFormat="1" x14ac:dyDescent="0.35">
      <c r="B93" s="43" t="s">
        <v>102</v>
      </c>
      <c r="C93" s="45" t="s">
        <v>103</v>
      </c>
    </row>
    <row r="94" spans="2:3" s="2" customFormat="1" x14ac:dyDescent="0.35">
      <c r="B94" s="43" t="s">
        <v>104</v>
      </c>
      <c r="C94" s="45" t="s">
        <v>105</v>
      </c>
    </row>
    <row r="95" spans="2:3" s="2" customFormat="1" x14ac:dyDescent="0.35">
      <c r="B95" s="102" t="s">
        <v>106</v>
      </c>
      <c r="C95" s="103"/>
    </row>
    <row r="96" spans="2:3" s="2" customFormat="1" x14ac:dyDescent="0.35">
      <c r="B96" s="43" t="s">
        <v>107</v>
      </c>
      <c r="C96" s="45" t="s">
        <v>108</v>
      </c>
    </row>
    <row r="97" spans="2:3" s="2" customFormat="1" x14ac:dyDescent="0.35">
      <c r="B97" s="43" t="s">
        <v>109</v>
      </c>
      <c r="C97" s="45" t="s">
        <v>110</v>
      </c>
    </row>
    <row r="98" spans="2:3" s="2" customFormat="1" x14ac:dyDescent="0.35">
      <c r="B98" s="43" t="s">
        <v>111</v>
      </c>
      <c r="C98" s="45" t="s">
        <v>112</v>
      </c>
    </row>
    <row r="99" spans="2:3" s="2" customFormat="1" x14ac:dyDescent="0.35">
      <c r="B99" s="43" t="s">
        <v>113</v>
      </c>
      <c r="C99" s="45" t="s">
        <v>114</v>
      </c>
    </row>
    <row r="100" spans="2:3" s="2" customFormat="1" x14ac:dyDescent="0.35">
      <c r="B100" s="53" t="s">
        <v>115</v>
      </c>
      <c r="C100" s="54"/>
    </row>
    <row r="101" spans="2:3" s="2" customFormat="1" x14ac:dyDescent="0.35">
      <c r="B101" s="55" t="s">
        <v>116</v>
      </c>
      <c r="C101" s="54"/>
    </row>
    <row r="102" spans="2:3" s="2" customFormat="1" ht="32" x14ac:dyDescent="0.35">
      <c r="B102" s="55" t="s">
        <v>118</v>
      </c>
      <c r="C102" s="54"/>
    </row>
    <row r="103" spans="2:3" s="2" customFormat="1" x14ac:dyDescent="0.35">
      <c r="B103" s="55" t="s">
        <v>117</v>
      </c>
      <c r="C103" s="54"/>
    </row>
    <row r="104" spans="2:3" s="2" customFormat="1" x14ac:dyDescent="0.35">
      <c r="B104" s="53" t="s">
        <v>119</v>
      </c>
      <c r="C104" s="54"/>
    </row>
    <row r="105" spans="2:3" s="2" customFormat="1" ht="48" x14ac:dyDescent="0.35">
      <c r="B105" s="55" t="s">
        <v>120</v>
      </c>
      <c r="C105" s="45" t="s">
        <v>121</v>
      </c>
    </row>
    <row r="106" spans="2:3" s="2" customFormat="1" x14ac:dyDescent="0.35">
      <c r="B106" s="55" t="s">
        <v>122</v>
      </c>
      <c r="C106" s="54" t="s">
        <v>123</v>
      </c>
    </row>
    <row r="107" spans="2:3" s="2" customFormat="1" x14ac:dyDescent="0.35">
      <c r="B107" s="53" t="s">
        <v>124</v>
      </c>
      <c r="C107" s="54" t="s">
        <v>125</v>
      </c>
    </row>
    <row r="108" spans="2:3" s="2" customFormat="1" x14ac:dyDescent="0.35">
      <c r="B108" s="102" t="s">
        <v>126</v>
      </c>
      <c r="C108" s="103"/>
    </row>
    <row r="109" spans="2:3" s="2" customFormat="1" ht="32" x14ac:dyDescent="0.35">
      <c r="B109" s="55" t="s">
        <v>127</v>
      </c>
      <c r="C109" s="54"/>
    </row>
    <row r="110" spans="2:3" s="2" customFormat="1" x14ac:dyDescent="0.35">
      <c r="B110" s="53" t="s">
        <v>128</v>
      </c>
      <c r="C110" s="54"/>
    </row>
    <row r="111" spans="2:3" s="2" customFormat="1" x14ac:dyDescent="0.35">
      <c r="B111" s="53" t="s">
        <v>129</v>
      </c>
      <c r="C111" s="54"/>
    </row>
    <row r="112" spans="2:3" s="2" customFormat="1" x14ac:dyDescent="0.35">
      <c r="B112" s="55" t="s">
        <v>130</v>
      </c>
      <c r="C112" s="54"/>
    </row>
    <row r="113" spans="2:3" s="2" customFormat="1" x14ac:dyDescent="0.35">
      <c r="B113" s="53" t="s">
        <v>131</v>
      </c>
      <c r="C113" s="54" t="s">
        <v>132</v>
      </c>
    </row>
    <row r="114" spans="2:3" s="2" customFormat="1" x14ac:dyDescent="0.35">
      <c r="B114" s="53"/>
      <c r="C114" s="54"/>
    </row>
    <row r="115" spans="2:3" s="2" customFormat="1" ht="16.5" thickBot="1" x14ac:dyDescent="0.4">
      <c r="B115" s="52"/>
      <c r="C115" s="42"/>
    </row>
    <row r="116" spans="2:3" s="2" customFormat="1" ht="16.5" thickTop="1" x14ac:dyDescent="0.35"/>
    <row r="117" spans="2:3" s="2" customFormat="1" ht="16.25" customHeight="1" x14ac:dyDescent="0.35">
      <c r="B117" s="104" t="s">
        <v>133</v>
      </c>
      <c r="C117" s="105"/>
    </row>
    <row r="118" spans="2:3" s="2" customFormat="1" x14ac:dyDescent="0.35">
      <c r="B118" s="56" t="s">
        <v>4</v>
      </c>
      <c r="C118" s="54"/>
    </row>
    <row r="119" spans="2:3" s="2" customFormat="1" x14ac:dyDescent="0.35">
      <c r="B119" s="53" t="s">
        <v>134</v>
      </c>
      <c r="C119" s="54"/>
    </row>
    <row r="120" spans="2:3" s="2" customFormat="1" x14ac:dyDescent="0.35">
      <c r="B120" s="53" t="s">
        <v>135</v>
      </c>
      <c r="C120" s="54"/>
    </row>
    <row r="121" spans="2:3" s="2" customFormat="1" x14ac:dyDescent="0.35">
      <c r="B121" s="53" t="s">
        <v>136</v>
      </c>
      <c r="C121" s="54"/>
    </row>
    <row r="122" spans="2:3" s="2" customFormat="1" x14ac:dyDescent="0.35">
      <c r="B122" s="56" t="s">
        <v>8</v>
      </c>
      <c r="C122" s="54"/>
    </row>
    <row r="123" spans="2:3" s="2" customFormat="1" x14ac:dyDescent="0.35">
      <c r="B123" s="53" t="s">
        <v>9</v>
      </c>
      <c r="C123" s="54" t="s">
        <v>137</v>
      </c>
    </row>
    <row r="124" spans="2:3" s="2" customFormat="1" x14ac:dyDescent="0.35">
      <c r="B124" s="53" t="s">
        <v>85</v>
      </c>
      <c r="C124" s="54" t="s">
        <v>138</v>
      </c>
    </row>
    <row r="125" spans="2:3" s="2" customFormat="1" x14ac:dyDescent="0.35">
      <c r="B125" s="56" t="s">
        <v>91</v>
      </c>
      <c r="C125" s="54"/>
    </row>
    <row r="126" spans="2:3" s="2" customFormat="1" x14ac:dyDescent="0.35">
      <c r="B126" s="53" t="s">
        <v>92</v>
      </c>
      <c r="C126" s="54"/>
    </row>
    <row r="127" spans="2:3" s="2" customFormat="1" x14ac:dyDescent="0.35">
      <c r="B127" s="53" t="s">
        <v>93</v>
      </c>
      <c r="C127" s="54" t="s">
        <v>139</v>
      </c>
    </row>
    <row r="128" spans="2:3" s="2" customFormat="1" x14ac:dyDescent="0.35">
      <c r="B128" s="102" t="s">
        <v>95</v>
      </c>
      <c r="C128" s="103"/>
    </row>
    <row r="129" spans="2:3" s="2" customFormat="1" x14ac:dyDescent="0.35">
      <c r="B129" s="53" t="s">
        <v>140</v>
      </c>
      <c r="C129" s="54" t="s">
        <v>141</v>
      </c>
    </row>
    <row r="130" spans="2:3" s="2" customFormat="1" x14ac:dyDescent="0.35">
      <c r="B130" s="53" t="s">
        <v>142</v>
      </c>
      <c r="C130" s="57">
        <v>60</v>
      </c>
    </row>
    <row r="131" spans="2:3" s="2" customFormat="1" x14ac:dyDescent="0.35">
      <c r="B131" s="53" t="s">
        <v>143</v>
      </c>
      <c r="C131" s="54"/>
    </row>
    <row r="132" spans="2:3" s="2" customFormat="1" x14ac:dyDescent="0.35">
      <c r="B132" s="53" t="s">
        <v>144</v>
      </c>
      <c r="C132" s="54"/>
    </row>
    <row r="133" spans="2:3" s="2" customFormat="1" x14ac:dyDescent="0.35">
      <c r="B133" s="53" t="s">
        <v>145</v>
      </c>
      <c r="C133" s="54"/>
    </row>
    <row r="134" spans="2:3" s="2" customFormat="1" x14ac:dyDescent="0.35">
      <c r="B134" s="53" t="s">
        <v>146</v>
      </c>
      <c r="C134" s="54" t="s">
        <v>48</v>
      </c>
    </row>
    <row r="135" spans="2:3" s="2" customFormat="1" x14ac:dyDescent="0.35">
      <c r="B135" s="53" t="s">
        <v>147</v>
      </c>
      <c r="C135" s="54" t="s">
        <v>48</v>
      </c>
    </row>
    <row r="136" spans="2:3" s="2" customFormat="1" x14ac:dyDescent="0.35">
      <c r="B136" s="53" t="s">
        <v>148</v>
      </c>
      <c r="C136" s="54"/>
    </row>
    <row r="137" spans="2:3" s="2" customFormat="1" x14ac:dyDescent="0.35">
      <c r="B137" s="53" t="s">
        <v>149</v>
      </c>
      <c r="C137" s="54" t="s">
        <v>150</v>
      </c>
    </row>
    <row r="138" spans="2:3" s="2" customFormat="1" x14ac:dyDescent="0.35">
      <c r="B138" s="53" t="s">
        <v>151</v>
      </c>
      <c r="C138" s="54" t="s">
        <v>152</v>
      </c>
    </row>
    <row r="139" spans="2:3" s="2" customFormat="1" x14ac:dyDescent="0.35">
      <c r="B139" s="53" t="s">
        <v>153</v>
      </c>
      <c r="C139" s="54" t="s">
        <v>154</v>
      </c>
    </row>
    <row r="140" spans="2:3" s="2" customFormat="1" x14ac:dyDescent="0.35">
      <c r="B140" s="102" t="s">
        <v>155</v>
      </c>
      <c r="C140" s="103"/>
    </row>
    <row r="141" spans="2:3" s="2" customFormat="1" x14ac:dyDescent="0.35">
      <c r="B141" s="53" t="s">
        <v>156</v>
      </c>
      <c r="C141" s="54"/>
    </row>
    <row r="142" spans="2:3" s="2" customFormat="1" x14ac:dyDescent="0.35">
      <c r="B142" s="53" t="s">
        <v>157</v>
      </c>
      <c r="C142" s="54"/>
    </row>
    <row r="143" spans="2:3" s="2" customFormat="1" x14ac:dyDescent="0.35">
      <c r="B143" s="53" t="s">
        <v>158</v>
      </c>
      <c r="C143" s="54"/>
    </row>
    <row r="144" spans="2:3" s="2" customFormat="1" x14ac:dyDescent="0.35">
      <c r="B144" s="53" t="s">
        <v>159</v>
      </c>
      <c r="C144" s="54"/>
    </row>
    <row r="145" spans="2:3" s="2" customFormat="1" x14ac:dyDescent="0.35">
      <c r="B145" s="53" t="s">
        <v>115</v>
      </c>
      <c r="C145" s="54"/>
    </row>
    <row r="146" spans="2:3" s="2" customFormat="1" x14ac:dyDescent="0.35">
      <c r="B146" s="53" t="s">
        <v>160</v>
      </c>
      <c r="C146" s="54"/>
    </row>
    <row r="147" spans="2:3" s="2" customFormat="1" ht="32" x14ac:dyDescent="0.35">
      <c r="B147" s="55" t="s">
        <v>161</v>
      </c>
      <c r="C147" s="54"/>
    </row>
    <row r="148" spans="2:3" s="2" customFormat="1" x14ac:dyDescent="0.35">
      <c r="B148" s="53" t="s">
        <v>162</v>
      </c>
      <c r="C148" s="54"/>
    </row>
    <row r="149" spans="2:3" s="2" customFormat="1" x14ac:dyDescent="0.35">
      <c r="B149" s="102" t="s">
        <v>163</v>
      </c>
      <c r="C149" s="103"/>
    </row>
    <row r="150" spans="2:3" s="2" customFormat="1" ht="64" x14ac:dyDescent="0.35">
      <c r="B150" s="55" t="s">
        <v>164</v>
      </c>
      <c r="C150" s="54"/>
    </row>
    <row r="151" spans="2:3" s="2" customFormat="1" x14ac:dyDescent="0.35">
      <c r="B151" s="102" t="s">
        <v>165</v>
      </c>
      <c r="C151" s="103"/>
    </row>
    <row r="152" spans="2:3" s="2" customFormat="1" ht="48" x14ac:dyDescent="0.35">
      <c r="B152" s="55" t="s">
        <v>166</v>
      </c>
      <c r="C152" s="54"/>
    </row>
    <row r="153" spans="2:3" s="2" customFormat="1" x14ac:dyDescent="0.35">
      <c r="B153" s="53" t="s">
        <v>167</v>
      </c>
      <c r="C153" s="54"/>
    </row>
    <row r="154" spans="2:3" s="2" customFormat="1" x14ac:dyDescent="0.35">
      <c r="B154" s="53" t="s">
        <v>168</v>
      </c>
      <c r="C154" s="54"/>
    </row>
    <row r="155" spans="2:3" s="2" customFormat="1" x14ac:dyDescent="0.35">
      <c r="B155" s="102" t="s">
        <v>131</v>
      </c>
      <c r="C155" s="103"/>
    </row>
    <row r="156" spans="2:3" s="2" customFormat="1" x14ac:dyDescent="0.35">
      <c r="B156" s="53" t="s">
        <v>169</v>
      </c>
      <c r="C156" s="54"/>
    </row>
    <row r="157" spans="2:3" s="2" customFormat="1" ht="16.5" thickBot="1" x14ac:dyDescent="0.4">
      <c r="B157" s="52"/>
      <c r="C157" s="42"/>
    </row>
    <row r="158" spans="2:3" s="2" customFormat="1" ht="16.5" thickTop="1" x14ac:dyDescent="0.35"/>
    <row r="159" spans="2:3" s="2" customFormat="1" x14ac:dyDescent="0.35">
      <c r="B159" s="104" t="s">
        <v>170</v>
      </c>
      <c r="C159" s="105"/>
    </row>
    <row r="160" spans="2:3" s="2" customFormat="1" x14ac:dyDescent="0.35">
      <c r="B160" s="56" t="s">
        <v>4</v>
      </c>
      <c r="C160" s="54"/>
    </row>
    <row r="161" spans="2:3" s="2" customFormat="1" x14ac:dyDescent="0.35">
      <c r="B161" s="53" t="s">
        <v>134</v>
      </c>
      <c r="C161" s="54"/>
    </row>
    <row r="162" spans="2:3" s="2" customFormat="1" x14ac:dyDescent="0.35">
      <c r="B162" s="53" t="s">
        <v>135</v>
      </c>
      <c r="C162" s="54"/>
    </row>
    <row r="163" spans="2:3" s="2" customFormat="1" x14ac:dyDescent="0.35">
      <c r="B163" s="53" t="s">
        <v>136</v>
      </c>
      <c r="C163" s="54"/>
    </row>
    <row r="164" spans="2:3" s="2" customFormat="1" x14ac:dyDescent="0.35">
      <c r="B164" s="56" t="s">
        <v>8</v>
      </c>
      <c r="C164" s="54"/>
    </row>
    <row r="165" spans="2:3" s="2" customFormat="1" x14ac:dyDescent="0.35">
      <c r="B165" s="53" t="s">
        <v>9</v>
      </c>
      <c r="C165" s="54" t="s">
        <v>171</v>
      </c>
    </row>
    <row r="166" spans="2:3" s="2" customFormat="1" x14ac:dyDescent="0.35">
      <c r="B166" s="53" t="s">
        <v>85</v>
      </c>
      <c r="C166" s="54" t="s">
        <v>138</v>
      </c>
    </row>
    <row r="167" spans="2:3" s="2" customFormat="1" x14ac:dyDescent="0.35">
      <c r="B167" s="56" t="s">
        <v>91</v>
      </c>
      <c r="C167" s="54"/>
    </row>
    <row r="168" spans="2:3" s="2" customFormat="1" x14ac:dyDescent="0.35">
      <c r="B168" s="53" t="s">
        <v>92</v>
      </c>
      <c r="C168" s="54"/>
    </row>
    <row r="169" spans="2:3" s="2" customFormat="1" x14ac:dyDescent="0.35">
      <c r="B169" s="53" t="s">
        <v>93</v>
      </c>
      <c r="C169" s="54" t="s">
        <v>139</v>
      </c>
    </row>
    <row r="170" spans="2:3" s="2" customFormat="1" x14ac:dyDescent="0.35">
      <c r="B170" s="102" t="s">
        <v>95</v>
      </c>
      <c r="C170" s="103"/>
    </row>
    <row r="171" spans="2:3" s="2" customFormat="1" x14ac:dyDescent="0.35">
      <c r="B171" s="53" t="s">
        <v>172</v>
      </c>
      <c r="C171" s="54" t="s">
        <v>173</v>
      </c>
    </row>
    <row r="172" spans="2:3" s="2" customFormat="1" x14ac:dyDescent="0.35">
      <c r="B172" s="53" t="s">
        <v>174</v>
      </c>
      <c r="C172" s="54" t="s">
        <v>175</v>
      </c>
    </row>
    <row r="173" spans="2:3" s="2" customFormat="1" x14ac:dyDescent="0.35">
      <c r="B173" s="53" t="s">
        <v>176</v>
      </c>
      <c r="C173" s="54" t="s">
        <v>177</v>
      </c>
    </row>
    <row r="174" spans="2:3" s="2" customFormat="1" x14ac:dyDescent="0.35">
      <c r="B174" s="53" t="s">
        <v>178</v>
      </c>
      <c r="C174" s="54" t="s">
        <v>179</v>
      </c>
    </row>
    <row r="175" spans="2:3" s="2" customFormat="1" x14ac:dyDescent="0.35">
      <c r="B175" s="102" t="s">
        <v>155</v>
      </c>
      <c r="C175" s="103"/>
    </row>
    <row r="176" spans="2:3" s="2" customFormat="1" x14ac:dyDescent="0.35">
      <c r="B176" s="53" t="s">
        <v>180</v>
      </c>
      <c r="C176" s="54" t="s">
        <v>181</v>
      </c>
    </row>
    <row r="177" spans="2:3" s="2" customFormat="1" x14ac:dyDescent="0.35">
      <c r="B177" s="53" t="s">
        <v>159</v>
      </c>
      <c r="C177" s="54"/>
    </row>
    <row r="178" spans="2:3" s="2" customFormat="1" x14ac:dyDescent="0.35">
      <c r="B178" s="53" t="s">
        <v>182</v>
      </c>
      <c r="C178" s="54"/>
    </row>
    <row r="179" spans="2:3" s="2" customFormat="1" x14ac:dyDescent="0.35">
      <c r="B179" s="53" t="s">
        <v>183</v>
      </c>
      <c r="C179" s="54"/>
    </row>
    <row r="180" spans="2:3" s="2" customFormat="1" x14ac:dyDescent="0.35">
      <c r="B180" s="102" t="s">
        <v>115</v>
      </c>
      <c r="C180" s="103"/>
    </row>
    <row r="181" spans="2:3" s="2" customFormat="1" x14ac:dyDescent="0.35">
      <c r="B181" s="53" t="s">
        <v>160</v>
      </c>
      <c r="C181" s="54"/>
    </row>
    <row r="182" spans="2:3" s="2" customFormat="1" x14ac:dyDescent="0.35">
      <c r="B182" s="55" t="s">
        <v>184</v>
      </c>
      <c r="C182" s="54"/>
    </row>
    <row r="183" spans="2:3" s="2" customFormat="1" x14ac:dyDescent="0.35">
      <c r="B183" s="102" t="s">
        <v>163</v>
      </c>
      <c r="C183" s="103"/>
    </row>
    <row r="184" spans="2:3" s="2" customFormat="1" ht="32" x14ac:dyDescent="0.35">
      <c r="B184" s="55" t="s">
        <v>185</v>
      </c>
      <c r="C184" s="54"/>
    </row>
    <row r="185" spans="2:3" s="2" customFormat="1" x14ac:dyDescent="0.35">
      <c r="B185" s="59" t="s">
        <v>186</v>
      </c>
      <c r="C185" s="54"/>
    </row>
    <row r="186" spans="2:3" s="2" customFormat="1" x14ac:dyDescent="0.35">
      <c r="B186" s="59" t="s">
        <v>187</v>
      </c>
      <c r="C186" s="58"/>
    </row>
    <row r="187" spans="2:3" s="2" customFormat="1" x14ac:dyDescent="0.35">
      <c r="B187" s="102" t="s">
        <v>165</v>
      </c>
      <c r="C187" s="103"/>
    </row>
    <row r="188" spans="2:3" s="2" customFormat="1" ht="32" x14ac:dyDescent="0.35">
      <c r="B188" s="55" t="s">
        <v>188</v>
      </c>
      <c r="C188" s="54"/>
    </row>
    <row r="189" spans="2:3" s="2" customFormat="1" x14ac:dyDescent="0.35">
      <c r="B189" s="53" t="s">
        <v>189</v>
      </c>
      <c r="C189" s="54"/>
    </row>
    <row r="190" spans="2:3" s="2" customFormat="1" x14ac:dyDescent="0.35">
      <c r="B190" s="102" t="s">
        <v>131</v>
      </c>
      <c r="C190" s="103"/>
    </row>
    <row r="191" spans="2:3" s="2" customFormat="1" x14ac:dyDescent="0.35">
      <c r="B191" s="53" t="s">
        <v>169</v>
      </c>
      <c r="C191" s="54" t="s">
        <v>190</v>
      </c>
    </row>
    <row r="192" spans="2:3" s="2" customFormat="1" ht="16.5" thickBot="1" x14ac:dyDescent="0.4">
      <c r="B192" s="52"/>
      <c r="C192" s="42"/>
    </row>
    <row r="193" s="2" customFormat="1" ht="16.5" thickTop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</sheetData>
  <mergeCells count="32">
    <mergeCell ref="B86:C86"/>
    <mergeCell ref="B89:C89"/>
    <mergeCell ref="B95:C95"/>
    <mergeCell ref="B108:C108"/>
    <mergeCell ref="B117:C117"/>
    <mergeCell ref="B14:C14"/>
    <mergeCell ref="B76:C76"/>
    <mergeCell ref="B21:C21"/>
    <mergeCell ref="B81:C81"/>
    <mergeCell ref="B18:C18"/>
    <mergeCell ref="B23:C23"/>
    <mergeCell ref="B27:C27"/>
    <mergeCell ref="B35:C35"/>
    <mergeCell ref="B40:C40"/>
    <mergeCell ref="B49:C49"/>
    <mergeCell ref="B50:C50"/>
    <mergeCell ref="B61:C61"/>
    <mergeCell ref="B68:C68"/>
    <mergeCell ref="B72:C72"/>
    <mergeCell ref="B77:C77"/>
    <mergeCell ref="B128:C128"/>
    <mergeCell ref="B140:C140"/>
    <mergeCell ref="B149:C149"/>
    <mergeCell ref="B151:C151"/>
    <mergeCell ref="B155:C155"/>
    <mergeCell ref="B190:C190"/>
    <mergeCell ref="B180:C180"/>
    <mergeCell ref="B159:C159"/>
    <mergeCell ref="B170:C170"/>
    <mergeCell ref="B175:C175"/>
    <mergeCell ref="B183:C183"/>
    <mergeCell ref="B187:C187"/>
  </mergeCells>
  <dataValidations count="3">
    <dataValidation type="list" allowBlank="1" showInputMessage="1" showErrorMessage="1" sqref="C13" xr:uid="{00000000-0002-0000-0000-000000000000}">
      <formula1>"GEO,ENG"</formula1>
    </dataValidation>
    <dataValidation type="list" allowBlank="1" showInputMessage="1" showErrorMessage="1" sqref="C15 C17" xr:uid="{00000000-0002-0000-0000-000001000000}">
      <formula1>"(GEL) ₾,(USD) $,(EUR) €"</formula1>
    </dataValidation>
    <dataValidation type="list" allowBlank="1" showInputMessage="1" showErrorMessage="1" sqref="C4" xr:uid="{00000000-0002-0000-0000-000002000000}">
      <formula1>$H$4:$H$7</formula1>
    </dataValidation>
  </dataValidations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1454"/>
  <sheetViews>
    <sheetView topLeftCell="A2" zoomScaleNormal="100" workbookViewId="0">
      <selection activeCell="H17" sqref="H17"/>
    </sheetView>
  </sheetViews>
  <sheetFormatPr defaultColWidth="8.90625" defaultRowHeight="16" x14ac:dyDescent="0.35"/>
  <cols>
    <col min="1" max="1" width="67" style="1" customWidth="1"/>
    <col min="2" max="2" width="17.08984375" style="1" customWidth="1"/>
    <col min="3" max="3" width="10.90625" style="1" customWidth="1"/>
    <col min="4" max="4" width="12.453125" style="2" bestFit="1" customWidth="1"/>
    <col min="5" max="5" width="14.26953125" style="2" bestFit="1" customWidth="1"/>
    <col min="6" max="6" width="6.54296875" style="2" customWidth="1"/>
    <col min="7" max="7" width="12.08984375" style="2" customWidth="1"/>
    <col min="8" max="8" width="27" style="2" customWidth="1"/>
    <col min="9" max="9" width="27.453125" style="2" customWidth="1"/>
    <col min="10" max="10" width="20.453125" style="2" customWidth="1"/>
    <col min="11" max="11" width="23.1796875" style="2" customWidth="1"/>
    <col min="12" max="12" width="21.90625" style="2" customWidth="1"/>
    <col min="13" max="13" width="26.1796875" style="2" customWidth="1"/>
    <col min="14" max="14" width="27.54296875" style="2" customWidth="1"/>
    <col min="15" max="15" width="16.90625" style="2" customWidth="1"/>
    <col min="16" max="43" width="8.90625" style="2"/>
    <col min="44" max="16384" width="8.90625" style="1"/>
  </cols>
  <sheetData>
    <row r="1" spans="1:5" x14ac:dyDescent="0.35">
      <c r="A1" s="117"/>
      <c r="B1" s="117" t="s">
        <v>209</v>
      </c>
      <c r="C1" s="117" t="str">
        <f>IF(ICMS!C13="GEO","რაოდ","Q-ty")</f>
        <v>რაოდ</v>
      </c>
      <c r="D1" s="117" t="s">
        <v>268</v>
      </c>
      <c r="E1" s="117" t="s">
        <v>266</v>
      </c>
    </row>
    <row r="2" spans="1:5" ht="37.25" customHeight="1" x14ac:dyDescent="0.35">
      <c r="A2" s="117"/>
      <c r="B2" s="117"/>
      <c r="C2" s="117"/>
      <c r="D2" s="117"/>
      <c r="E2" s="117"/>
    </row>
    <row r="3" spans="1:5" x14ac:dyDescent="0.35">
      <c r="A3" s="117"/>
      <c r="B3" s="117"/>
      <c r="C3" s="117"/>
      <c r="D3" s="117"/>
      <c r="E3" s="117"/>
    </row>
    <row r="4" spans="1:5" x14ac:dyDescent="0.35">
      <c r="A4" s="71">
        <v>3</v>
      </c>
      <c r="B4" s="71"/>
      <c r="C4" s="71">
        <v>6</v>
      </c>
      <c r="D4" s="127"/>
      <c r="E4" s="127"/>
    </row>
    <row r="5" spans="1:5" s="2" customFormat="1" x14ac:dyDescent="0.35">
      <c r="A5" s="84" t="s">
        <v>210</v>
      </c>
      <c r="B5" s="87"/>
      <c r="C5" s="88"/>
      <c r="D5" s="127"/>
      <c r="E5" s="127"/>
    </row>
    <row r="6" spans="1:5" s="2" customFormat="1" x14ac:dyDescent="0.35">
      <c r="A6" s="76" t="s">
        <v>212</v>
      </c>
      <c r="B6" s="74"/>
      <c r="C6" s="73">
        <v>1</v>
      </c>
      <c r="D6" s="127"/>
      <c r="E6" s="127">
        <f>D6*C6</f>
        <v>0</v>
      </c>
    </row>
    <row r="7" spans="1:5" s="2" customFormat="1" x14ac:dyDescent="0.35">
      <c r="A7" s="76" t="s">
        <v>222</v>
      </c>
      <c r="B7" s="73" t="s">
        <v>219</v>
      </c>
      <c r="C7" s="73">
        <v>7</v>
      </c>
      <c r="D7" s="127"/>
      <c r="E7" s="127">
        <f t="shared" ref="E7:E12" si="0">D7*C7</f>
        <v>0</v>
      </c>
    </row>
    <row r="8" spans="1:5" s="2" customFormat="1" x14ac:dyDescent="0.35">
      <c r="A8" s="76" t="s">
        <v>222</v>
      </c>
      <c r="B8" s="73" t="s">
        <v>218</v>
      </c>
      <c r="C8" s="73">
        <v>4</v>
      </c>
      <c r="D8" s="127"/>
      <c r="E8" s="127">
        <f t="shared" si="0"/>
        <v>0</v>
      </c>
    </row>
    <row r="9" spans="1:5" s="2" customFormat="1" x14ac:dyDescent="0.35">
      <c r="A9" s="76" t="s">
        <v>222</v>
      </c>
      <c r="B9" s="73" t="s">
        <v>217</v>
      </c>
      <c r="C9" s="73">
        <v>1</v>
      </c>
      <c r="D9" s="127"/>
      <c r="E9" s="127">
        <f t="shared" si="0"/>
        <v>0</v>
      </c>
    </row>
    <row r="10" spans="1:5" s="2" customFormat="1" x14ac:dyDescent="0.35">
      <c r="A10" s="76" t="s">
        <v>215</v>
      </c>
      <c r="B10" s="73" t="s">
        <v>216</v>
      </c>
      <c r="C10" s="73">
        <v>4</v>
      </c>
      <c r="D10" s="127"/>
      <c r="E10" s="127">
        <f t="shared" si="0"/>
        <v>0</v>
      </c>
    </row>
    <row r="11" spans="1:5" s="2" customFormat="1" x14ac:dyDescent="0.35">
      <c r="A11" s="77" t="s">
        <v>211</v>
      </c>
      <c r="B11" s="77"/>
      <c r="C11" s="79">
        <v>1</v>
      </c>
      <c r="D11" s="127"/>
      <c r="E11" s="127">
        <f t="shared" si="0"/>
        <v>0</v>
      </c>
    </row>
    <row r="12" spans="1:5" s="2" customFormat="1" x14ac:dyDescent="0.35">
      <c r="A12" s="75" t="s">
        <v>223</v>
      </c>
      <c r="B12" s="80"/>
      <c r="C12" s="73">
        <v>1</v>
      </c>
      <c r="D12" s="127"/>
      <c r="E12" s="127">
        <f t="shared" si="0"/>
        <v>0</v>
      </c>
    </row>
    <row r="13" spans="1:5" s="2" customFormat="1" x14ac:dyDescent="0.35">
      <c r="A13" s="75"/>
      <c r="B13" s="80"/>
      <c r="C13" s="73"/>
      <c r="D13" s="128">
        <f>SUM(E6:E12)</f>
        <v>0</v>
      </c>
      <c r="E13" s="128"/>
    </row>
    <row r="14" spans="1:5" s="2" customFormat="1" x14ac:dyDescent="0.35">
      <c r="A14" s="84" t="s">
        <v>213</v>
      </c>
      <c r="B14" s="85"/>
      <c r="C14" s="86"/>
      <c r="D14" s="127"/>
      <c r="E14" s="127"/>
    </row>
    <row r="15" spans="1:5" s="2" customFormat="1" x14ac:dyDescent="0.35">
      <c r="A15" s="76" t="s">
        <v>212</v>
      </c>
      <c r="B15" s="74"/>
      <c r="C15" s="73">
        <v>1</v>
      </c>
      <c r="D15" s="127"/>
      <c r="E15" s="127">
        <f>D15*C15</f>
        <v>0</v>
      </c>
    </row>
    <row r="16" spans="1:5" s="2" customFormat="1" x14ac:dyDescent="0.35">
      <c r="A16" s="77" t="s">
        <v>221</v>
      </c>
      <c r="B16" s="77"/>
      <c r="C16" s="79">
        <v>1</v>
      </c>
      <c r="D16" s="127"/>
      <c r="E16" s="127">
        <f t="shared" ref="E16:E18" si="1">D16*C16</f>
        <v>0</v>
      </c>
    </row>
    <row r="17" spans="1:6" s="2" customFormat="1" ht="81" x14ac:dyDescent="0.35">
      <c r="A17" s="83" t="s">
        <v>220</v>
      </c>
      <c r="B17" s="82"/>
      <c r="C17" s="79">
        <v>1</v>
      </c>
      <c r="D17" s="127"/>
      <c r="E17" s="127">
        <f>D17*C17</f>
        <v>0</v>
      </c>
    </row>
    <row r="18" spans="1:6" s="2" customFormat="1" x14ac:dyDescent="0.35">
      <c r="A18" s="78" t="s">
        <v>214</v>
      </c>
      <c r="B18" s="81"/>
      <c r="C18" s="73">
        <v>1</v>
      </c>
      <c r="D18" s="127"/>
      <c r="E18" s="127">
        <f t="shared" si="1"/>
        <v>0</v>
      </c>
    </row>
    <row r="19" spans="1:6" s="2" customFormat="1" x14ac:dyDescent="0.35">
      <c r="A19" s="78"/>
      <c r="B19" s="81"/>
      <c r="C19" s="73"/>
      <c r="D19" s="128">
        <f>SUM(E15:E18)</f>
        <v>0</v>
      </c>
      <c r="E19" s="128"/>
    </row>
    <row r="20" spans="1:6" s="2" customFormat="1" x14ac:dyDescent="0.35">
      <c r="A20" s="84" t="s">
        <v>228</v>
      </c>
      <c r="B20" s="87"/>
      <c r="C20" s="88"/>
      <c r="D20" s="127"/>
      <c r="E20" s="127"/>
    </row>
    <row r="21" spans="1:6" s="2" customFormat="1" x14ac:dyDescent="0.35">
      <c r="A21" s="76" t="s">
        <v>224</v>
      </c>
      <c r="B21" s="73" t="s">
        <v>225</v>
      </c>
      <c r="C21" s="73">
        <v>1</v>
      </c>
      <c r="D21" s="127"/>
      <c r="E21" s="127">
        <f>D21*C21</f>
        <v>0</v>
      </c>
    </row>
    <row r="22" spans="1:6" s="2" customFormat="1" x14ac:dyDescent="0.35">
      <c r="A22" s="76" t="s">
        <v>215</v>
      </c>
      <c r="B22" s="73" t="s">
        <v>216</v>
      </c>
      <c r="C22" s="73">
        <v>2</v>
      </c>
      <c r="D22" s="127"/>
      <c r="E22" s="127">
        <f t="shared" ref="E22:E25" si="2">D22*C22</f>
        <v>0</v>
      </c>
    </row>
    <row r="23" spans="1:6" s="2" customFormat="1" x14ac:dyDescent="0.35">
      <c r="A23" s="76" t="s">
        <v>215</v>
      </c>
      <c r="B23" s="73" t="s">
        <v>218</v>
      </c>
      <c r="C23" s="73">
        <v>1</v>
      </c>
      <c r="D23" s="127"/>
      <c r="E23" s="127">
        <f t="shared" si="2"/>
        <v>0</v>
      </c>
    </row>
    <row r="24" spans="1:6" s="2" customFormat="1" x14ac:dyDescent="0.35">
      <c r="A24" s="77" t="s">
        <v>226</v>
      </c>
      <c r="B24" s="77"/>
      <c r="C24" s="79">
        <v>1</v>
      </c>
      <c r="D24" s="127"/>
      <c r="E24" s="127">
        <f t="shared" si="2"/>
        <v>0</v>
      </c>
    </row>
    <row r="25" spans="1:6" s="2" customFormat="1" x14ac:dyDescent="0.35">
      <c r="A25" s="75" t="s">
        <v>227</v>
      </c>
      <c r="B25" s="80"/>
      <c r="C25" s="73">
        <v>1</v>
      </c>
      <c r="D25" s="127"/>
      <c r="E25" s="127">
        <f t="shared" si="2"/>
        <v>0</v>
      </c>
    </row>
    <row r="26" spans="1:6" s="2" customFormat="1" x14ac:dyDescent="0.35">
      <c r="A26" s="75"/>
      <c r="B26" s="80"/>
      <c r="C26" s="73"/>
      <c r="D26" s="128">
        <f>SUM(E21:E25)</f>
        <v>0</v>
      </c>
      <c r="E26" s="128"/>
    </row>
    <row r="27" spans="1:6" s="2" customFormat="1" x14ac:dyDescent="0.35">
      <c r="A27" s="75"/>
      <c r="B27" s="80"/>
      <c r="C27" s="73"/>
      <c r="D27" s="127"/>
      <c r="E27" s="127"/>
    </row>
    <row r="28" spans="1:6" s="2" customFormat="1" x14ac:dyDescent="0.35">
      <c r="A28" s="125" t="s">
        <v>269</v>
      </c>
      <c r="B28" s="72"/>
      <c r="C28" s="72"/>
      <c r="D28" s="128">
        <f>D26+D19+D13</f>
        <v>0</v>
      </c>
      <c r="E28" s="128"/>
      <c r="F28" s="126"/>
    </row>
    <row r="29" spans="1:6" s="2" customFormat="1" x14ac:dyDescent="0.35"/>
    <row r="30" spans="1:6" s="2" customFormat="1" x14ac:dyDescent="0.35"/>
    <row r="31" spans="1:6" s="2" customFormat="1" x14ac:dyDescent="0.35"/>
    <row r="32" spans="1:6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</sheetData>
  <mergeCells count="9">
    <mergeCell ref="D13:E13"/>
    <mergeCell ref="D19:E19"/>
    <mergeCell ref="D26:E26"/>
    <mergeCell ref="D28:E28"/>
    <mergeCell ref="A1:A3"/>
    <mergeCell ref="B1:B3"/>
    <mergeCell ref="C1:C3"/>
    <mergeCell ref="D1:D3"/>
    <mergeCell ref="E1:E3"/>
  </mergeCells>
  <phoneticPr fontId="30" type="noConversion"/>
  <pageMargins left="0.7" right="0.7" top="0.75" bottom="0.75" header="0.3" footer="0.3"/>
  <pageSetup paperSize="9" orientation="landscape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174B-479C-42AC-9FD2-FDFA0767F27F}">
  <dimension ref="A1:F44"/>
  <sheetViews>
    <sheetView tabSelected="1" zoomScaleNormal="100" workbookViewId="0">
      <pane ySplit="1" topLeftCell="A18" activePane="bottomLeft" state="frozen"/>
      <selection pane="bottomLeft" activeCell="E44" sqref="E44:F44"/>
    </sheetView>
  </sheetViews>
  <sheetFormatPr defaultColWidth="8.90625" defaultRowHeight="14.5" x14ac:dyDescent="0.35"/>
  <cols>
    <col min="1" max="1" width="3.1796875" bestFit="1" customWidth="1"/>
    <col min="2" max="2" width="92" style="91" customWidth="1"/>
    <col min="3" max="3" width="13.1796875" bestFit="1" customWidth="1"/>
    <col min="4" max="4" width="12.54296875" customWidth="1"/>
  </cols>
  <sheetData>
    <row r="1" spans="1:6" s="91" customFormat="1" ht="27" x14ac:dyDescent="0.35">
      <c r="A1" s="90"/>
      <c r="B1" s="98" t="s">
        <v>246</v>
      </c>
      <c r="C1" s="98" t="s">
        <v>264</v>
      </c>
      <c r="D1" s="98" t="s">
        <v>247</v>
      </c>
      <c r="E1" s="98" t="s">
        <v>265</v>
      </c>
      <c r="F1" s="98" t="s">
        <v>266</v>
      </c>
    </row>
    <row r="2" spans="1:6" x14ac:dyDescent="0.35">
      <c r="A2" s="92"/>
      <c r="B2" s="99" t="s">
        <v>260</v>
      </c>
      <c r="C2" s="118"/>
      <c r="D2" s="100"/>
      <c r="E2" s="120"/>
      <c r="F2" s="120"/>
    </row>
    <row r="3" spans="1:6" ht="27" x14ac:dyDescent="0.35">
      <c r="A3" s="92">
        <v>1</v>
      </c>
      <c r="B3" s="101" t="s">
        <v>245</v>
      </c>
      <c r="C3" s="118" t="s">
        <v>229</v>
      </c>
      <c r="D3" s="121">
        <v>3</v>
      </c>
      <c r="E3" s="122"/>
      <c r="F3" s="122">
        <f>E3*D3</f>
        <v>0</v>
      </c>
    </row>
    <row r="4" spans="1:6" ht="27" x14ac:dyDescent="0.35">
      <c r="A4" s="92">
        <v>2</v>
      </c>
      <c r="B4" s="101" t="s">
        <v>244</v>
      </c>
      <c r="C4" s="118" t="s">
        <v>229</v>
      </c>
      <c r="D4" s="121">
        <v>2</v>
      </c>
      <c r="E4" s="122"/>
      <c r="F4" s="122">
        <f t="shared" ref="F4:F15" si="0">E4*D4</f>
        <v>0</v>
      </c>
    </row>
    <row r="5" spans="1:6" x14ac:dyDescent="0.35">
      <c r="A5" s="92"/>
      <c r="B5" s="99" t="s">
        <v>262</v>
      </c>
      <c r="C5" s="118"/>
      <c r="D5" s="121"/>
      <c r="E5" s="122"/>
      <c r="F5" s="122">
        <f t="shared" si="0"/>
        <v>0</v>
      </c>
    </row>
    <row r="6" spans="1:6" ht="27" x14ac:dyDescent="0.35">
      <c r="A6" s="92">
        <v>3</v>
      </c>
      <c r="B6" s="101" t="s">
        <v>237</v>
      </c>
      <c r="C6" s="118" t="s">
        <v>229</v>
      </c>
      <c r="D6" s="121">
        <v>58</v>
      </c>
      <c r="E6" s="122"/>
      <c r="F6" s="122">
        <f t="shared" si="0"/>
        <v>0</v>
      </c>
    </row>
    <row r="7" spans="1:6" x14ac:dyDescent="0.35">
      <c r="A7" s="92"/>
      <c r="B7" s="99" t="s">
        <v>261</v>
      </c>
      <c r="C7" s="118"/>
      <c r="D7" s="121"/>
      <c r="E7" s="122"/>
      <c r="F7" s="122">
        <f t="shared" si="0"/>
        <v>0</v>
      </c>
    </row>
    <row r="8" spans="1:6" ht="27" x14ac:dyDescent="0.35">
      <c r="A8" s="92">
        <v>4</v>
      </c>
      <c r="B8" s="101" t="s">
        <v>243</v>
      </c>
      <c r="C8" s="118" t="s">
        <v>229</v>
      </c>
      <c r="D8" s="121">
        <v>14</v>
      </c>
      <c r="E8" s="122"/>
      <c r="F8" s="122">
        <f t="shared" si="0"/>
        <v>0</v>
      </c>
    </row>
    <row r="9" spans="1:6" ht="27" x14ac:dyDescent="0.35">
      <c r="A9" s="92">
        <v>5</v>
      </c>
      <c r="B9" s="101" t="s">
        <v>242</v>
      </c>
      <c r="C9" s="118" t="s">
        <v>229</v>
      </c>
      <c r="D9" s="121">
        <v>9</v>
      </c>
      <c r="E9" s="122"/>
      <c r="F9" s="122">
        <f t="shared" si="0"/>
        <v>0</v>
      </c>
    </row>
    <row r="10" spans="1:6" ht="27" x14ac:dyDescent="0.35">
      <c r="A10" s="92">
        <v>6</v>
      </c>
      <c r="B10" s="101" t="s">
        <v>241</v>
      </c>
      <c r="C10" s="118" t="s">
        <v>229</v>
      </c>
      <c r="D10" s="121">
        <v>16</v>
      </c>
      <c r="E10" s="122"/>
      <c r="F10" s="122">
        <f t="shared" si="0"/>
        <v>0</v>
      </c>
    </row>
    <row r="11" spans="1:6" ht="27" x14ac:dyDescent="0.35">
      <c r="A11" s="92">
        <v>7</v>
      </c>
      <c r="B11" s="101" t="s">
        <v>234</v>
      </c>
      <c r="C11" s="118" t="s">
        <v>229</v>
      </c>
      <c r="D11" s="121">
        <v>3</v>
      </c>
      <c r="E11" s="122"/>
      <c r="F11" s="122">
        <f t="shared" si="0"/>
        <v>0</v>
      </c>
    </row>
    <row r="12" spans="1:6" ht="27" x14ac:dyDescent="0.35">
      <c r="A12" s="92">
        <v>8</v>
      </c>
      <c r="B12" s="101" t="s">
        <v>240</v>
      </c>
      <c r="C12" s="118" t="s">
        <v>229</v>
      </c>
      <c r="D12" s="121">
        <v>2</v>
      </c>
      <c r="E12" s="122"/>
      <c r="F12" s="122">
        <f t="shared" si="0"/>
        <v>0</v>
      </c>
    </row>
    <row r="13" spans="1:6" ht="27" x14ac:dyDescent="0.35">
      <c r="A13" s="92">
        <v>9</v>
      </c>
      <c r="B13" s="101" t="s">
        <v>239</v>
      </c>
      <c r="C13" s="118" t="s">
        <v>229</v>
      </c>
      <c r="D13" s="121">
        <v>2</v>
      </c>
      <c r="E13" s="122"/>
      <c r="F13" s="122">
        <f t="shared" si="0"/>
        <v>0</v>
      </c>
    </row>
    <row r="14" spans="1:6" x14ac:dyDescent="0.35">
      <c r="A14" s="92">
        <v>10</v>
      </c>
      <c r="B14" s="101" t="s">
        <v>263</v>
      </c>
      <c r="C14" s="118" t="s">
        <v>229</v>
      </c>
      <c r="D14" s="121">
        <v>2</v>
      </c>
      <c r="E14" s="122"/>
      <c r="F14" s="122">
        <f t="shared" si="0"/>
        <v>0</v>
      </c>
    </row>
    <row r="15" spans="1:6" x14ac:dyDescent="0.35">
      <c r="A15" s="92">
        <v>11</v>
      </c>
      <c r="B15" s="101" t="s">
        <v>230</v>
      </c>
      <c r="C15" s="118" t="s">
        <v>229</v>
      </c>
      <c r="D15" s="121">
        <v>2</v>
      </c>
      <c r="E15" s="122"/>
      <c r="F15" s="122">
        <f t="shared" si="0"/>
        <v>0</v>
      </c>
    </row>
    <row r="16" spans="1:6" x14ac:dyDescent="0.35">
      <c r="A16" s="92"/>
      <c r="B16" s="101"/>
      <c r="C16" s="118"/>
      <c r="D16" s="121"/>
      <c r="E16" s="123">
        <f>SUM(F9:F15)</f>
        <v>0</v>
      </c>
      <c r="F16" s="123"/>
    </row>
    <row r="17" spans="1:6" x14ac:dyDescent="0.35">
      <c r="A17" s="92"/>
      <c r="B17" s="99" t="s">
        <v>238</v>
      </c>
      <c r="C17" s="118"/>
      <c r="D17" s="121"/>
      <c r="E17" s="122"/>
      <c r="F17" s="122"/>
    </row>
    <row r="18" spans="1:6" ht="27" x14ac:dyDescent="0.35">
      <c r="A18" s="92">
        <v>12</v>
      </c>
      <c r="B18" s="101" t="s">
        <v>237</v>
      </c>
      <c r="C18" s="118" t="s">
        <v>229</v>
      </c>
      <c r="D18" s="121">
        <v>13</v>
      </c>
      <c r="E18" s="122"/>
      <c r="F18" s="122">
        <f>E18*D18</f>
        <v>0</v>
      </c>
    </row>
    <row r="19" spans="1:6" ht="27" x14ac:dyDescent="0.35">
      <c r="A19" s="92">
        <v>13</v>
      </c>
      <c r="B19" s="101" t="s">
        <v>236</v>
      </c>
      <c r="C19" s="118" t="s">
        <v>229</v>
      </c>
      <c r="D19" s="121">
        <v>23</v>
      </c>
      <c r="E19" s="122"/>
      <c r="F19" s="122">
        <f t="shared" ref="F19:F25" si="1">E19*D19</f>
        <v>0</v>
      </c>
    </row>
    <row r="20" spans="1:6" ht="27" x14ac:dyDescent="0.35">
      <c r="A20" s="92">
        <v>14</v>
      </c>
      <c r="B20" s="101" t="s">
        <v>235</v>
      </c>
      <c r="C20" s="118" t="s">
        <v>229</v>
      </c>
      <c r="D20" s="121">
        <v>22</v>
      </c>
      <c r="E20" s="122"/>
      <c r="F20" s="122">
        <f t="shared" si="1"/>
        <v>0</v>
      </c>
    </row>
    <row r="21" spans="1:6" ht="27" x14ac:dyDescent="0.35">
      <c r="A21" s="92">
        <v>15</v>
      </c>
      <c r="B21" s="101" t="s">
        <v>234</v>
      </c>
      <c r="C21" s="118" t="s">
        <v>229</v>
      </c>
      <c r="D21" s="121">
        <v>5</v>
      </c>
      <c r="E21" s="122"/>
      <c r="F21" s="122">
        <f t="shared" si="1"/>
        <v>0</v>
      </c>
    </row>
    <row r="22" spans="1:6" ht="27" x14ac:dyDescent="0.35">
      <c r="A22" s="92">
        <v>16</v>
      </c>
      <c r="B22" s="101" t="s">
        <v>233</v>
      </c>
      <c r="C22" s="118" t="s">
        <v>229</v>
      </c>
      <c r="D22" s="121">
        <v>2</v>
      </c>
      <c r="E22" s="122"/>
      <c r="F22" s="122">
        <f t="shared" si="1"/>
        <v>0</v>
      </c>
    </row>
    <row r="23" spans="1:6" ht="27" x14ac:dyDescent="0.35">
      <c r="A23" s="92">
        <v>17</v>
      </c>
      <c r="B23" s="101" t="s">
        <v>232</v>
      </c>
      <c r="C23" s="118" t="s">
        <v>229</v>
      </c>
      <c r="D23" s="121">
        <v>2</v>
      </c>
      <c r="E23" s="122"/>
      <c r="F23" s="122">
        <f t="shared" si="1"/>
        <v>0</v>
      </c>
    </row>
    <row r="24" spans="1:6" x14ac:dyDescent="0.35">
      <c r="A24" s="92">
        <v>18</v>
      </c>
      <c r="B24" s="101" t="s">
        <v>231</v>
      </c>
      <c r="C24" s="118" t="s">
        <v>229</v>
      </c>
      <c r="D24" s="121">
        <v>2</v>
      </c>
      <c r="E24" s="122"/>
      <c r="F24" s="122">
        <f t="shared" si="1"/>
        <v>0</v>
      </c>
    </row>
    <row r="25" spans="1:6" x14ac:dyDescent="0.35">
      <c r="A25" s="92">
        <v>19</v>
      </c>
      <c r="B25" s="101" t="s">
        <v>230</v>
      </c>
      <c r="C25" s="118" t="s">
        <v>229</v>
      </c>
      <c r="D25" s="121">
        <v>2</v>
      </c>
      <c r="E25" s="122"/>
      <c r="F25" s="122">
        <f t="shared" si="1"/>
        <v>0</v>
      </c>
    </row>
    <row r="26" spans="1:6" x14ac:dyDescent="0.35">
      <c r="A26" s="93"/>
      <c r="B26" s="94"/>
      <c r="C26" s="93"/>
      <c r="D26" s="124"/>
      <c r="E26" s="123">
        <f>SUM(F18:F25)</f>
        <v>0</v>
      </c>
      <c r="F26" s="123"/>
    </row>
    <row r="27" spans="1:6" x14ac:dyDescent="0.35">
      <c r="A27" s="89"/>
      <c r="B27" s="95" t="s">
        <v>259</v>
      </c>
      <c r="C27" s="119"/>
      <c r="D27" s="124"/>
      <c r="E27" s="122"/>
      <c r="F27" s="122"/>
    </row>
    <row r="28" spans="1:6" ht="58" x14ac:dyDescent="0.35">
      <c r="A28" s="89">
        <v>20</v>
      </c>
      <c r="B28" s="96" t="s">
        <v>248</v>
      </c>
      <c r="C28" s="119" t="s">
        <v>229</v>
      </c>
      <c r="D28" s="124">
        <v>3</v>
      </c>
      <c r="E28" s="122"/>
      <c r="F28" s="122">
        <f>E28*D28</f>
        <v>0</v>
      </c>
    </row>
    <row r="29" spans="1:6" x14ac:dyDescent="0.35">
      <c r="A29" s="89">
        <v>21</v>
      </c>
      <c r="B29" s="97" t="s">
        <v>249</v>
      </c>
      <c r="C29" s="119" t="s">
        <v>250</v>
      </c>
      <c r="D29" s="124">
        <v>3</v>
      </c>
      <c r="E29" s="122"/>
      <c r="F29" s="122">
        <f>E29*D29</f>
        <v>0</v>
      </c>
    </row>
    <row r="30" spans="1:6" x14ac:dyDescent="0.35">
      <c r="A30" s="89"/>
      <c r="B30" s="97"/>
      <c r="C30" s="119"/>
      <c r="D30" s="124"/>
      <c r="E30" s="123">
        <f>SUM(F28:F29)</f>
        <v>0</v>
      </c>
      <c r="F30" s="123"/>
    </row>
    <row r="31" spans="1:6" x14ac:dyDescent="0.35">
      <c r="A31" s="89"/>
      <c r="B31" s="95" t="s">
        <v>251</v>
      </c>
      <c r="C31" s="119"/>
      <c r="D31" s="124"/>
      <c r="E31" s="122"/>
      <c r="F31" s="122"/>
    </row>
    <row r="32" spans="1:6" ht="58" x14ac:dyDescent="0.35">
      <c r="A32" s="89">
        <v>22</v>
      </c>
      <c r="B32" s="96" t="s">
        <v>252</v>
      </c>
      <c r="C32" s="119" t="s">
        <v>229</v>
      </c>
      <c r="D32" s="124">
        <v>1</v>
      </c>
      <c r="E32" s="122"/>
      <c r="F32" s="122">
        <f>E32*D32</f>
        <v>0</v>
      </c>
    </row>
    <row r="33" spans="1:6" ht="58" x14ac:dyDescent="0.35">
      <c r="A33" s="89">
        <v>23</v>
      </c>
      <c r="B33" s="96" t="s">
        <v>253</v>
      </c>
      <c r="C33" s="119" t="s">
        <v>229</v>
      </c>
      <c r="D33" s="124">
        <v>1</v>
      </c>
      <c r="E33" s="122"/>
      <c r="F33" s="122">
        <f t="shared" ref="F33:F35" si="2">E33*D33</f>
        <v>0</v>
      </c>
    </row>
    <row r="34" spans="1:6" ht="58" x14ac:dyDescent="0.35">
      <c r="A34" s="89">
        <v>24</v>
      </c>
      <c r="B34" s="96" t="s">
        <v>254</v>
      </c>
      <c r="C34" s="119" t="s">
        <v>229</v>
      </c>
      <c r="D34" s="124">
        <v>1</v>
      </c>
      <c r="E34" s="122"/>
      <c r="F34" s="122">
        <f t="shared" si="2"/>
        <v>0</v>
      </c>
    </row>
    <row r="35" spans="1:6" x14ac:dyDescent="0.35">
      <c r="A35" s="89">
        <v>25</v>
      </c>
      <c r="B35" s="97" t="s">
        <v>249</v>
      </c>
      <c r="C35" s="119" t="s">
        <v>250</v>
      </c>
      <c r="D35" s="124">
        <v>3</v>
      </c>
      <c r="E35" s="122"/>
      <c r="F35" s="122">
        <f t="shared" si="2"/>
        <v>0</v>
      </c>
    </row>
    <row r="36" spans="1:6" x14ac:dyDescent="0.35">
      <c r="A36" s="89"/>
      <c r="B36" s="97"/>
      <c r="C36" s="119"/>
      <c r="D36" s="124"/>
      <c r="E36" s="123">
        <f>SUM(F32:F35)</f>
        <v>0</v>
      </c>
      <c r="F36" s="123"/>
    </row>
    <row r="37" spans="1:6" x14ac:dyDescent="0.35">
      <c r="A37" s="89"/>
      <c r="B37" s="95" t="s">
        <v>255</v>
      </c>
      <c r="C37" s="119"/>
      <c r="D37" s="124"/>
      <c r="E37" s="122"/>
      <c r="F37" s="122"/>
    </row>
    <row r="38" spans="1:6" ht="58" x14ac:dyDescent="0.35">
      <c r="A38" s="89">
        <v>26</v>
      </c>
      <c r="B38" s="96" t="s">
        <v>256</v>
      </c>
      <c r="C38" s="119" t="s">
        <v>229</v>
      </c>
      <c r="D38" s="124">
        <v>1</v>
      </c>
      <c r="E38" s="122"/>
      <c r="F38" s="122">
        <f>E38*D38</f>
        <v>0</v>
      </c>
    </row>
    <row r="39" spans="1:6" ht="58" x14ac:dyDescent="0.35">
      <c r="A39" s="89">
        <v>27</v>
      </c>
      <c r="B39" s="96" t="s">
        <v>257</v>
      </c>
      <c r="C39" s="119" t="s">
        <v>229</v>
      </c>
      <c r="D39" s="124">
        <v>1</v>
      </c>
      <c r="E39" s="122"/>
      <c r="F39" s="122">
        <f t="shared" ref="F39:F41" si="3">E39*D39</f>
        <v>0</v>
      </c>
    </row>
    <row r="40" spans="1:6" ht="58" x14ac:dyDescent="0.35">
      <c r="A40" s="89">
        <v>28</v>
      </c>
      <c r="B40" s="96" t="s">
        <v>258</v>
      </c>
      <c r="C40" s="119" t="s">
        <v>229</v>
      </c>
      <c r="D40" s="124">
        <v>1</v>
      </c>
      <c r="E40" s="122"/>
      <c r="F40" s="122">
        <f t="shared" si="3"/>
        <v>0</v>
      </c>
    </row>
    <row r="41" spans="1:6" x14ac:dyDescent="0.35">
      <c r="A41" s="129">
        <v>29</v>
      </c>
      <c r="B41" s="130" t="s">
        <v>249</v>
      </c>
      <c r="C41" s="131" t="s">
        <v>250</v>
      </c>
      <c r="D41" s="132">
        <v>3</v>
      </c>
      <c r="E41" s="133"/>
      <c r="F41" s="133">
        <f t="shared" si="3"/>
        <v>0</v>
      </c>
    </row>
    <row r="42" spans="1:6" x14ac:dyDescent="0.35">
      <c r="A42" s="120"/>
      <c r="B42" s="134"/>
      <c r="C42" s="120"/>
      <c r="D42" s="122"/>
      <c r="E42" s="123">
        <f>SUM(F38:F41)</f>
        <v>0</v>
      </c>
      <c r="F42" s="123"/>
    </row>
    <row r="43" spans="1:6" x14ac:dyDescent="0.35">
      <c r="A43" s="120"/>
      <c r="B43" s="134"/>
      <c r="C43" s="120"/>
      <c r="D43" s="122"/>
      <c r="E43" s="135"/>
      <c r="F43" s="135"/>
    </row>
    <row r="44" spans="1:6" x14ac:dyDescent="0.35">
      <c r="A44" s="120"/>
      <c r="B44" s="136" t="s">
        <v>267</v>
      </c>
      <c r="C44" s="120"/>
      <c r="D44" s="122"/>
      <c r="E44" s="123">
        <f>E42+E36+E30+E26+E16</f>
        <v>0</v>
      </c>
      <c r="F44" s="123"/>
    </row>
  </sheetData>
  <autoFilter ref="A1:D1" xr:uid="{A8B3174B-479C-42AC-9FD2-FDFA0767F27F}"/>
  <mergeCells count="6">
    <mergeCell ref="E16:F16"/>
    <mergeCell ref="E26:F26"/>
    <mergeCell ref="E30:F30"/>
    <mergeCell ref="E36:F36"/>
    <mergeCell ref="E44:F44"/>
    <mergeCell ref="E42:F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BL1688"/>
  <sheetViews>
    <sheetView zoomScale="55" zoomScaleNormal="55" workbookViewId="0">
      <selection activeCell="C16" sqref="C16:C17"/>
    </sheetView>
  </sheetViews>
  <sheetFormatPr defaultColWidth="8.90625" defaultRowHeight="16" x14ac:dyDescent="0.35"/>
  <cols>
    <col min="1" max="1" width="10.6328125" style="1" customWidth="1"/>
    <col min="2" max="2" width="20.6328125" style="1" customWidth="1"/>
    <col min="3" max="3" width="80.6328125" style="1" customWidth="1"/>
    <col min="4" max="4" width="8.6328125" style="1" customWidth="1"/>
    <col min="5" max="5" width="10.6328125" style="1" customWidth="1"/>
    <col min="6" max="6" width="12.6328125" style="1" customWidth="1"/>
    <col min="7" max="7" width="15.6328125" style="1" customWidth="1"/>
    <col min="8" max="8" width="22.6328125" style="1" customWidth="1"/>
    <col min="9" max="9" width="15.6328125" style="1" customWidth="1"/>
    <col min="10" max="10" width="22.6328125" style="1" customWidth="1"/>
    <col min="11" max="11" width="15.6328125" style="1" customWidth="1"/>
    <col min="12" max="13" width="22.6328125" style="1" customWidth="1"/>
    <col min="14" max="14" width="23.453125" style="1" customWidth="1"/>
    <col min="15" max="64" width="8.90625" style="2"/>
    <col min="65" max="16384" width="8.90625" style="1"/>
  </cols>
  <sheetData>
    <row r="1" spans="1:14" s="2" customFormat="1" ht="53" customHeight="1" x14ac:dyDescent="0.35">
      <c r="A1" s="35" t="str">
        <f>IF(ICMS!C13="GEO","პროექტის დასახელება: პროექტი 1","Project Name: Project 1")</f>
        <v>პროექტის დასახელება: პროექტი 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2" customFormat="1" ht="26.4" customHeight="1" x14ac:dyDescent="0.35">
      <c r="A2" s="5">
        <v>1.01</v>
      </c>
      <c r="B2" s="5" t="str">
        <f>IF(ICMS!C13="GEO","სადემონტაჟო და მოსამზადებელი სამუშაოები","Demolition, site preparation and formation")</f>
        <v>სადემონტაჟო და მოსამზადებელი სამუშაოები</v>
      </c>
    </row>
    <row r="3" spans="1:14" ht="25.25" customHeight="1" x14ac:dyDescent="0.35">
      <c r="A3" s="114" t="s">
        <v>0</v>
      </c>
      <c r="B3" s="109" t="str">
        <f>IF(ICMS!C13="GEO","ნახაზის კოდი","Drawing No.")</f>
        <v>ნახაზის კოდი</v>
      </c>
      <c r="C3" s="109" t="str">
        <f>IF(ICMS!C13="GEO","სამუშაოების დასახელება","Work Description")</f>
        <v>სამუშაოების დასახელება</v>
      </c>
      <c r="D3" s="116" t="str">
        <f>IF(ICMS!C13="GEO","განზ. ერთ.","Unit")</f>
        <v>განზ. ერთ.</v>
      </c>
      <c r="E3" s="109" t="str">
        <f>IF(ICMS!C13="GEO","ნორმატიული","Normative")</f>
        <v>ნორმატიული</v>
      </c>
      <c r="F3" s="109"/>
      <c r="G3" s="109" t="str">
        <f>IF(ICMS!C13="GEO","მასალა","Material")</f>
        <v>მასალა</v>
      </c>
      <c r="H3" s="109"/>
      <c r="I3" s="109" t="str">
        <f>IF(ICMS!C13="GEO","ხელფასი","Salary")</f>
        <v>ხელფასი</v>
      </c>
      <c r="J3" s="109"/>
      <c r="K3" s="109" t="str">
        <f>IF(ICMS!C13="GEO","მექანიზმი/ტრანსპორტი","Mechanism/Transportation")</f>
        <v>მექანიზმი/ტრანსპორტი</v>
      </c>
      <c r="L3" s="109"/>
      <c r="M3" s="109" t="str">
        <f>IF(ICMS!C13="GEO","სულ","Total")</f>
        <v>სულ</v>
      </c>
      <c r="N3" s="111" t="str">
        <f>IF(ICMS!C13="GEO","შენიშვნა","Remark")</f>
        <v>შენიშვნა</v>
      </c>
    </row>
    <row r="4" spans="1:14" ht="25.25" customHeight="1" x14ac:dyDescent="0.35">
      <c r="A4" s="115"/>
      <c r="B4" s="110"/>
      <c r="C4" s="110"/>
      <c r="D4" s="113"/>
      <c r="E4" s="113" t="str">
        <f>IF(ICMS!C13="GEO","ერთ.","Unit Rate")</f>
        <v>ერთ.</v>
      </c>
      <c r="F4" s="110" t="str">
        <f>IF(ICMS!C13="GEO","რაოდ","Q-ty")</f>
        <v>რაოდ</v>
      </c>
      <c r="G4" s="3" t="str">
        <f>IF(ICMS!C13="GEO","ერთ.","Unit")</f>
        <v>ერთ.</v>
      </c>
      <c r="H4" s="110" t="str">
        <f>IF(ICMS!C13="GEO","ჯამი","Sum")</f>
        <v>ჯამი</v>
      </c>
      <c r="I4" s="3" t="str">
        <f>IF(ICMS!C13="GEO","ერთ.","Unit")</f>
        <v>ერთ.</v>
      </c>
      <c r="J4" s="110" t="str">
        <f>IF(ICMS!C13="GEO","ჯამი","Sum")</f>
        <v>ჯამი</v>
      </c>
      <c r="K4" s="3" t="str">
        <f>IF(ICMS!C13="GEO","ერთ.","Unit")</f>
        <v>ერთ.</v>
      </c>
      <c r="L4" s="110" t="str">
        <f>IF(ICMS!C13="GEO","ჯამი","Sum")</f>
        <v>ჯამი</v>
      </c>
      <c r="M4" s="110"/>
      <c r="N4" s="112"/>
    </row>
    <row r="5" spans="1:14" ht="24.65" customHeight="1" x14ac:dyDescent="0.35">
      <c r="A5" s="115"/>
      <c r="B5" s="110"/>
      <c r="C5" s="110"/>
      <c r="D5" s="113"/>
      <c r="E5" s="113"/>
      <c r="F5" s="110"/>
      <c r="G5" s="3" t="str">
        <f>IF(ICMS!C13="GEO","ფასი","Price")</f>
        <v>ფასი</v>
      </c>
      <c r="H5" s="110"/>
      <c r="I5" s="3" t="str">
        <f>IF(ICMS!C13="GEO","ფასი","Price")</f>
        <v>ფასი</v>
      </c>
      <c r="J5" s="110"/>
      <c r="K5" s="3" t="str">
        <f>IF(ICMS!C13="GEO","ფასი","Price")</f>
        <v>ფასი</v>
      </c>
      <c r="L5" s="110"/>
      <c r="M5" s="110"/>
      <c r="N5" s="112"/>
    </row>
    <row r="6" spans="1:14" ht="25.25" customHeight="1" x14ac:dyDescent="0.35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2">
        <v>14</v>
      </c>
    </row>
    <row r="7" spans="1:14" s="2" customFormat="1" ht="11" customHeight="1" x14ac:dyDescent="0.35"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35" customHeight="1" x14ac:dyDescent="0.35">
      <c r="A8" s="37">
        <v>1</v>
      </c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spans="1:14" ht="25.25" customHeight="1" x14ac:dyDescent="0.35">
      <c r="A9" s="60"/>
      <c r="B9" s="61"/>
      <c r="C9" s="33"/>
      <c r="D9" s="26"/>
      <c r="E9" s="26"/>
      <c r="F9" s="26"/>
      <c r="G9" s="25"/>
      <c r="H9" s="24"/>
      <c r="I9" s="25"/>
      <c r="J9" s="24"/>
      <c r="K9" s="25"/>
      <c r="L9" s="24"/>
      <c r="M9" s="25"/>
      <c r="N9" s="62"/>
    </row>
    <row r="10" spans="1:14" ht="25.25" customHeight="1" x14ac:dyDescent="0.35">
      <c r="A10" s="60"/>
      <c r="B10" s="61"/>
      <c r="C10" s="33"/>
      <c r="D10" s="26"/>
      <c r="E10" s="26"/>
      <c r="F10" s="26"/>
      <c r="G10" s="25"/>
      <c r="H10" s="24"/>
      <c r="I10" s="25"/>
      <c r="J10" s="24"/>
      <c r="K10" s="25"/>
      <c r="L10" s="24"/>
      <c r="M10" s="25"/>
      <c r="N10" s="48"/>
    </row>
    <row r="11" spans="1:14" ht="25.25" customHeight="1" x14ac:dyDescent="0.35">
      <c r="A11" s="60"/>
      <c r="B11" s="61"/>
      <c r="C11" s="33"/>
      <c r="D11" s="26"/>
      <c r="E11" s="26"/>
      <c r="F11" s="26"/>
      <c r="G11" s="25"/>
      <c r="H11" s="24"/>
      <c r="I11" s="25"/>
      <c r="J11" s="24"/>
      <c r="K11" s="25"/>
      <c r="L11" s="24"/>
      <c r="M11" s="25"/>
      <c r="N11" s="48"/>
    </row>
    <row r="12" spans="1:14" ht="25.25" customHeight="1" x14ac:dyDescent="0.35">
      <c r="A12" s="60"/>
      <c r="B12" s="61"/>
      <c r="C12" s="33"/>
      <c r="D12" s="26"/>
      <c r="E12" s="26"/>
      <c r="F12" s="26"/>
      <c r="G12" s="25"/>
      <c r="H12" s="24"/>
      <c r="I12" s="25"/>
      <c r="J12" s="24"/>
      <c r="K12" s="25"/>
      <c r="L12" s="24"/>
      <c r="M12" s="25"/>
      <c r="N12" s="48"/>
    </row>
    <row r="13" spans="1:14" ht="25.25" customHeight="1" x14ac:dyDescent="0.35">
      <c r="A13" s="60"/>
      <c r="B13" s="61"/>
      <c r="C13" s="33"/>
      <c r="D13" s="26"/>
      <c r="E13" s="26"/>
      <c r="F13" s="26"/>
      <c r="G13" s="25"/>
      <c r="H13" s="24"/>
      <c r="I13" s="25"/>
      <c r="J13" s="24"/>
      <c r="K13" s="25"/>
      <c r="L13" s="24"/>
      <c r="M13" s="25"/>
      <c r="N13" s="48"/>
    </row>
    <row r="14" spans="1:14" ht="25.25" customHeight="1" x14ac:dyDescent="0.35">
      <c r="A14" s="60"/>
      <c r="B14" s="61"/>
      <c r="C14" s="33"/>
      <c r="D14" s="26"/>
      <c r="E14" s="26"/>
      <c r="F14" s="26"/>
      <c r="G14" s="25"/>
      <c r="H14" s="24"/>
      <c r="I14" s="25"/>
      <c r="J14" s="24"/>
      <c r="K14" s="25"/>
      <c r="L14" s="24"/>
      <c r="M14" s="25"/>
      <c r="N14" s="48"/>
    </row>
    <row r="15" spans="1:14" ht="25.25" customHeight="1" x14ac:dyDescent="0.35">
      <c r="A15" s="60"/>
      <c r="B15" s="61"/>
      <c r="C15" s="33"/>
      <c r="D15" s="26"/>
      <c r="E15" s="26"/>
      <c r="F15" s="26"/>
      <c r="G15" s="25"/>
      <c r="H15" s="24"/>
      <c r="I15" s="25"/>
      <c r="J15" s="24"/>
      <c r="K15" s="25"/>
      <c r="L15" s="24"/>
      <c r="M15" s="25"/>
      <c r="N15" s="48"/>
    </row>
    <row r="16" spans="1:14" ht="25.25" customHeight="1" x14ac:dyDescent="0.35">
      <c r="A16" s="60"/>
      <c r="B16" s="61"/>
      <c r="C16" s="33"/>
      <c r="D16" s="26"/>
      <c r="E16" s="26"/>
      <c r="F16" s="26"/>
      <c r="G16" s="25"/>
      <c r="H16" s="24"/>
      <c r="I16" s="25"/>
      <c r="J16" s="24"/>
      <c r="K16" s="25"/>
      <c r="L16" s="24"/>
      <c r="M16" s="25"/>
      <c r="N16" s="48"/>
    </row>
    <row r="17" spans="1:14" ht="25.25" customHeight="1" x14ac:dyDescent="0.35">
      <c r="A17" s="60"/>
      <c r="B17" s="61"/>
      <c r="C17" s="33"/>
      <c r="D17" s="26"/>
      <c r="E17" s="26"/>
      <c r="F17" s="26"/>
      <c r="G17" s="25"/>
      <c r="H17" s="24"/>
      <c r="I17" s="25"/>
      <c r="J17" s="24"/>
      <c r="K17" s="25"/>
      <c r="L17" s="24"/>
      <c r="M17" s="25"/>
      <c r="N17" s="48"/>
    </row>
    <row r="18" spans="1:14" ht="25.25" customHeight="1" x14ac:dyDescent="0.35">
      <c r="A18" s="60"/>
      <c r="B18" s="61"/>
      <c r="C18" s="33"/>
      <c r="D18" s="26"/>
      <c r="E18" s="47"/>
      <c r="F18" s="47"/>
      <c r="G18" s="25"/>
      <c r="H18" s="24"/>
      <c r="I18" s="46"/>
      <c r="J18" s="27"/>
      <c r="K18" s="46"/>
      <c r="L18" s="27"/>
      <c r="M18" s="25"/>
      <c r="N18" s="49"/>
    </row>
    <row r="19" spans="1:14" ht="25.25" customHeight="1" x14ac:dyDescent="0.35">
      <c r="A19" s="60"/>
      <c r="B19" s="61"/>
      <c r="C19" s="63"/>
      <c r="D19" s="64"/>
      <c r="E19" s="47"/>
      <c r="F19" s="47"/>
      <c r="G19" s="46"/>
      <c r="H19" s="24"/>
      <c r="I19" s="46"/>
      <c r="J19" s="27"/>
      <c r="K19" s="46"/>
      <c r="L19" s="27"/>
      <c r="M19" s="65"/>
      <c r="N19" s="49"/>
    </row>
    <row r="20" spans="1:14" ht="25.25" customHeight="1" x14ac:dyDescent="0.35">
      <c r="A20" s="60"/>
      <c r="B20" s="61"/>
      <c r="C20" s="63"/>
      <c r="D20" s="64"/>
      <c r="E20" s="64"/>
      <c r="F20" s="64"/>
      <c r="G20" s="46"/>
      <c r="H20" s="24"/>
      <c r="I20" s="46"/>
      <c r="J20" s="27"/>
      <c r="K20" s="46"/>
      <c r="L20" s="27"/>
      <c r="M20" s="65"/>
      <c r="N20" s="49"/>
    </row>
    <row r="21" spans="1:14" s="2" customFormat="1" ht="11" customHeight="1" x14ac:dyDescent="0.35">
      <c r="A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25.25" customHeight="1" x14ac:dyDescent="0.35">
      <c r="A22" s="38"/>
      <c r="B22" s="13"/>
      <c r="C22" s="14" t="str">
        <f>IF(ICMS!C13="GEO","ჯამი","Sum")</f>
        <v>ჯამი</v>
      </c>
      <c r="D22" s="15"/>
      <c r="E22" s="15"/>
      <c r="F22" s="15"/>
      <c r="G22" s="16"/>
      <c r="H22" s="16">
        <f>SUM(H8:H20)</f>
        <v>0</v>
      </c>
      <c r="I22" s="16"/>
      <c r="J22" s="16">
        <f>SUM(J8:J20)</f>
        <v>0</v>
      </c>
      <c r="K22" s="16"/>
      <c r="L22" s="16">
        <f>SUM(L8:L20)</f>
        <v>0</v>
      </c>
      <c r="M22" s="16">
        <f>L22+J22+H22</f>
        <v>0</v>
      </c>
      <c r="N22" s="17"/>
    </row>
    <row r="23" spans="1:14" ht="25.25" customHeight="1" x14ac:dyDescent="0.35">
      <c r="A23" s="39"/>
      <c r="B23" s="4"/>
      <c r="C23" s="3" t="str">
        <f>IF(ICMS!C13="GEO","ზედნადები ხარჯები","Overhead Cost")</f>
        <v>ზედნადები ხარჯები</v>
      </c>
      <c r="D23" s="7"/>
      <c r="E23" s="7"/>
      <c r="F23" s="8">
        <v>0.1</v>
      </c>
      <c r="G23" s="9"/>
      <c r="H23" s="9"/>
      <c r="I23" s="9"/>
      <c r="J23" s="9"/>
      <c r="K23" s="9"/>
      <c r="L23" s="9"/>
      <c r="M23" s="9">
        <f>ROUND(F23*M22,2)</f>
        <v>0</v>
      </c>
      <c r="N23" s="18"/>
    </row>
    <row r="24" spans="1:14" ht="25.25" customHeight="1" x14ac:dyDescent="0.35">
      <c r="A24" s="39"/>
      <c r="B24" s="4"/>
      <c r="C24" s="3" t="str">
        <f>IF(ICMS!C13="GEO","ჯამი","Sum")</f>
        <v>ჯამი</v>
      </c>
      <c r="D24" s="7"/>
      <c r="E24" s="7"/>
      <c r="F24" s="8"/>
      <c r="G24" s="9"/>
      <c r="H24" s="9"/>
      <c r="I24" s="9"/>
      <c r="J24" s="9"/>
      <c r="K24" s="9"/>
      <c r="L24" s="9"/>
      <c r="M24" s="9">
        <f>M23+M22</f>
        <v>0</v>
      </c>
      <c r="N24" s="18"/>
    </row>
    <row r="25" spans="1:14" ht="25.25" customHeight="1" x14ac:dyDescent="0.35">
      <c r="A25" s="39"/>
      <c r="B25" s="4"/>
      <c r="C25" s="3" t="str">
        <f>IF(ICMS!C13="GEO","გეგმიური დაგროვება","Profit")</f>
        <v>გეგმიური დაგროვება</v>
      </c>
      <c r="D25" s="7"/>
      <c r="E25" s="7"/>
      <c r="F25" s="8">
        <v>0.08</v>
      </c>
      <c r="G25" s="9"/>
      <c r="H25" s="9"/>
      <c r="I25" s="9"/>
      <c r="J25" s="9"/>
      <c r="K25" s="9"/>
      <c r="L25" s="9"/>
      <c r="M25" s="9">
        <f>ROUND(F25*M24,2)</f>
        <v>0</v>
      </c>
      <c r="N25" s="18"/>
    </row>
    <row r="26" spans="1:14" ht="25.25" customHeight="1" x14ac:dyDescent="0.35">
      <c r="A26" s="40"/>
      <c r="B26" s="19"/>
      <c r="C26" s="20" t="str">
        <f>IF(ICMS!C13="GEO","ჯამი","Sum")</f>
        <v>ჯამი</v>
      </c>
      <c r="D26" s="21"/>
      <c r="E26" s="21"/>
      <c r="F26" s="21"/>
      <c r="G26" s="22"/>
      <c r="H26" s="22"/>
      <c r="I26" s="22"/>
      <c r="J26" s="22"/>
      <c r="K26" s="22"/>
      <c r="L26" s="22"/>
      <c r="M26" s="22">
        <f>M25+M24</f>
        <v>0</v>
      </c>
      <c r="N26" s="23"/>
    </row>
    <row r="27" spans="1:14" s="2" customFormat="1" ht="25.25" customHeight="1" x14ac:dyDescent="0.35"/>
    <row r="28" spans="1:14" s="2" customFormat="1" ht="25.25" customHeight="1" x14ac:dyDescent="0.35"/>
    <row r="29" spans="1:14" s="2" customFormat="1" ht="25.25" customHeight="1" x14ac:dyDescent="0.35"/>
    <row r="30" spans="1:14" s="2" customFormat="1" ht="25.25" customHeight="1" x14ac:dyDescent="0.35"/>
    <row r="31" spans="1:14" s="2" customFormat="1" ht="25.25" customHeight="1" x14ac:dyDescent="0.35"/>
    <row r="32" spans="1:14" s="2" customFormat="1" ht="25.25" customHeight="1" x14ac:dyDescent="0.35"/>
    <row r="33" s="2" customFormat="1" ht="25.25" customHeight="1" x14ac:dyDescent="0.35"/>
    <row r="34" s="2" customFormat="1" ht="25.25" customHeight="1" x14ac:dyDescent="0.35"/>
    <row r="35" s="2" customFormat="1" ht="25.25" customHeight="1" x14ac:dyDescent="0.35"/>
    <row r="36" s="2" customFormat="1" ht="25.25" customHeight="1" x14ac:dyDescent="0.35"/>
    <row r="37" s="2" customFormat="1" ht="25.25" customHeight="1" x14ac:dyDescent="0.35"/>
    <row r="38" s="2" customFormat="1" ht="25.25" customHeight="1" x14ac:dyDescent="0.35"/>
    <row r="39" s="2" customFormat="1" ht="25.25" customHeight="1" x14ac:dyDescent="0.35"/>
    <row r="40" s="2" customFormat="1" ht="25.25" customHeigh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</sheetData>
  <mergeCells count="15">
    <mergeCell ref="A3:A5"/>
    <mergeCell ref="B3:B5"/>
    <mergeCell ref="C3:C5"/>
    <mergeCell ref="D3:D5"/>
    <mergeCell ref="E3:F3"/>
    <mergeCell ref="I3:J3"/>
    <mergeCell ref="K3:L3"/>
    <mergeCell ref="M3:M5"/>
    <mergeCell ref="N3:N5"/>
    <mergeCell ref="E4:E5"/>
    <mergeCell ref="F4:F5"/>
    <mergeCell ref="H4:H5"/>
    <mergeCell ref="J4:J5"/>
    <mergeCell ref="L4:L5"/>
    <mergeCell ref="G3:H3"/>
  </mergeCells>
  <pageMargins left="0.4" right="0.03" top="0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L1688"/>
  <sheetViews>
    <sheetView zoomScale="55" zoomScaleNormal="55" workbookViewId="0">
      <selection activeCell="C16" sqref="C16:C17"/>
    </sheetView>
  </sheetViews>
  <sheetFormatPr defaultColWidth="8.90625" defaultRowHeight="16" x14ac:dyDescent="0.35"/>
  <cols>
    <col min="1" max="1" width="10.6328125" style="1" customWidth="1"/>
    <col min="2" max="2" width="20.6328125" style="1" customWidth="1"/>
    <col min="3" max="3" width="80.6328125" style="1" customWidth="1"/>
    <col min="4" max="4" width="8.6328125" style="1" customWidth="1"/>
    <col min="5" max="5" width="10.6328125" style="1" customWidth="1"/>
    <col min="6" max="6" width="12.6328125" style="1" customWidth="1"/>
    <col min="7" max="7" width="15.6328125" style="1" customWidth="1"/>
    <col min="8" max="8" width="22.6328125" style="1" customWidth="1"/>
    <col min="9" max="9" width="15.6328125" style="1" customWidth="1"/>
    <col min="10" max="10" width="22.6328125" style="1" customWidth="1"/>
    <col min="11" max="11" width="15.6328125" style="1" customWidth="1"/>
    <col min="12" max="13" width="22.6328125" style="1" customWidth="1"/>
    <col min="14" max="14" width="23.453125" style="1" customWidth="1"/>
    <col min="15" max="64" width="8.90625" style="2"/>
    <col min="65" max="16384" width="8.90625" style="1"/>
  </cols>
  <sheetData>
    <row r="1" spans="1:14" s="2" customFormat="1" ht="53" customHeight="1" x14ac:dyDescent="0.35">
      <c r="A1" s="35" t="str">
        <f>'1.01_PRE'!A1</f>
        <v>პროექტის დასახელება: პროექტი 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2" customFormat="1" ht="26.4" customHeight="1" x14ac:dyDescent="0.35">
      <c r="A2" s="5">
        <v>1.02</v>
      </c>
      <c r="B2" s="5" t="str">
        <f>IF(ICMS!C13="GEO","მიწისქვეშა კონსტრუქციული სამუშაოები","Substructure")</f>
        <v>მიწისქვეშა კონსტრუქციული სამუშაოები</v>
      </c>
    </row>
    <row r="3" spans="1:14" ht="25.25" customHeight="1" x14ac:dyDescent="0.35">
      <c r="A3" s="114" t="s">
        <v>0</v>
      </c>
      <c r="B3" s="109" t="str">
        <f>IF(ICMS!C13="GEO","ნახაზის კოდი","Drawing No.")</f>
        <v>ნახაზის კოდი</v>
      </c>
      <c r="C3" s="109" t="str">
        <f>IF(ICMS!C13="GEO","სამუშაოების დასახელება","Work Description")</f>
        <v>სამუშაოების დასახელება</v>
      </c>
      <c r="D3" s="116" t="str">
        <f>IF(ICMS!C13="GEO","განზ. ერთ.","Unit")</f>
        <v>განზ. ერთ.</v>
      </c>
      <c r="E3" s="109" t="str">
        <f>IF(ICMS!C13="GEO","ნორმატიული","Normative")</f>
        <v>ნორმატიული</v>
      </c>
      <c r="F3" s="109"/>
      <c r="G3" s="109" t="str">
        <f>IF(ICMS!C13="GEO","მასალა","Material")</f>
        <v>მასალა</v>
      </c>
      <c r="H3" s="109"/>
      <c r="I3" s="109" t="str">
        <f>IF(ICMS!C13="GEO","ხელფასი","Salary")</f>
        <v>ხელფასი</v>
      </c>
      <c r="J3" s="109"/>
      <c r="K3" s="109" t="str">
        <f>IF(ICMS!C13="GEO","მექანიზმი/ტრანსპორტი","Mechanism/Transportation")</f>
        <v>მექანიზმი/ტრანსპორტი</v>
      </c>
      <c r="L3" s="109"/>
      <c r="M3" s="109" t="str">
        <f>IF(ICMS!C13="GEO","სულ","Total")</f>
        <v>სულ</v>
      </c>
      <c r="N3" s="111" t="str">
        <f>IF(ICMS!C13="GEO","შენიშვნა","Remark")</f>
        <v>შენიშვნა</v>
      </c>
    </row>
    <row r="4" spans="1:14" ht="25.25" customHeight="1" x14ac:dyDescent="0.35">
      <c r="A4" s="115"/>
      <c r="B4" s="110"/>
      <c r="C4" s="110"/>
      <c r="D4" s="113"/>
      <c r="E4" s="113" t="str">
        <f>IF(ICMS!C13="GEO","ერთ.","Unit Rate")</f>
        <v>ერთ.</v>
      </c>
      <c r="F4" s="110" t="str">
        <f>IF(ICMS!C13="GEO","რაოდ","Q-ty")</f>
        <v>რაოდ</v>
      </c>
      <c r="G4" s="3" t="str">
        <f>IF(ICMS!C13="GEO","ერთ.","Unit")</f>
        <v>ერთ.</v>
      </c>
      <c r="H4" s="110" t="str">
        <f>IF(ICMS!C13="GEO","ჯამი","Sum")</f>
        <v>ჯამი</v>
      </c>
      <c r="I4" s="3" t="str">
        <f>IF(ICMS!C13="GEO","ერთ.","Unit")</f>
        <v>ერთ.</v>
      </c>
      <c r="J4" s="110" t="str">
        <f>IF(ICMS!C13="GEO","ჯამი","Sum")</f>
        <v>ჯამი</v>
      </c>
      <c r="K4" s="3" t="str">
        <f>IF(ICMS!C13="GEO","ერთ.","Unit")</f>
        <v>ერთ.</v>
      </c>
      <c r="L4" s="110" t="str">
        <f>IF(ICMS!C13="GEO","ჯამი","Sum")</f>
        <v>ჯამი</v>
      </c>
      <c r="M4" s="110"/>
      <c r="N4" s="112"/>
    </row>
    <row r="5" spans="1:14" ht="24.65" customHeight="1" x14ac:dyDescent="0.35">
      <c r="A5" s="115"/>
      <c r="B5" s="110"/>
      <c r="C5" s="110"/>
      <c r="D5" s="113"/>
      <c r="E5" s="113"/>
      <c r="F5" s="110"/>
      <c r="G5" s="3" t="str">
        <f>IF(ICMS!C13="GEO","ფასი","Price")</f>
        <v>ფასი</v>
      </c>
      <c r="H5" s="110"/>
      <c r="I5" s="3" t="str">
        <f>IF(ICMS!C13="GEO","ფასი","Price")</f>
        <v>ფასი</v>
      </c>
      <c r="J5" s="110"/>
      <c r="K5" s="3" t="str">
        <f>IF(ICMS!C13="GEO","ფასი","Price")</f>
        <v>ფასი</v>
      </c>
      <c r="L5" s="110"/>
      <c r="M5" s="110"/>
      <c r="N5" s="112"/>
    </row>
    <row r="6" spans="1:14" ht="25.25" customHeight="1" x14ac:dyDescent="0.35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2">
        <v>14</v>
      </c>
    </row>
    <row r="7" spans="1:14" s="2" customFormat="1" ht="11" customHeight="1" x14ac:dyDescent="0.35"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35" customHeight="1" x14ac:dyDescent="0.35">
      <c r="A8" s="37">
        <v>1</v>
      </c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spans="1:14" ht="25.25" customHeight="1" x14ac:dyDescent="0.35">
      <c r="A9" s="60"/>
      <c r="B9" s="61"/>
      <c r="C9" s="33"/>
      <c r="D9" s="26"/>
      <c r="E9" s="26"/>
      <c r="F9" s="26"/>
      <c r="G9" s="25"/>
      <c r="H9" s="24"/>
      <c r="I9" s="25"/>
      <c r="J9" s="24"/>
      <c r="K9" s="25"/>
      <c r="L9" s="24"/>
      <c r="M9" s="24"/>
      <c r="N9" s="62"/>
    </row>
    <row r="10" spans="1:14" ht="25.25" customHeight="1" x14ac:dyDescent="0.35">
      <c r="A10" s="60"/>
      <c r="B10" s="61"/>
      <c r="C10" s="33"/>
      <c r="D10" s="26"/>
      <c r="E10" s="26"/>
      <c r="F10" s="26"/>
      <c r="G10" s="25"/>
      <c r="H10" s="24"/>
      <c r="I10" s="25"/>
      <c r="J10" s="24"/>
      <c r="K10" s="25"/>
      <c r="L10" s="24"/>
      <c r="M10" s="24"/>
      <c r="N10" s="48"/>
    </row>
    <row r="11" spans="1:14" ht="25.25" customHeight="1" x14ac:dyDescent="0.35">
      <c r="A11" s="60"/>
      <c r="B11" s="61"/>
      <c r="C11" s="33"/>
      <c r="D11" s="26"/>
      <c r="E11" s="26"/>
      <c r="F11" s="26"/>
      <c r="G11" s="25"/>
      <c r="H11" s="24"/>
      <c r="I11" s="25"/>
      <c r="J11" s="24"/>
      <c r="K11" s="25"/>
      <c r="L11" s="24"/>
      <c r="M11" s="24"/>
      <c r="N11" s="48"/>
    </row>
    <row r="12" spans="1:14" ht="25.25" customHeight="1" x14ac:dyDescent="0.35">
      <c r="A12" s="60"/>
      <c r="B12" s="61"/>
      <c r="C12" s="33"/>
      <c r="D12" s="26"/>
      <c r="E12" s="26"/>
      <c r="F12" s="26"/>
      <c r="G12" s="25"/>
      <c r="H12" s="24"/>
      <c r="I12" s="25"/>
      <c r="J12" s="24"/>
      <c r="K12" s="25"/>
      <c r="L12" s="24"/>
      <c r="M12" s="24"/>
      <c r="N12" s="48"/>
    </row>
    <row r="13" spans="1:14" ht="25.25" customHeight="1" x14ac:dyDescent="0.35">
      <c r="A13" s="60"/>
      <c r="B13" s="61"/>
      <c r="C13" s="33"/>
      <c r="D13" s="26"/>
      <c r="E13" s="26"/>
      <c r="F13" s="26"/>
      <c r="G13" s="25"/>
      <c r="H13" s="24"/>
      <c r="I13" s="25"/>
      <c r="J13" s="24"/>
      <c r="K13" s="25"/>
      <c r="L13" s="24"/>
      <c r="M13" s="24"/>
      <c r="N13" s="48"/>
    </row>
    <row r="14" spans="1:14" ht="25.25" customHeight="1" x14ac:dyDescent="0.35">
      <c r="A14" s="60"/>
      <c r="B14" s="61"/>
      <c r="C14" s="33"/>
      <c r="D14" s="26"/>
      <c r="E14" s="34"/>
      <c r="F14" s="26"/>
      <c r="G14" s="25"/>
      <c r="H14" s="24"/>
      <c r="I14" s="25"/>
      <c r="J14" s="24"/>
      <c r="K14" s="25"/>
      <c r="L14" s="24"/>
      <c r="M14" s="24"/>
      <c r="N14" s="48"/>
    </row>
    <row r="15" spans="1:14" ht="25.25" customHeight="1" x14ac:dyDescent="0.35">
      <c r="A15" s="60"/>
      <c r="B15" s="61"/>
      <c r="C15" s="63"/>
      <c r="D15" s="64"/>
      <c r="E15" s="64"/>
      <c r="F15" s="64"/>
      <c r="G15" s="46"/>
      <c r="H15" s="27"/>
      <c r="I15" s="46"/>
      <c r="J15" s="27"/>
      <c r="K15" s="46"/>
      <c r="L15" s="27"/>
      <c r="M15" s="28"/>
      <c r="N15" s="49"/>
    </row>
    <row r="16" spans="1:14" ht="25.25" customHeight="1" x14ac:dyDescent="0.35">
      <c r="A16" s="60"/>
      <c r="B16" s="61"/>
      <c r="C16" s="63"/>
      <c r="D16" s="64"/>
      <c r="E16" s="64"/>
      <c r="F16" s="64"/>
      <c r="G16" s="46"/>
      <c r="H16" s="27"/>
      <c r="I16" s="46"/>
      <c r="J16" s="27"/>
      <c r="K16" s="46"/>
      <c r="L16" s="27"/>
      <c r="M16" s="28"/>
      <c r="N16" s="49"/>
    </row>
    <row r="17" spans="1:14" ht="25.25" customHeight="1" x14ac:dyDescent="0.35">
      <c r="A17" s="60"/>
      <c r="B17" s="61"/>
      <c r="C17" s="63"/>
      <c r="D17" s="64"/>
      <c r="E17" s="64"/>
      <c r="F17" s="64"/>
      <c r="G17" s="46"/>
      <c r="H17" s="27"/>
      <c r="I17" s="46"/>
      <c r="J17" s="27"/>
      <c r="K17" s="46"/>
      <c r="L17" s="27"/>
      <c r="M17" s="28"/>
      <c r="N17" s="49"/>
    </row>
    <row r="18" spans="1:14" ht="25.25" customHeight="1" x14ac:dyDescent="0.35">
      <c r="A18" s="60"/>
      <c r="B18" s="61"/>
      <c r="C18" s="63"/>
      <c r="D18" s="64"/>
      <c r="E18" s="64"/>
      <c r="F18" s="64"/>
      <c r="G18" s="46"/>
      <c r="H18" s="27"/>
      <c r="I18" s="46"/>
      <c r="J18" s="27"/>
      <c r="K18" s="46"/>
      <c r="L18" s="27"/>
      <c r="M18" s="28"/>
      <c r="N18" s="49"/>
    </row>
    <row r="19" spans="1:14" ht="25.25" customHeight="1" x14ac:dyDescent="0.35">
      <c r="A19" s="60"/>
      <c r="B19" s="61"/>
      <c r="C19" s="63"/>
      <c r="D19" s="64"/>
      <c r="E19" s="64"/>
      <c r="F19" s="64"/>
      <c r="G19" s="46"/>
      <c r="H19" s="27"/>
      <c r="I19" s="46"/>
      <c r="J19" s="27"/>
      <c r="K19" s="46"/>
      <c r="L19" s="27"/>
      <c r="M19" s="28"/>
      <c r="N19" s="49"/>
    </row>
    <row r="20" spans="1:14" ht="25.25" customHeight="1" x14ac:dyDescent="0.35">
      <c r="A20" s="60"/>
      <c r="B20" s="61"/>
      <c r="C20" s="63"/>
      <c r="D20" s="64"/>
      <c r="E20" s="64"/>
      <c r="F20" s="64"/>
      <c r="G20" s="46"/>
      <c r="H20" s="27"/>
      <c r="I20" s="46"/>
      <c r="J20" s="27"/>
      <c r="K20" s="46"/>
      <c r="L20" s="27"/>
      <c r="M20" s="28"/>
      <c r="N20" s="49"/>
    </row>
    <row r="21" spans="1:14" s="2" customFormat="1" ht="11" customHeight="1" x14ac:dyDescent="0.35">
      <c r="A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25.25" customHeight="1" x14ac:dyDescent="0.35">
      <c r="A22" s="38"/>
      <c r="B22" s="13"/>
      <c r="C22" s="14" t="str">
        <f>IF(ICMS!C13="GEO","ჯამი","Sum")</f>
        <v>ჯამი</v>
      </c>
      <c r="D22" s="15"/>
      <c r="E22" s="15"/>
      <c r="F22" s="15"/>
      <c r="G22" s="16"/>
      <c r="H22" s="16">
        <f>SUM(H8:H20)</f>
        <v>0</v>
      </c>
      <c r="I22" s="16"/>
      <c r="J22" s="16">
        <f>SUM(J8:J20)</f>
        <v>0</v>
      </c>
      <c r="K22" s="16"/>
      <c r="L22" s="16">
        <f>SUM(L8:L20)</f>
        <v>0</v>
      </c>
      <c r="M22" s="16">
        <f>L22+J22+H22</f>
        <v>0</v>
      </c>
      <c r="N22" s="17"/>
    </row>
    <row r="23" spans="1:14" ht="25.25" customHeight="1" x14ac:dyDescent="0.35">
      <c r="A23" s="39"/>
      <c r="B23" s="4"/>
      <c r="C23" s="3" t="str">
        <f>IF(ICMS!C13="GEO","ზედნადები ხარჯები","Overhead Cost")</f>
        <v>ზედნადები ხარჯები</v>
      </c>
      <c r="D23" s="7"/>
      <c r="E23" s="7"/>
      <c r="F23" s="8">
        <v>0.1</v>
      </c>
      <c r="G23" s="9"/>
      <c r="H23" s="9"/>
      <c r="I23" s="9"/>
      <c r="J23" s="9"/>
      <c r="K23" s="9"/>
      <c r="L23" s="9"/>
      <c r="M23" s="9">
        <f>ROUND(F23*M22,2)</f>
        <v>0</v>
      </c>
      <c r="N23" s="18"/>
    </row>
    <row r="24" spans="1:14" ht="25.25" customHeight="1" x14ac:dyDescent="0.35">
      <c r="A24" s="39"/>
      <c r="B24" s="4"/>
      <c r="C24" s="3" t="str">
        <f>IF(ICMS!C13="GEO","ჯამი","Sum")</f>
        <v>ჯამი</v>
      </c>
      <c r="D24" s="7"/>
      <c r="E24" s="7"/>
      <c r="F24" s="8"/>
      <c r="G24" s="9"/>
      <c r="H24" s="9"/>
      <c r="I24" s="9"/>
      <c r="J24" s="9"/>
      <c r="K24" s="9"/>
      <c r="L24" s="9"/>
      <c r="M24" s="9">
        <f>M23+M22</f>
        <v>0</v>
      </c>
      <c r="N24" s="18"/>
    </row>
    <row r="25" spans="1:14" ht="25.25" customHeight="1" x14ac:dyDescent="0.35">
      <c r="A25" s="39"/>
      <c r="B25" s="4"/>
      <c r="C25" s="3" t="str">
        <f>IF(ICMS!C13="GEO","გეგმიური დაგროვება","Profit")</f>
        <v>გეგმიური დაგროვება</v>
      </c>
      <c r="D25" s="7"/>
      <c r="E25" s="7"/>
      <c r="F25" s="8">
        <v>0.08</v>
      </c>
      <c r="G25" s="9"/>
      <c r="H25" s="9"/>
      <c r="I25" s="9"/>
      <c r="J25" s="9"/>
      <c r="K25" s="9"/>
      <c r="L25" s="9"/>
      <c r="M25" s="9">
        <f>ROUND(F25*M24,2)</f>
        <v>0</v>
      </c>
      <c r="N25" s="18"/>
    </row>
    <row r="26" spans="1:14" ht="25.25" customHeight="1" x14ac:dyDescent="0.35">
      <c r="A26" s="40"/>
      <c r="B26" s="19"/>
      <c r="C26" s="20" t="str">
        <f>IF(ICMS!C13="GEO","ჯამი","Sum")</f>
        <v>ჯამი</v>
      </c>
      <c r="D26" s="21"/>
      <c r="E26" s="21"/>
      <c r="F26" s="21"/>
      <c r="G26" s="22"/>
      <c r="H26" s="22"/>
      <c r="I26" s="22"/>
      <c r="J26" s="22"/>
      <c r="K26" s="22"/>
      <c r="L26" s="22"/>
      <c r="M26" s="22">
        <f>M25+M24</f>
        <v>0</v>
      </c>
      <c r="N26" s="23"/>
    </row>
    <row r="27" spans="1:14" s="2" customFormat="1" ht="25.25" customHeight="1" x14ac:dyDescent="0.35"/>
    <row r="28" spans="1:14" s="2" customFormat="1" ht="25.25" customHeight="1" x14ac:dyDescent="0.35"/>
    <row r="29" spans="1:14" s="2" customFormat="1" ht="25.25" customHeight="1" x14ac:dyDescent="0.35"/>
    <row r="30" spans="1:14" s="2" customFormat="1" ht="25.25" customHeight="1" x14ac:dyDescent="0.35"/>
    <row r="31" spans="1:14" s="2" customFormat="1" ht="25.25" customHeight="1" x14ac:dyDescent="0.35"/>
    <row r="32" spans="1:14" s="2" customFormat="1" ht="25.25" customHeight="1" x14ac:dyDescent="0.35"/>
    <row r="33" s="2" customFormat="1" ht="25.25" customHeight="1" x14ac:dyDescent="0.35"/>
    <row r="34" s="2" customFormat="1" ht="25.25" customHeight="1" x14ac:dyDescent="0.35"/>
    <row r="35" s="2" customFormat="1" ht="25.25" customHeight="1" x14ac:dyDescent="0.35"/>
    <row r="36" s="2" customFormat="1" ht="25.25" customHeight="1" x14ac:dyDescent="0.35"/>
    <row r="37" s="2" customFormat="1" ht="25.25" customHeight="1" x14ac:dyDescent="0.35"/>
    <row r="38" s="2" customFormat="1" ht="25.25" customHeight="1" x14ac:dyDescent="0.35"/>
    <row r="39" s="2" customFormat="1" ht="25.25" customHeight="1" x14ac:dyDescent="0.35"/>
    <row r="40" s="2" customFormat="1" ht="25.25" customHeigh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</sheetData>
  <mergeCells count="15">
    <mergeCell ref="A3:A5"/>
    <mergeCell ref="C3:C5"/>
    <mergeCell ref="D3:D5"/>
    <mergeCell ref="G3:H3"/>
    <mergeCell ref="E3:F3"/>
    <mergeCell ref="N3:N5"/>
    <mergeCell ref="B3:B5"/>
    <mergeCell ref="M3:M5"/>
    <mergeCell ref="K3:L3"/>
    <mergeCell ref="E4:E5"/>
    <mergeCell ref="F4:F5"/>
    <mergeCell ref="H4:H5"/>
    <mergeCell ref="J4:J5"/>
    <mergeCell ref="L4:L5"/>
    <mergeCell ref="I3:J3"/>
  </mergeCells>
  <pageMargins left="0.4" right="0.03" top="0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BL1688"/>
  <sheetViews>
    <sheetView zoomScale="55" zoomScaleNormal="55" workbookViewId="0">
      <selection activeCell="C16" sqref="C16:C17"/>
    </sheetView>
  </sheetViews>
  <sheetFormatPr defaultColWidth="8.90625" defaultRowHeight="16" x14ac:dyDescent="0.35"/>
  <cols>
    <col min="1" max="1" width="10.6328125" style="1" customWidth="1"/>
    <col min="2" max="2" width="20.6328125" style="1" customWidth="1"/>
    <col min="3" max="3" width="80.6328125" style="1" customWidth="1"/>
    <col min="4" max="4" width="8.6328125" style="1" customWidth="1"/>
    <col min="5" max="5" width="10.6328125" style="1" customWidth="1"/>
    <col min="6" max="6" width="12.6328125" style="1" customWidth="1"/>
    <col min="7" max="7" width="15.6328125" style="1" customWidth="1"/>
    <col min="8" max="8" width="22.6328125" style="1" customWidth="1"/>
    <col min="9" max="9" width="15.6328125" style="1" customWidth="1"/>
    <col min="10" max="10" width="22.6328125" style="1" customWidth="1"/>
    <col min="11" max="11" width="15.6328125" style="1" customWidth="1"/>
    <col min="12" max="13" width="22.6328125" style="1" customWidth="1"/>
    <col min="14" max="14" width="23.453125" style="1" customWidth="1"/>
    <col min="15" max="64" width="8.90625" style="2"/>
    <col min="65" max="16384" width="8.90625" style="1"/>
  </cols>
  <sheetData>
    <row r="1" spans="1:14" s="2" customFormat="1" ht="53" customHeight="1" x14ac:dyDescent="0.35">
      <c r="A1" s="35" t="str">
        <f>'1.01_PRE'!A1</f>
        <v>პროექტის დასახელება: პროექტი 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2" customFormat="1" ht="26.4" customHeight="1" x14ac:dyDescent="0.35">
      <c r="A2" s="5">
        <v>1.03</v>
      </c>
      <c r="B2" s="5" t="str">
        <f>IF(ICMS!C13="GEO","მიწისზედა კონსტრუქციული სამუშაოები","Structure")</f>
        <v>მიწისზედა კონსტრუქციული სამუშაოები</v>
      </c>
    </row>
    <row r="3" spans="1:14" ht="25.25" customHeight="1" x14ac:dyDescent="0.35">
      <c r="A3" s="114" t="s">
        <v>0</v>
      </c>
      <c r="B3" s="109" t="str">
        <f>IF(ICMS!C13="GEO","ნახაზის კოდი","Drawing No.")</f>
        <v>ნახაზის კოდი</v>
      </c>
      <c r="C3" s="109" t="str">
        <f>IF(ICMS!C13="GEO","სამუშაოების დასახელება","Work Description")</f>
        <v>სამუშაოების დასახელება</v>
      </c>
      <c r="D3" s="116" t="str">
        <f>IF(ICMS!C13="GEO","განზ. ერთ.","Unit")</f>
        <v>განზ. ერთ.</v>
      </c>
      <c r="E3" s="109" t="str">
        <f>IF(ICMS!C13="GEO","ნორმატიული","Normative")</f>
        <v>ნორმატიული</v>
      </c>
      <c r="F3" s="109"/>
      <c r="G3" s="109" t="str">
        <f>IF(ICMS!C13="GEO","მასალა","Material")</f>
        <v>მასალა</v>
      </c>
      <c r="H3" s="109"/>
      <c r="I3" s="109" t="str">
        <f>IF(ICMS!C13="GEO","ხელფასი","Salary")</f>
        <v>ხელფასი</v>
      </c>
      <c r="J3" s="109"/>
      <c r="K3" s="109" t="str">
        <f>IF(ICMS!C13="GEO","მექანიზმი/ტრანსპორტი","Mechanism/Transportation")</f>
        <v>მექანიზმი/ტრანსპორტი</v>
      </c>
      <c r="L3" s="109"/>
      <c r="M3" s="109" t="str">
        <f>IF(ICMS!C13="GEO","სულ","Total")</f>
        <v>სულ</v>
      </c>
      <c r="N3" s="111" t="str">
        <f>IF(ICMS!C13="GEO","შენიშვნა","Remark")</f>
        <v>შენიშვნა</v>
      </c>
    </row>
    <row r="4" spans="1:14" ht="25.25" customHeight="1" x14ac:dyDescent="0.35">
      <c r="A4" s="115"/>
      <c r="B4" s="110"/>
      <c r="C4" s="110"/>
      <c r="D4" s="113"/>
      <c r="E4" s="113" t="str">
        <f>IF(ICMS!C13="GEO","ერთ.","Unit Rate")</f>
        <v>ერთ.</v>
      </c>
      <c r="F4" s="110" t="str">
        <f>IF(ICMS!C13="GEO","რაოდ","Q-ty")</f>
        <v>რაოდ</v>
      </c>
      <c r="G4" s="3" t="str">
        <f>IF(ICMS!C13="GEO","ერთ.","Unit")</f>
        <v>ერთ.</v>
      </c>
      <c r="H4" s="110" t="str">
        <f>IF(ICMS!C13="GEO","ჯამი","Sum")</f>
        <v>ჯამი</v>
      </c>
      <c r="I4" s="3" t="str">
        <f>IF(ICMS!C13="GEO","ერთ.","Unit")</f>
        <v>ერთ.</v>
      </c>
      <c r="J4" s="110" t="str">
        <f>IF(ICMS!C13="GEO","ჯამი","Sum")</f>
        <v>ჯამი</v>
      </c>
      <c r="K4" s="3" t="str">
        <f>IF(ICMS!C13="GEO","ერთ.","Unit")</f>
        <v>ერთ.</v>
      </c>
      <c r="L4" s="110" t="str">
        <f>IF(ICMS!C13="GEO","ჯამი","Sum")</f>
        <v>ჯამი</v>
      </c>
      <c r="M4" s="110"/>
      <c r="N4" s="112"/>
    </row>
    <row r="5" spans="1:14" ht="24.65" customHeight="1" x14ac:dyDescent="0.35">
      <c r="A5" s="115"/>
      <c r="B5" s="110"/>
      <c r="C5" s="110"/>
      <c r="D5" s="113"/>
      <c r="E5" s="113"/>
      <c r="F5" s="110"/>
      <c r="G5" s="3" t="str">
        <f>IF(ICMS!C13="GEO","ფასი","Price")</f>
        <v>ფასი</v>
      </c>
      <c r="H5" s="110"/>
      <c r="I5" s="3" t="str">
        <f>IF(ICMS!C13="GEO","ფასი","Price")</f>
        <v>ფასი</v>
      </c>
      <c r="J5" s="110"/>
      <c r="K5" s="3" t="str">
        <f>IF(ICMS!C13="GEO","ფასი","Price")</f>
        <v>ფასი</v>
      </c>
      <c r="L5" s="110"/>
      <c r="M5" s="110"/>
      <c r="N5" s="112"/>
    </row>
    <row r="6" spans="1:14" ht="25.25" customHeight="1" x14ac:dyDescent="0.35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2">
        <v>14</v>
      </c>
    </row>
    <row r="7" spans="1:14" s="2" customFormat="1" ht="11" customHeight="1" x14ac:dyDescent="0.35"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35" customHeight="1" x14ac:dyDescent="0.35">
      <c r="A8" s="37">
        <v>1</v>
      </c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spans="1:14" ht="25.25" customHeight="1" x14ac:dyDescent="0.35">
      <c r="A9" s="60"/>
      <c r="B9" s="66"/>
      <c r="C9" s="33"/>
      <c r="D9" s="26"/>
      <c r="E9" s="26"/>
      <c r="F9" s="67"/>
      <c r="G9" s="25"/>
      <c r="H9" s="24"/>
      <c r="I9" s="25"/>
      <c r="J9" s="24"/>
      <c r="K9" s="25"/>
      <c r="L9" s="24"/>
      <c r="M9" s="24"/>
      <c r="N9" s="62"/>
    </row>
    <row r="10" spans="1:14" ht="25.25" customHeight="1" x14ac:dyDescent="0.35">
      <c r="A10" s="60"/>
      <c r="B10" s="66"/>
      <c r="C10" s="33"/>
      <c r="D10" s="26"/>
      <c r="E10" s="26"/>
      <c r="F10" s="68"/>
      <c r="G10" s="25"/>
      <c r="H10" s="24"/>
      <c r="I10" s="25"/>
      <c r="J10" s="24"/>
      <c r="K10" s="25"/>
      <c r="L10" s="24"/>
      <c r="M10" s="24"/>
      <c r="N10" s="48"/>
    </row>
    <row r="11" spans="1:14" ht="24.65" customHeight="1" x14ac:dyDescent="0.35">
      <c r="A11" s="60"/>
      <c r="B11" s="66"/>
      <c r="C11" s="33"/>
      <c r="D11" s="26"/>
      <c r="E11" s="26"/>
      <c r="F11" s="68"/>
      <c r="G11" s="25"/>
      <c r="H11" s="24"/>
      <c r="I11" s="25"/>
      <c r="J11" s="24"/>
      <c r="K11" s="25"/>
      <c r="L11" s="24"/>
      <c r="M11" s="24"/>
      <c r="N11" s="48"/>
    </row>
    <row r="12" spans="1:14" ht="25.25" customHeight="1" x14ac:dyDescent="0.35">
      <c r="A12" s="60"/>
      <c r="B12" s="66"/>
      <c r="C12" s="33"/>
      <c r="D12" s="26"/>
      <c r="E12" s="26"/>
      <c r="F12" s="68"/>
      <c r="G12" s="25"/>
      <c r="H12" s="24"/>
      <c r="I12" s="25"/>
      <c r="J12" s="24"/>
      <c r="K12" s="25"/>
      <c r="L12" s="24"/>
      <c r="M12" s="24"/>
      <c r="N12" s="48"/>
    </row>
    <row r="13" spans="1:14" ht="25.25" customHeight="1" x14ac:dyDescent="0.35">
      <c r="A13" s="60"/>
      <c r="B13" s="66"/>
      <c r="C13" s="33"/>
      <c r="D13" s="26"/>
      <c r="E13" s="26"/>
      <c r="F13" s="68"/>
      <c r="G13" s="25"/>
      <c r="H13" s="24"/>
      <c r="I13" s="25"/>
      <c r="J13" s="24"/>
      <c r="K13" s="25"/>
      <c r="L13" s="24"/>
      <c r="M13" s="24"/>
      <c r="N13" s="48"/>
    </row>
    <row r="14" spans="1:14" ht="25.25" customHeight="1" x14ac:dyDescent="0.35">
      <c r="A14" s="60"/>
      <c r="B14" s="66"/>
      <c r="C14" s="33"/>
      <c r="D14" s="26"/>
      <c r="E14" s="34"/>
      <c r="F14" s="34"/>
      <c r="G14" s="25"/>
      <c r="H14" s="24"/>
      <c r="I14" s="25"/>
      <c r="J14" s="24"/>
      <c r="K14" s="25"/>
      <c r="L14" s="24"/>
      <c r="M14" s="24"/>
      <c r="N14" s="48"/>
    </row>
    <row r="15" spans="1:14" ht="25.25" customHeight="1" x14ac:dyDescent="0.35">
      <c r="A15" s="60"/>
      <c r="B15" s="66"/>
      <c r="C15" s="63"/>
      <c r="D15" s="64"/>
      <c r="E15" s="64"/>
      <c r="F15" s="64"/>
      <c r="G15" s="46"/>
      <c r="H15" s="27"/>
      <c r="I15" s="46"/>
      <c r="J15" s="27"/>
      <c r="K15" s="46"/>
      <c r="L15" s="27"/>
      <c r="M15" s="28"/>
      <c r="N15" s="49"/>
    </row>
    <row r="16" spans="1:14" ht="25.25" customHeight="1" x14ac:dyDescent="0.35">
      <c r="A16" s="60"/>
      <c r="B16" s="66"/>
      <c r="C16" s="63"/>
      <c r="D16" s="64"/>
      <c r="E16" s="64"/>
      <c r="F16" s="64"/>
      <c r="G16" s="46"/>
      <c r="H16" s="27"/>
      <c r="I16" s="46"/>
      <c r="J16" s="27"/>
      <c r="K16" s="46"/>
      <c r="L16" s="27"/>
      <c r="M16" s="28"/>
      <c r="N16" s="49"/>
    </row>
    <row r="17" spans="1:14" ht="25.25" customHeight="1" x14ac:dyDescent="0.35">
      <c r="A17" s="60"/>
      <c r="B17" s="66"/>
      <c r="C17" s="63"/>
      <c r="D17" s="64"/>
      <c r="E17" s="64"/>
      <c r="F17" s="64"/>
      <c r="G17" s="46"/>
      <c r="H17" s="27"/>
      <c r="I17" s="46"/>
      <c r="J17" s="27"/>
      <c r="K17" s="46"/>
      <c r="L17" s="27"/>
      <c r="M17" s="28"/>
      <c r="N17" s="49"/>
    </row>
    <row r="18" spans="1:14" ht="25.25" customHeight="1" x14ac:dyDescent="0.35">
      <c r="A18" s="60"/>
      <c r="B18" s="66"/>
      <c r="C18" s="63"/>
      <c r="D18" s="64"/>
      <c r="E18" s="64"/>
      <c r="F18" s="64"/>
      <c r="G18" s="46"/>
      <c r="H18" s="27"/>
      <c r="I18" s="46"/>
      <c r="J18" s="27"/>
      <c r="K18" s="46"/>
      <c r="L18" s="27"/>
      <c r="M18" s="28"/>
      <c r="N18" s="49"/>
    </row>
    <row r="19" spans="1:14" ht="25.25" customHeight="1" x14ac:dyDescent="0.35">
      <c r="A19" s="60"/>
      <c r="B19" s="66"/>
      <c r="C19" s="63"/>
      <c r="D19" s="64"/>
      <c r="E19" s="64"/>
      <c r="F19" s="64"/>
      <c r="G19" s="46"/>
      <c r="H19" s="27"/>
      <c r="I19" s="46"/>
      <c r="J19" s="27"/>
      <c r="K19" s="46"/>
      <c r="L19" s="27"/>
      <c r="M19" s="28"/>
      <c r="N19" s="49"/>
    </row>
    <row r="20" spans="1:14" ht="25.25" customHeight="1" x14ac:dyDescent="0.35">
      <c r="A20" s="60"/>
      <c r="B20" s="66"/>
      <c r="C20" s="63"/>
      <c r="D20" s="64"/>
      <c r="E20" s="64"/>
      <c r="F20" s="64"/>
      <c r="G20" s="46"/>
      <c r="H20" s="27"/>
      <c r="I20" s="46"/>
      <c r="J20" s="27"/>
      <c r="K20" s="46"/>
      <c r="L20" s="27"/>
      <c r="M20" s="28"/>
      <c r="N20" s="49"/>
    </row>
    <row r="21" spans="1:14" s="2" customFormat="1" ht="11" customHeight="1" x14ac:dyDescent="0.35">
      <c r="A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25.25" customHeight="1" x14ac:dyDescent="0.35">
      <c r="A22" s="38"/>
      <c r="B22" s="13"/>
      <c r="C22" s="14" t="str">
        <f>IF(ICMS!C13="GEO","ჯამი","Sum")</f>
        <v>ჯამი</v>
      </c>
      <c r="D22" s="15"/>
      <c r="E22" s="15"/>
      <c r="F22" s="15"/>
      <c r="G22" s="16"/>
      <c r="H22" s="16">
        <f>SUM(H8:H20)</f>
        <v>0</v>
      </c>
      <c r="I22" s="16"/>
      <c r="J22" s="16">
        <f>SUM(J8:J20)</f>
        <v>0</v>
      </c>
      <c r="K22" s="16"/>
      <c r="L22" s="16">
        <f>SUM(L8:L20)</f>
        <v>0</v>
      </c>
      <c r="M22" s="16">
        <f>L22+J22+H22</f>
        <v>0</v>
      </c>
      <c r="N22" s="17"/>
    </row>
    <row r="23" spans="1:14" ht="25.25" customHeight="1" x14ac:dyDescent="0.35">
      <c r="A23" s="39"/>
      <c r="B23" s="4"/>
      <c r="C23" s="3" t="str">
        <f>IF(ICMS!C13="GEO","ზედნადები ხარჯები","Overhead Cost")</f>
        <v>ზედნადები ხარჯები</v>
      </c>
      <c r="D23" s="7"/>
      <c r="E23" s="7"/>
      <c r="F23" s="8">
        <v>0.1</v>
      </c>
      <c r="G23" s="9"/>
      <c r="H23" s="9"/>
      <c r="I23" s="9"/>
      <c r="J23" s="9"/>
      <c r="K23" s="9"/>
      <c r="L23" s="9"/>
      <c r="M23" s="9">
        <f>ROUND(F23*M22,2)</f>
        <v>0</v>
      </c>
      <c r="N23" s="18"/>
    </row>
    <row r="24" spans="1:14" ht="25.25" customHeight="1" x14ac:dyDescent="0.35">
      <c r="A24" s="39"/>
      <c r="B24" s="4"/>
      <c r="C24" s="3" t="str">
        <f>IF(ICMS!C13="GEO","ჯამი","Sum")</f>
        <v>ჯამი</v>
      </c>
      <c r="D24" s="7"/>
      <c r="E24" s="7"/>
      <c r="F24" s="8"/>
      <c r="G24" s="9"/>
      <c r="H24" s="9"/>
      <c r="I24" s="9"/>
      <c r="J24" s="9"/>
      <c r="K24" s="9"/>
      <c r="L24" s="9"/>
      <c r="M24" s="9">
        <f>M23+M22</f>
        <v>0</v>
      </c>
      <c r="N24" s="18"/>
    </row>
    <row r="25" spans="1:14" ht="25.25" customHeight="1" x14ac:dyDescent="0.35">
      <c r="A25" s="39"/>
      <c r="B25" s="4"/>
      <c r="C25" s="3" t="str">
        <f>IF(ICMS!C13="GEO","გეგმიური დაგროვება","Profit")</f>
        <v>გეგმიური დაგროვება</v>
      </c>
      <c r="D25" s="7"/>
      <c r="E25" s="7"/>
      <c r="F25" s="8">
        <v>0.08</v>
      </c>
      <c r="G25" s="9"/>
      <c r="H25" s="9"/>
      <c r="I25" s="9"/>
      <c r="J25" s="9"/>
      <c r="K25" s="9"/>
      <c r="L25" s="9"/>
      <c r="M25" s="9">
        <f>ROUND(F25*M24,2)</f>
        <v>0</v>
      </c>
      <c r="N25" s="18"/>
    </row>
    <row r="26" spans="1:14" ht="25.25" customHeight="1" x14ac:dyDescent="0.35">
      <c r="A26" s="40"/>
      <c r="B26" s="19"/>
      <c r="C26" s="20" t="str">
        <f>IF(ICMS!C13="GEO","ჯამი","Sum")</f>
        <v>ჯამი</v>
      </c>
      <c r="D26" s="21"/>
      <c r="E26" s="21"/>
      <c r="F26" s="21"/>
      <c r="G26" s="22"/>
      <c r="H26" s="22"/>
      <c r="I26" s="22"/>
      <c r="J26" s="22"/>
      <c r="K26" s="22"/>
      <c r="L26" s="22"/>
      <c r="M26" s="22">
        <f>M25+M24</f>
        <v>0</v>
      </c>
      <c r="N26" s="23"/>
    </row>
    <row r="27" spans="1:14" s="2" customFormat="1" ht="25.25" customHeight="1" x14ac:dyDescent="0.35"/>
    <row r="28" spans="1:14" s="2" customFormat="1" ht="25.25" customHeight="1" x14ac:dyDescent="0.35"/>
    <row r="29" spans="1:14" s="2" customFormat="1" ht="25.25" customHeight="1" x14ac:dyDescent="0.35"/>
    <row r="30" spans="1:14" s="2" customFormat="1" ht="25.25" customHeight="1" x14ac:dyDescent="0.35"/>
    <row r="31" spans="1:14" s="2" customFormat="1" ht="25.25" customHeight="1" x14ac:dyDescent="0.35"/>
    <row r="32" spans="1:14" s="2" customFormat="1" ht="25.25" customHeight="1" x14ac:dyDescent="0.35"/>
    <row r="33" s="2" customFormat="1" ht="25.25" customHeight="1" x14ac:dyDescent="0.35"/>
    <row r="34" s="2" customFormat="1" ht="25.25" customHeight="1" x14ac:dyDescent="0.35"/>
    <row r="35" s="2" customFormat="1" ht="25.25" customHeight="1" x14ac:dyDescent="0.35"/>
    <row r="36" s="2" customFormat="1" ht="25.25" customHeight="1" x14ac:dyDescent="0.35"/>
    <row r="37" s="2" customFormat="1" ht="25.25" customHeight="1" x14ac:dyDescent="0.35"/>
    <row r="38" s="2" customFormat="1" ht="25.25" customHeight="1" x14ac:dyDescent="0.35"/>
    <row r="39" s="2" customFormat="1" ht="25.25" customHeight="1" x14ac:dyDescent="0.35"/>
    <row r="40" s="2" customFormat="1" ht="25.25" customHeigh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</sheetData>
  <mergeCells count="15">
    <mergeCell ref="A3:A5"/>
    <mergeCell ref="B3:B5"/>
    <mergeCell ref="C3:C5"/>
    <mergeCell ref="D3:D5"/>
    <mergeCell ref="E3:F3"/>
    <mergeCell ref="I3:J3"/>
    <mergeCell ref="K3:L3"/>
    <mergeCell ref="M3:M5"/>
    <mergeCell ref="N3:N5"/>
    <mergeCell ref="E4:E5"/>
    <mergeCell ref="F4:F5"/>
    <mergeCell ref="H4:H5"/>
    <mergeCell ref="J4:J5"/>
    <mergeCell ref="L4:L5"/>
    <mergeCell ref="G3:H3"/>
  </mergeCells>
  <pageMargins left="0.4" right="0.03" top="0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BL1688"/>
  <sheetViews>
    <sheetView zoomScale="55" zoomScaleNormal="55" workbookViewId="0">
      <selection activeCell="C16" sqref="C16:C17"/>
    </sheetView>
  </sheetViews>
  <sheetFormatPr defaultColWidth="8.90625" defaultRowHeight="16" x14ac:dyDescent="0.35"/>
  <cols>
    <col min="1" max="1" width="10.6328125" style="1" customWidth="1"/>
    <col min="2" max="2" width="20.6328125" style="1" customWidth="1"/>
    <col min="3" max="3" width="80.6328125" style="1" customWidth="1"/>
    <col min="4" max="4" width="8.6328125" style="1" customWidth="1"/>
    <col min="5" max="5" width="10.6328125" style="1" customWidth="1"/>
    <col min="6" max="6" width="12.6328125" style="1" customWidth="1"/>
    <col min="7" max="7" width="15.6328125" style="1" customWidth="1"/>
    <col min="8" max="8" width="22.6328125" style="1" customWidth="1"/>
    <col min="9" max="9" width="15.6328125" style="1" customWidth="1"/>
    <col min="10" max="10" width="22.6328125" style="1" customWidth="1"/>
    <col min="11" max="11" width="15.6328125" style="1" customWidth="1"/>
    <col min="12" max="13" width="22.6328125" style="1" customWidth="1"/>
    <col min="14" max="14" width="23.453125" style="1" customWidth="1"/>
    <col min="15" max="64" width="8.90625" style="2"/>
    <col min="65" max="16384" width="8.90625" style="1"/>
  </cols>
  <sheetData>
    <row r="1" spans="1:14" s="2" customFormat="1" ht="53" customHeight="1" x14ac:dyDescent="0.35">
      <c r="A1" s="35" t="str">
        <f>'1.01_PRE'!A1</f>
        <v>პროექტის დასახელება: პროექტი 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2" customFormat="1" ht="26.4" customHeight="1" x14ac:dyDescent="0.35">
      <c r="A2" s="5" t="s">
        <v>191</v>
      </c>
      <c r="B2" s="5" t="str">
        <f>IF(ICMS!C13="GEO","თეთრი კარკასის სამუშაოები","Shell&amp;Core Works")</f>
        <v>თეთრი კარკასის სამუშაოები</v>
      </c>
    </row>
    <row r="3" spans="1:14" ht="25.25" customHeight="1" x14ac:dyDescent="0.35">
      <c r="A3" s="114" t="s">
        <v>0</v>
      </c>
      <c r="B3" s="109" t="str">
        <f>IF(ICMS!C13="GEO","ნახაზის კოდი","Drawing No.")</f>
        <v>ნახაზის კოდი</v>
      </c>
      <c r="C3" s="109" t="str">
        <f>IF(ICMS!C13="GEO","სამუშაოების დასახელება","Work Description")</f>
        <v>სამუშაოების დასახელება</v>
      </c>
      <c r="D3" s="116" t="str">
        <f>IF(ICMS!C13="GEO","განზ. ერთ.","Unit")</f>
        <v>განზ. ერთ.</v>
      </c>
      <c r="E3" s="109" t="str">
        <f>IF(ICMS!C13="GEO","ნორმატიული","Normative")</f>
        <v>ნორმატიული</v>
      </c>
      <c r="F3" s="109"/>
      <c r="G3" s="109" t="str">
        <f>IF(ICMS!C13="GEO","მასალა","Material")</f>
        <v>მასალა</v>
      </c>
      <c r="H3" s="109"/>
      <c r="I3" s="109" t="str">
        <f>IF(ICMS!C13="GEO","ხელფასი","Salary")</f>
        <v>ხელფასი</v>
      </c>
      <c r="J3" s="109"/>
      <c r="K3" s="109" t="str">
        <f>IF(ICMS!C13="GEO","მექანიზმი/ტრანსპორტი","Mechanism/Transportation")</f>
        <v>მექანიზმი/ტრანსპორტი</v>
      </c>
      <c r="L3" s="109"/>
      <c r="M3" s="109" t="str">
        <f>IF(ICMS!C13="GEO","სულ","Total")</f>
        <v>სულ</v>
      </c>
      <c r="N3" s="111" t="str">
        <f>IF(ICMS!C13="GEO","შენიშვნა","Remark")</f>
        <v>შენიშვნა</v>
      </c>
    </row>
    <row r="4" spans="1:14" ht="25.25" customHeight="1" x14ac:dyDescent="0.35">
      <c r="A4" s="115"/>
      <c r="B4" s="110"/>
      <c r="C4" s="110"/>
      <c r="D4" s="113"/>
      <c r="E4" s="113" t="str">
        <f>IF(ICMS!C13="GEO","ერთ.","Unit Rate")</f>
        <v>ერთ.</v>
      </c>
      <c r="F4" s="110" t="str">
        <f>IF(ICMS!C13="GEO","რაოდ","Q-ty")</f>
        <v>რაოდ</v>
      </c>
      <c r="G4" s="3" t="str">
        <f>IF(ICMS!C13="GEO","ერთ.","Unit")</f>
        <v>ერთ.</v>
      </c>
      <c r="H4" s="110" t="str">
        <f>IF(ICMS!C13="GEO","ჯამი","Sum")</f>
        <v>ჯამი</v>
      </c>
      <c r="I4" s="3" t="str">
        <f>IF(ICMS!C13="GEO","ერთ.","Unit")</f>
        <v>ერთ.</v>
      </c>
      <c r="J4" s="110" t="str">
        <f>IF(ICMS!C13="GEO","ჯამი","Sum")</f>
        <v>ჯამი</v>
      </c>
      <c r="K4" s="3" t="str">
        <f>IF(ICMS!C13="GEO","ერთ.","Unit")</f>
        <v>ერთ.</v>
      </c>
      <c r="L4" s="110" t="str">
        <f>IF(ICMS!C13="GEO","ჯამი","Sum")</f>
        <v>ჯამი</v>
      </c>
      <c r="M4" s="110"/>
      <c r="N4" s="112"/>
    </row>
    <row r="5" spans="1:14" ht="24.65" customHeight="1" x14ac:dyDescent="0.35">
      <c r="A5" s="115"/>
      <c r="B5" s="110"/>
      <c r="C5" s="110"/>
      <c r="D5" s="113"/>
      <c r="E5" s="113"/>
      <c r="F5" s="110"/>
      <c r="G5" s="3" t="str">
        <f>IF(ICMS!C13="GEO","ფასი","Price")</f>
        <v>ფასი</v>
      </c>
      <c r="H5" s="110"/>
      <c r="I5" s="3" t="str">
        <f>IF(ICMS!C13="GEO","ფასი","Price")</f>
        <v>ფასი</v>
      </c>
      <c r="J5" s="110"/>
      <c r="K5" s="3" t="str">
        <f>IF(ICMS!C13="GEO","ფასი","Price")</f>
        <v>ფასი</v>
      </c>
      <c r="L5" s="110"/>
      <c r="M5" s="110"/>
      <c r="N5" s="112"/>
    </row>
    <row r="6" spans="1:14" ht="25.25" customHeight="1" x14ac:dyDescent="0.35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2">
        <v>14</v>
      </c>
    </row>
    <row r="7" spans="1:14" s="2" customFormat="1" ht="11" customHeight="1" x14ac:dyDescent="0.35"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35" customHeight="1" x14ac:dyDescent="0.35">
      <c r="A8" s="37">
        <v>1</v>
      </c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spans="1:14" ht="25.25" customHeight="1" x14ac:dyDescent="0.35">
      <c r="A9" s="60"/>
      <c r="B9" s="66"/>
      <c r="C9" s="33"/>
      <c r="D9" s="26"/>
      <c r="E9" s="26"/>
      <c r="F9" s="67"/>
      <c r="G9" s="25"/>
      <c r="H9" s="24"/>
      <c r="I9" s="25"/>
      <c r="J9" s="24"/>
      <c r="K9" s="25"/>
      <c r="L9" s="24"/>
      <c r="M9" s="24"/>
      <c r="N9" s="62"/>
    </row>
    <row r="10" spans="1:14" ht="25.25" customHeight="1" x14ac:dyDescent="0.35">
      <c r="A10" s="60"/>
      <c r="B10" s="66"/>
      <c r="C10" s="33"/>
      <c r="D10" s="26"/>
      <c r="E10" s="26"/>
      <c r="F10" s="68"/>
      <c r="G10" s="25"/>
      <c r="H10" s="24"/>
      <c r="I10" s="25"/>
      <c r="J10" s="24"/>
      <c r="K10" s="25"/>
      <c r="L10" s="24"/>
      <c r="M10" s="24"/>
      <c r="N10" s="48"/>
    </row>
    <row r="11" spans="1:14" ht="24.65" customHeight="1" x14ac:dyDescent="0.35">
      <c r="A11" s="60"/>
      <c r="B11" s="66"/>
      <c r="C11" s="33"/>
      <c r="D11" s="26"/>
      <c r="E11" s="26"/>
      <c r="F11" s="68"/>
      <c r="G11" s="25"/>
      <c r="H11" s="24"/>
      <c r="I11" s="25"/>
      <c r="J11" s="24"/>
      <c r="K11" s="25"/>
      <c r="L11" s="24"/>
      <c r="M11" s="24"/>
      <c r="N11" s="48"/>
    </row>
    <row r="12" spans="1:14" ht="25.25" customHeight="1" x14ac:dyDescent="0.35">
      <c r="A12" s="60"/>
      <c r="B12" s="66"/>
      <c r="C12" s="33"/>
      <c r="D12" s="26"/>
      <c r="E12" s="26"/>
      <c r="F12" s="68"/>
      <c r="G12" s="25"/>
      <c r="H12" s="24"/>
      <c r="I12" s="25"/>
      <c r="J12" s="24"/>
      <c r="K12" s="25"/>
      <c r="L12" s="24"/>
      <c r="M12" s="24"/>
      <c r="N12" s="48"/>
    </row>
    <row r="13" spans="1:14" ht="25.25" customHeight="1" x14ac:dyDescent="0.35">
      <c r="A13" s="60"/>
      <c r="B13" s="66"/>
      <c r="C13" s="33"/>
      <c r="D13" s="26"/>
      <c r="E13" s="26"/>
      <c r="F13" s="68"/>
      <c r="G13" s="25"/>
      <c r="H13" s="24"/>
      <c r="I13" s="25"/>
      <c r="J13" s="24"/>
      <c r="K13" s="25"/>
      <c r="L13" s="24"/>
      <c r="M13" s="24"/>
      <c r="N13" s="48"/>
    </row>
    <row r="14" spans="1:14" ht="25.25" customHeight="1" x14ac:dyDescent="0.35">
      <c r="A14" s="60"/>
      <c r="B14" s="66"/>
      <c r="C14" s="33"/>
      <c r="D14" s="26"/>
      <c r="E14" s="34"/>
      <c r="F14" s="34"/>
      <c r="G14" s="25"/>
      <c r="H14" s="24"/>
      <c r="I14" s="25"/>
      <c r="J14" s="24"/>
      <c r="K14" s="25"/>
      <c r="L14" s="24"/>
      <c r="M14" s="24"/>
      <c r="N14" s="48"/>
    </row>
    <row r="15" spans="1:14" ht="25.25" customHeight="1" x14ac:dyDescent="0.35">
      <c r="A15" s="60"/>
      <c r="B15" s="66"/>
      <c r="C15" s="63"/>
      <c r="D15" s="64"/>
      <c r="E15" s="64"/>
      <c r="F15" s="64"/>
      <c r="G15" s="46"/>
      <c r="H15" s="27"/>
      <c r="I15" s="46"/>
      <c r="J15" s="27"/>
      <c r="K15" s="46"/>
      <c r="L15" s="27"/>
      <c r="M15" s="28"/>
      <c r="N15" s="49"/>
    </row>
    <row r="16" spans="1:14" ht="25.25" customHeight="1" x14ac:dyDescent="0.35">
      <c r="A16" s="60"/>
      <c r="B16" s="66"/>
      <c r="C16" s="63"/>
      <c r="D16" s="64"/>
      <c r="E16" s="64"/>
      <c r="F16" s="64"/>
      <c r="G16" s="46"/>
      <c r="H16" s="27"/>
      <c r="I16" s="46"/>
      <c r="J16" s="27"/>
      <c r="K16" s="46"/>
      <c r="L16" s="27"/>
      <c r="M16" s="28"/>
      <c r="N16" s="49"/>
    </row>
    <row r="17" spans="1:14" ht="25.25" customHeight="1" x14ac:dyDescent="0.35">
      <c r="A17" s="60"/>
      <c r="B17" s="66"/>
      <c r="C17" s="63"/>
      <c r="D17" s="64"/>
      <c r="E17" s="64"/>
      <c r="F17" s="64"/>
      <c r="G17" s="46"/>
      <c r="H17" s="27"/>
      <c r="I17" s="46"/>
      <c r="J17" s="27"/>
      <c r="K17" s="46"/>
      <c r="L17" s="27"/>
      <c r="M17" s="28"/>
      <c r="N17" s="49"/>
    </row>
    <row r="18" spans="1:14" ht="25.25" customHeight="1" x14ac:dyDescent="0.35">
      <c r="A18" s="60"/>
      <c r="B18" s="66"/>
      <c r="C18" s="63"/>
      <c r="D18" s="64"/>
      <c r="E18" s="64"/>
      <c r="F18" s="64"/>
      <c r="G18" s="46"/>
      <c r="H18" s="27"/>
      <c r="I18" s="46"/>
      <c r="J18" s="27"/>
      <c r="K18" s="46"/>
      <c r="L18" s="27"/>
      <c r="M18" s="28"/>
      <c r="N18" s="49"/>
    </row>
    <row r="19" spans="1:14" ht="25.25" customHeight="1" x14ac:dyDescent="0.35">
      <c r="A19" s="60"/>
      <c r="B19" s="66"/>
      <c r="C19" s="63"/>
      <c r="D19" s="64"/>
      <c r="E19" s="64"/>
      <c r="F19" s="64"/>
      <c r="G19" s="46"/>
      <c r="H19" s="27"/>
      <c r="I19" s="46"/>
      <c r="J19" s="27"/>
      <c r="K19" s="46"/>
      <c r="L19" s="27"/>
      <c r="M19" s="28"/>
      <c r="N19" s="49"/>
    </row>
    <row r="20" spans="1:14" ht="25.25" customHeight="1" x14ac:dyDescent="0.35">
      <c r="A20" s="60"/>
      <c r="B20" s="66"/>
      <c r="C20" s="63"/>
      <c r="D20" s="64"/>
      <c r="E20" s="64"/>
      <c r="F20" s="64"/>
      <c r="G20" s="46"/>
      <c r="H20" s="27"/>
      <c r="I20" s="46"/>
      <c r="J20" s="27"/>
      <c r="K20" s="46"/>
      <c r="L20" s="27"/>
      <c r="M20" s="28"/>
      <c r="N20" s="49"/>
    </row>
    <row r="21" spans="1:14" s="2" customFormat="1" ht="11" customHeight="1" x14ac:dyDescent="0.35">
      <c r="A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25.25" customHeight="1" x14ac:dyDescent="0.35">
      <c r="A22" s="38"/>
      <c r="B22" s="13"/>
      <c r="C22" s="14" t="str">
        <f>IF(ICMS!C13="GEO","ჯამი","Sum")</f>
        <v>ჯამი</v>
      </c>
      <c r="D22" s="15"/>
      <c r="E22" s="15"/>
      <c r="F22" s="15"/>
      <c r="G22" s="16"/>
      <c r="H22" s="16">
        <f>SUM(H8:H20)</f>
        <v>0</v>
      </c>
      <c r="I22" s="16"/>
      <c r="J22" s="16">
        <f>SUM(J8:J20)</f>
        <v>0</v>
      </c>
      <c r="K22" s="16"/>
      <c r="L22" s="16">
        <f>SUM(L8:L20)</f>
        <v>0</v>
      </c>
      <c r="M22" s="16">
        <f>L22+J22+H22</f>
        <v>0</v>
      </c>
      <c r="N22" s="17"/>
    </row>
    <row r="23" spans="1:14" ht="25.25" customHeight="1" x14ac:dyDescent="0.35">
      <c r="A23" s="39"/>
      <c r="B23" s="4"/>
      <c r="C23" s="3" t="str">
        <f>IF(ICMS!C13="GEO","ზედნადები ხარჯები","Overhead Cost")</f>
        <v>ზედნადები ხარჯები</v>
      </c>
      <c r="D23" s="7"/>
      <c r="E23" s="7"/>
      <c r="F23" s="8">
        <v>0.1</v>
      </c>
      <c r="G23" s="9"/>
      <c r="H23" s="9"/>
      <c r="I23" s="9"/>
      <c r="J23" s="9"/>
      <c r="K23" s="9"/>
      <c r="L23" s="9"/>
      <c r="M23" s="9">
        <f>ROUND(F23*M22,2)</f>
        <v>0</v>
      </c>
      <c r="N23" s="18"/>
    </row>
    <row r="24" spans="1:14" ht="25.25" customHeight="1" x14ac:dyDescent="0.35">
      <c r="A24" s="39"/>
      <c r="B24" s="4"/>
      <c r="C24" s="3" t="str">
        <f>IF(ICMS!C13="GEO","ჯამი","Sum")</f>
        <v>ჯამი</v>
      </c>
      <c r="D24" s="7"/>
      <c r="E24" s="7"/>
      <c r="F24" s="8"/>
      <c r="G24" s="9"/>
      <c r="H24" s="9"/>
      <c r="I24" s="9"/>
      <c r="J24" s="9"/>
      <c r="K24" s="9"/>
      <c r="L24" s="9"/>
      <c r="M24" s="9">
        <f>M23+M22</f>
        <v>0</v>
      </c>
      <c r="N24" s="18"/>
    </row>
    <row r="25" spans="1:14" ht="25.25" customHeight="1" x14ac:dyDescent="0.35">
      <c r="A25" s="39"/>
      <c r="B25" s="4"/>
      <c r="C25" s="3" t="str">
        <f>IF(ICMS!C13="GEO","გეგმიური დაგროვება","Profit")</f>
        <v>გეგმიური დაგროვება</v>
      </c>
      <c r="D25" s="7"/>
      <c r="E25" s="7"/>
      <c r="F25" s="8">
        <v>0.08</v>
      </c>
      <c r="G25" s="9"/>
      <c r="H25" s="9"/>
      <c r="I25" s="9"/>
      <c r="J25" s="9"/>
      <c r="K25" s="9"/>
      <c r="L25" s="9"/>
      <c r="M25" s="9">
        <f>ROUND(F25*M24,2)</f>
        <v>0</v>
      </c>
      <c r="N25" s="18"/>
    </row>
    <row r="26" spans="1:14" ht="25.25" customHeight="1" x14ac:dyDescent="0.35">
      <c r="A26" s="40"/>
      <c r="B26" s="19"/>
      <c r="C26" s="20" t="str">
        <f>IF(ICMS!C13="GEO","ჯამი","Sum")</f>
        <v>ჯამი</v>
      </c>
      <c r="D26" s="21"/>
      <c r="E26" s="21"/>
      <c r="F26" s="21"/>
      <c r="G26" s="22"/>
      <c r="H26" s="22"/>
      <c r="I26" s="22"/>
      <c r="J26" s="22"/>
      <c r="K26" s="22"/>
      <c r="L26" s="22"/>
      <c r="M26" s="22">
        <f>M25+M24</f>
        <v>0</v>
      </c>
      <c r="N26" s="23"/>
    </row>
    <row r="27" spans="1:14" s="2" customFormat="1" ht="25.25" customHeight="1" x14ac:dyDescent="0.35"/>
    <row r="28" spans="1:14" s="2" customFormat="1" ht="25.25" customHeight="1" x14ac:dyDescent="0.35"/>
    <row r="29" spans="1:14" s="2" customFormat="1" ht="25.25" customHeight="1" x14ac:dyDescent="0.35"/>
    <row r="30" spans="1:14" s="2" customFormat="1" ht="25.25" customHeight="1" x14ac:dyDescent="0.35"/>
    <row r="31" spans="1:14" s="2" customFormat="1" ht="25.25" customHeight="1" x14ac:dyDescent="0.35"/>
    <row r="32" spans="1:14" s="2" customFormat="1" ht="25.25" customHeight="1" x14ac:dyDescent="0.35"/>
    <row r="33" s="2" customFormat="1" ht="25.25" customHeight="1" x14ac:dyDescent="0.35"/>
    <row r="34" s="2" customFormat="1" ht="25.25" customHeight="1" x14ac:dyDescent="0.35"/>
    <row r="35" s="2" customFormat="1" ht="25.25" customHeight="1" x14ac:dyDescent="0.35"/>
    <row r="36" s="2" customFormat="1" ht="25.25" customHeight="1" x14ac:dyDescent="0.35"/>
    <row r="37" s="2" customFormat="1" ht="25.25" customHeight="1" x14ac:dyDescent="0.35"/>
    <row r="38" s="2" customFormat="1" ht="25.25" customHeight="1" x14ac:dyDescent="0.35"/>
    <row r="39" s="2" customFormat="1" ht="25.25" customHeight="1" x14ac:dyDescent="0.35"/>
    <row r="40" s="2" customFormat="1" ht="25.25" customHeigh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</sheetData>
  <mergeCells count="15">
    <mergeCell ref="I3:J3"/>
    <mergeCell ref="K3:L3"/>
    <mergeCell ref="M3:M5"/>
    <mergeCell ref="N3:N5"/>
    <mergeCell ref="E4:E5"/>
    <mergeCell ref="F4:F5"/>
    <mergeCell ref="H4:H5"/>
    <mergeCell ref="J4:J5"/>
    <mergeCell ref="L4:L5"/>
    <mergeCell ref="G3:H3"/>
    <mergeCell ref="A3:A5"/>
    <mergeCell ref="B3:B5"/>
    <mergeCell ref="C3:C5"/>
    <mergeCell ref="D3:D5"/>
    <mergeCell ref="E3:F3"/>
  </mergeCells>
  <pageMargins left="0.4" right="0.03" top="0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BL1688"/>
  <sheetViews>
    <sheetView zoomScale="55" zoomScaleNormal="55" workbookViewId="0">
      <selection activeCell="C16" sqref="C16:C17"/>
    </sheetView>
  </sheetViews>
  <sheetFormatPr defaultColWidth="8.90625" defaultRowHeight="16" x14ac:dyDescent="0.35"/>
  <cols>
    <col min="1" max="1" width="10.6328125" style="1" customWidth="1"/>
    <col min="2" max="2" width="20.6328125" style="1" customWidth="1"/>
    <col min="3" max="3" width="80.6328125" style="1" customWidth="1"/>
    <col min="4" max="4" width="8.6328125" style="1" customWidth="1"/>
    <col min="5" max="5" width="10.6328125" style="1" customWidth="1"/>
    <col min="6" max="6" width="12.6328125" style="1" customWidth="1"/>
    <col min="7" max="7" width="15.6328125" style="1" customWidth="1"/>
    <col min="8" max="8" width="22.6328125" style="1" customWidth="1"/>
    <col min="9" max="9" width="15.6328125" style="1" customWidth="1"/>
    <col min="10" max="10" width="22.6328125" style="1" customWidth="1"/>
    <col min="11" max="11" width="15.6328125" style="1" customWidth="1"/>
    <col min="12" max="13" width="22.6328125" style="1" customWidth="1"/>
    <col min="14" max="14" width="23.453125" style="1" customWidth="1"/>
    <col min="15" max="64" width="8.90625" style="2"/>
    <col min="65" max="16384" width="8.90625" style="1"/>
  </cols>
  <sheetData>
    <row r="1" spans="1:14" s="2" customFormat="1" ht="53" customHeight="1" x14ac:dyDescent="0.35">
      <c r="A1" s="35" t="str">
        <f>'1.01_PRE'!A1</f>
        <v>პროექტის დასახელება: პროექტი 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2" customFormat="1" ht="26.4" customHeight="1" x14ac:dyDescent="0.35">
      <c r="A2" s="5" t="s">
        <v>192</v>
      </c>
      <c r="B2" s="5" t="str">
        <f>IF(ICMS!C13="GEO","მოსაპირკეთებელი სამუშაოები","Finishing works")</f>
        <v>მოსაპირკეთებელი სამუშაოები</v>
      </c>
    </row>
    <row r="3" spans="1:14" ht="25.25" customHeight="1" x14ac:dyDescent="0.35">
      <c r="A3" s="114" t="s">
        <v>0</v>
      </c>
      <c r="B3" s="109" t="str">
        <f>IF(ICMS!C13="GEO","ნახაზის კოდი","Drawing No.")</f>
        <v>ნახაზის კოდი</v>
      </c>
      <c r="C3" s="109" t="str">
        <f>IF(ICMS!C13="GEO","სამუშაოების დასახელება","Work Description")</f>
        <v>სამუშაოების დასახელება</v>
      </c>
      <c r="D3" s="116" t="str">
        <f>IF(ICMS!C13="GEO","განზ. ერთ.","Unit")</f>
        <v>განზ. ერთ.</v>
      </c>
      <c r="E3" s="109" t="str">
        <f>IF(ICMS!C13="GEO","ნორმატიული","Normative")</f>
        <v>ნორმატიული</v>
      </c>
      <c r="F3" s="109"/>
      <c r="G3" s="109" t="str">
        <f>IF(ICMS!C13="GEO","მასალა","Material")</f>
        <v>მასალა</v>
      </c>
      <c r="H3" s="109"/>
      <c r="I3" s="109" t="str">
        <f>IF(ICMS!C13="GEO","ხელფასი","Salary")</f>
        <v>ხელფასი</v>
      </c>
      <c r="J3" s="109"/>
      <c r="K3" s="109" t="str">
        <f>IF(ICMS!C13="GEO","მექანიზმი/ტრანსპორტი","Mechanism/Transportation")</f>
        <v>მექანიზმი/ტრანსპორტი</v>
      </c>
      <c r="L3" s="109"/>
      <c r="M3" s="109" t="str">
        <f>IF(ICMS!C13="GEO","სულ","Total")</f>
        <v>სულ</v>
      </c>
      <c r="N3" s="111" t="str">
        <f>IF(ICMS!C13="GEO","შენიშვნა","Remark")</f>
        <v>შენიშვნა</v>
      </c>
    </row>
    <row r="4" spans="1:14" ht="25.25" customHeight="1" x14ac:dyDescent="0.35">
      <c r="A4" s="115"/>
      <c r="B4" s="110"/>
      <c r="C4" s="110"/>
      <c r="D4" s="113"/>
      <c r="E4" s="113" t="str">
        <f>IF(ICMS!C13="GEO","ერთ.","Unit Rate")</f>
        <v>ერთ.</v>
      </c>
      <c r="F4" s="110" t="str">
        <f>IF(ICMS!C13="GEO","რაოდ","Q-ty")</f>
        <v>რაოდ</v>
      </c>
      <c r="G4" s="3" t="str">
        <f>IF(ICMS!C13="GEO","ერთ.","Unit")</f>
        <v>ერთ.</v>
      </c>
      <c r="H4" s="110" t="str">
        <f>IF(ICMS!C13="GEO","ჯამი","Sum")</f>
        <v>ჯამი</v>
      </c>
      <c r="I4" s="3" t="str">
        <f>IF(ICMS!C13="GEO","ერთ.","Unit")</f>
        <v>ერთ.</v>
      </c>
      <c r="J4" s="110" t="str">
        <f>IF(ICMS!C13="GEO","ჯამი","Sum")</f>
        <v>ჯამი</v>
      </c>
      <c r="K4" s="3" t="str">
        <f>IF(ICMS!C13="GEO","ერთ.","Unit")</f>
        <v>ერთ.</v>
      </c>
      <c r="L4" s="110" t="str">
        <f>IF(ICMS!C13="GEO","ჯამი","Sum")</f>
        <v>ჯამი</v>
      </c>
      <c r="M4" s="110"/>
      <c r="N4" s="112"/>
    </row>
    <row r="5" spans="1:14" ht="24.65" customHeight="1" x14ac:dyDescent="0.35">
      <c r="A5" s="115"/>
      <c r="B5" s="110"/>
      <c r="C5" s="110"/>
      <c r="D5" s="113"/>
      <c r="E5" s="113"/>
      <c r="F5" s="110"/>
      <c r="G5" s="3" t="str">
        <f>IF(ICMS!C13="GEO","ფასი","Price")</f>
        <v>ფასი</v>
      </c>
      <c r="H5" s="110"/>
      <c r="I5" s="3" t="str">
        <f>IF(ICMS!C13="GEO","ფასი","Price")</f>
        <v>ფასი</v>
      </c>
      <c r="J5" s="110"/>
      <c r="K5" s="3" t="str">
        <f>IF(ICMS!C13="GEO","ფასი","Price")</f>
        <v>ფასი</v>
      </c>
      <c r="L5" s="110"/>
      <c r="M5" s="110"/>
      <c r="N5" s="112"/>
    </row>
    <row r="6" spans="1:14" ht="25.25" customHeight="1" x14ac:dyDescent="0.35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2">
        <v>14</v>
      </c>
    </row>
    <row r="7" spans="1:14" s="2" customFormat="1" ht="11" customHeight="1" x14ac:dyDescent="0.35"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35" customHeight="1" x14ac:dyDescent="0.35">
      <c r="A8" s="37">
        <v>1</v>
      </c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spans="1:14" ht="25.25" customHeight="1" x14ac:dyDescent="0.35">
      <c r="A9" s="60"/>
      <c r="B9" s="66"/>
      <c r="C9" s="33"/>
      <c r="D9" s="26"/>
      <c r="E9" s="26"/>
      <c r="F9" s="67"/>
      <c r="G9" s="25"/>
      <c r="H9" s="24"/>
      <c r="I9" s="25"/>
      <c r="J9" s="24"/>
      <c r="K9" s="25"/>
      <c r="L9" s="24"/>
      <c r="M9" s="24"/>
      <c r="N9" s="62"/>
    </row>
    <row r="10" spans="1:14" ht="25.25" customHeight="1" x14ac:dyDescent="0.35">
      <c r="A10" s="60"/>
      <c r="B10" s="66"/>
      <c r="C10" s="33"/>
      <c r="D10" s="26"/>
      <c r="E10" s="26"/>
      <c r="F10" s="68"/>
      <c r="G10" s="25"/>
      <c r="H10" s="24"/>
      <c r="I10" s="25"/>
      <c r="J10" s="24"/>
      <c r="K10" s="25"/>
      <c r="L10" s="24"/>
      <c r="M10" s="24"/>
      <c r="N10" s="48"/>
    </row>
    <row r="11" spans="1:14" ht="24.65" customHeight="1" x14ac:dyDescent="0.35">
      <c r="A11" s="60"/>
      <c r="B11" s="66"/>
      <c r="C11" s="33"/>
      <c r="D11" s="26"/>
      <c r="E11" s="26"/>
      <c r="F11" s="68"/>
      <c r="G11" s="25"/>
      <c r="H11" s="24"/>
      <c r="I11" s="25"/>
      <c r="J11" s="24"/>
      <c r="K11" s="25"/>
      <c r="L11" s="24"/>
      <c r="M11" s="24"/>
      <c r="N11" s="48"/>
    </row>
    <row r="12" spans="1:14" ht="25.25" customHeight="1" x14ac:dyDescent="0.35">
      <c r="A12" s="60"/>
      <c r="B12" s="66"/>
      <c r="C12" s="33"/>
      <c r="D12" s="26"/>
      <c r="E12" s="26"/>
      <c r="F12" s="68"/>
      <c r="G12" s="25"/>
      <c r="H12" s="24"/>
      <c r="I12" s="25"/>
      <c r="J12" s="24"/>
      <c r="K12" s="25"/>
      <c r="L12" s="24"/>
      <c r="M12" s="24"/>
      <c r="N12" s="48"/>
    </row>
    <row r="13" spans="1:14" ht="25.25" customHeight="1" x14ac:dyDescent="0.35">
      <c r="A13" s="60"/>
      <c r="B13" s="66"/>
      <c r="C13" s="33"/>
      <c r="D13" s="26"/>
      <c r="E13" s="26"/>
      <c r="F13" s="68"/>
      <c r="G13" s="25"/>
      <c r="H13" s="24"/>
      <c r="I13" s="25"/>
      <c r="J13" s="24"/>
      <c r="K13" s="25"/>
      <c r="L13" s="24"/>
      <c r="M13" s="24"/>
      <c r="N13" s="48"/>
    </row>
    <row r="14" spans="1:14" ht="25.25" customHeight="1" x14ac:dyDescent="0.35">
      <c r="A14" s="60"/>
      <c r="B14" s="66"/>
      <c r="C14" s="33"/>
      <c r="D14" s="26"/>
      <c r="E14" s="34"/>
      <c r="F14" s="34"/>
      <c r="G14" s="25"/>
      <c r="H14" s="24"/>
      <c r="I14" s="25"/>
      <c r="J14" s="24"/>
      <c r="K14" s="25"/>
      <c r="L14" s="24"/>
      <c r="M14" s="24"/>
      <c r="N14" s="48"/>
    </row>
    <row r="15" spans="1:14" ht="25.25" customHeight="1" x14ac:dyDescent="0.35">
      <c r="A15" s="60"/>
      <c r="B15" s="66"/>
      <c r="C15" s="63"/>
      <c r="D15" s="64"/>
      <c r="E15" s="64"/>
      <c r="F15" s="64"/>
      <c r="G15" s="46"/>
      <c r="H15" s="27"/>
      <c r="I15" s="46"/>
      <c r="J15" s="27"/>
      <c r="K15" s="46"/>
      <c r="L15" s="27"/>
      <c r="M15" s="28"/>
      <c r="N15" s="49"/>
    </row>
    <row r="16" spans="1:14" ht="25.25" customHeight="1" x14ac:dyDescent="0.35">
      <c r="A16" s="60"/>
      <c r="B16" s="66"/>
      <c r="C16" s="63"/>
      <c r="D16" s="64"/>
      <c r="E16" s="64"/>
      <c r="F16" s="64"/>
      <c r="G16" s="46"/>
      <c r="H16" s="27"/>
      <c r="I16" s="46"/>
      <c r="J16" s="27"/>
      <c r="K16" s="46"/>
      <c r="L16" s="27"/>
      <c r="M16" s="28"/>
      <c r="N16" s="49"/>
    </row>
    <row r="17" spans="1:14" ht="25.25" customHeight="1" x14ac:dyDescent="0.35">
      <c r="A17" s="60"/>
      <c r="B17" s="66"/>
      <c r="C17" s="63"/>
      <c r="D17" s="64"/>
      <c r="E17" s="64"/>
      <c r="F17" s="64"/>
      <c r="G17" s="46"/>
      <c r="H17" s="27"/>
      <c r="I17" s="46"/>
      <c r="J17" s="27"/>
      <c r="K17" s="46"/>
      <c r="L17" s="27"/>
      <c r="M17" s="28"/>
      <c r="N17" s="49"/>
    </row>
    <row r="18" spans="1:14" ht="25.25" customHeight="1" x14ac:dyDescent="0.35">
      <c r="A18" s="60"/>
      <c r="B18" s="66"/>
      <c r="C18" s="63"/>
      <c r="D18" s="64"/>
      <c r="E18" s="64"/>
      <c r="F18" s="64"/>
      <c r="G18" s="46"/>
      <c r="H18" s="27"/>
      <c r="I18" s="46"/>
      <c r="J18" s="27"/>
      <c r="K18" s="46"/>
      <c r="L18" s="27"/>
      <c r="M18" s="28"/>
      <c r="N18" s="49"/>
    </row>
    <row r="19" spans="1:14" ht="25.25" customHeight="1" x14ac:dyDescent="0.35">
      <c r="A19" s="60"/>
      <c r="B19" s="66"/>
      <c r="C19" s="63"/>
      <c r="D19" s="64"/>
      <c r="E19" s="64"/>
      <c r="F19" s="64"/>
      <c r="G19" s="46"/>
      <c r="H19" s="27"/>
      <c r="I19" s="46"/>
      <c r="J19" s="27"/>
      <c r="K19" s="46"/>
      <c r="L19" s="27"/>
      <c r="M19" s="28"/>
      <c r="N19" s="49"/>
    </row>
    <row r="20" spans="1:14" ht="25.25" customHeight="1" x14ac:dyDescent="0.35">
      <c r="A20" s="60"/>
      <c r="B20" s="66"/>
      <c r="C20" s="63"/>
      <c r="D20" s="64"/>
      <c r="E20" s="64"/>
      <c r="F20" s="64"/>
      <c r="G20" s="46"/>
      <c r="H20" s="27"/>
      <c r="I20" s="46"/>
      <c r="J20" s="27"/>
      <c r="K20" s="46"/>
      <c r="L20" s="27"/>
      <c r="M20" s="28"/>
      <c r="N20" s="49"/>
    </row>
    <row r="21" spans="1:14" s="2" customFormat="1" ht="11" customHeight="1" x14ac:dyDescent="0.35">
      <c r="A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25.25" customHeight="1" x14ac:dyDescent="0.35">
      <c r="A22" s="38"/>
      <c r="B22" s="13"/>
      <c r="C22" s="14" t="str">
        <f>IF(ICMS!C13="GEO","ჯამი","Sum")</f>
        <v>ჯამი</v>
      </c>
      <c r="D22" s="15"/>
      <c r="E22" s="15"/>
      <c r="F22" s="15"/>
      <c r="G22" s="16"/>
      <c r="H22" s="16">
        <f>SUM(H8:H20)</f>
        <v>0</v>
      </c>
      <c r="I22" s="16"/>
      <c r="J22" s="16">
        <f>SUM(J8:J20)</f>
        <v>0</v>
      </c>
      <c r="K22" s="16"/>
      <c r="L22" s="16">
        <f>SUM(L8:L20)</f>
        <v>0</v>
      </c>
      <c r="M22" s="16">
        <f>L22+J22+H22</f>
        <v>0</v>
      </c>
      <c r="N22" s="17"/>
    </row>
    <row r="23" spans="1:14" ht="25.25" customHeight="1" x14ac:dyDescent="0.35">
      <c r="A23" s="39"/>
      <c r="B23" s="4"/>
      <c r="C23" s="3" t="str">
        <f>IF(ICMS!C13="GEO","ზედნადები ხარჯები","Overhead Cost")</f>
        <v>ზედნადები ხარჯები</v>
      </c>
      <c r="D23" s="7"/>
      <c r="E23" s="7"/>
      <c r="F23" s="8">
        <v>0.1</v>
      </c>
      <c r="G23" s="9"/>
      <c r="H23" s="9"/>
      <c r="I23" s="9"/>
      <c r="J23" s="9"/>
      <c r="K23" s="9"/>
      <c r="L23" s="9"/>
      <c r="M23" s="9">
        <f>ROUND(F23*M22,2)</f>
        <v>0</v>
      </c>
      <c r="N23" s="18"/>
    </row>
    <row r="24" spans="1:14" ht="25.25" customHeight="1" x14ac:dyDescent="0.35">
      <c r="A24" s="39"/>
      <c r="B24" s="4"/>
      <c r="C24" s="3" t="str">
        <f>IF(ICMS!C13="GEO","ჯამი","Sum")</f>
        <v>ჯამი</v>
      </c>
      <c r="D24" s="7"/>
      <c r="E24" s="7"/>
      <c r="F24" s="8"/>
      <c r="G24" s="9"/>
      <c r="H24" s="9"/>
      <c r="I24" s="9"/>
      <c r="J24" s="9"/>
      <c r="K24" s="9"/>
      <c r="L24" s="9"/>
      <c r="M24" s="9">
        <f>M23+M22</f>
        <v>0</v>
      </c>
      <c r="N24" s="18"/>
    </row>
    <row r="25" spans="1:14" ht="25.25" customHeight="1" x14ac:dyDescent="0.35">
      <c r="A25" s="39"/>
      <c r="B25" s="4"/>
      <c r="C25" s="3" t="str">
        <f>IF(ICMS!C13="GEO","გეგმიური დაგროვება","Profit")</f>
        <v>გეგმიური დაგროვება</v>
      </c>
      <c r="D25" s="7"/>
      <c r="E25" s="7"/>
      <c r="F25" s="8">
        <v>0.08</v>
      </c>
      <c r="G25" s="9"/>
      <c r="H25" s="9"/>
      <c r="I25" s="9"/>
      <c r="J25" s="9"/>
      <c r="K25" s="9"/>
      <c r="L25" s="9"/>
      <c r="M25" s="9">
        <f>ROUND(F25*M24,2)</f>
        <v>0</v>
      </c>
      <c r="N25" s="18"/>
    </row>
    <row r="26" spans="1:14" ht="25.25" customHeight="1" x14ac:dyDescent="0.35">
      <c r="A26" s="40"/>
      <c r="B26" s="19"/>
      <c r="C26" s="20" t="str">
        <f>IF(ICMS!C13="GEO","ჯამი","Sum")</f>
        <v>ჯამი</v>
      </c>
      <c r="D26" s="21"/>
      <c r="E26" s="21"/>
      <c r="F26" s="21"/>
      <c r="G26" s="22"/>
      <c r="H26" s="22"/>
      <c r="I26" s="22"/>
      <c r="J26" s="22"/>
      <c r="K26" s="22"/>
      <c r="L26" s="22"/>
      <c r="M26" s="22">
        <f>M25+M24</f>
        <v>0</v>
      </c>
      <c r="N26" s="23"/>
    </row>
    <row r="27" spans="1:14" s="2" customFormat="1" ht="25.25" customHeight="1" x14ac:dyDescent="0.35"/>
    <row r="28" spans="1:14" s="2" customFormat="1" ht="25.25" customHeight="1" x14ac:dyDescent="0.35"/>
    <row r="29" spans="1:14" s="2" customFormat="1" ht="25.25" customHeight="1" x14ac:dyDescent="0.35"/>
    <row r="30" spans="1:14" s="2" customFormat="1" ht="25.25" customHeight="1" x14ac:dyDescent="0.35"/>
    <row r="31" spans="1:14" s="2" customFormat="1" ht="25.25" customHeight="1" x14ac:dyDescent="0.35"/>
    <row r="32" spans="1:14" s="2" customFormat="1" ht="25.25" customHeight="1" x14ac:dyDescent="0.35"/>
    <row r="33" s="2" customFormat="1" ht="25.25" customHeight="1" x14ac:dyDescent="0.35"/>
    <row r="34" s="2" customFormat="1" ht="25.25" customHeight="1" x14ac:dyDescent="0.35"/>
    <row r="35" s="2" customFormat="1" ht="25.25" customHeight="1" x14ac:dyDescent="0.35"/>
    <row r="36" s="2" customFormat="1" ht="25.25" customHeight="1" x14ac:dyDescent="0.35"/>
    <row r="37" s="2" customFormat="1" ht="25.25" customHeight="1" x14ac:dyDescent="0.35"/>
    <row r="38" s="2" customFormat="1" ht="25.25" customHeight="1" x14ac:dyDescent="0.35"/>
    <row r="39" s="2" customFormat="1" ht="25.25" customHeight="1" x14ac:dyDescent="0.35"/>
    <row r="40" s="2" customFormat="1" ht="25.25" customHeigh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</sheetData>
  <mergeCells count="15">
    <mergeCell ref="I3:J3"/>
    <mergeCell ref="K3:L3"/>
    <mergeCell ref="M3:M5"/>
    <mergeCell ref="N3:N5"/>
    <mergeCell ref="E4:E5"/>
    <mergeCell ref="F4:F5"/>
    <mergeCell ref="H4:H5"/>
    <mergeCell ref="J4:J5"/>
    <mergeCell ref="L4:L5"/>
    <mergeCell ref="G3:H3"/>
    <mergeCell ref="A3:A5"/>
    <mergeCell ref="B3:B5"/>
    <mergeCell ref="C3:C5"/>
    <mergeCell ref="D3:D5"/>
    <mergeCell ref="E3:F3"/>
  </mergeCells>
  <pageMargins left="0.4" right="0.03" top="0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BL1688"/>
  <sheetViews>
    <sheetView zoomScale="55" zoomScaleNormal="55" workbookViewId="0">
      <selection activeCell="C16" sqref="C16:C17"/>
    </sheetView>
  </sheetViews>
  <sheetFormatPr defaultColWidth="8.90625" defaultRowHeight="16" x14ac:dyDescent="0.35"/>
  <cols>
    <col min="1" max="1" width="10.6328125" style="1" customWidth="1"/>
    <col min="2" max="2" width="20.6328125" style="1" customWidth="1"/>
    <col min="3" max="3" width="80.6328125" style="1" customWidth="1"/>
    <col min="4" max="4" width="8.6328125" style="1" customWidth="1"/>
    <col min="5" max="5" width="10.6328125" style="1" customWidth="1"/>
    <col min="6" max="6" width="12.6328125" style="1" customWidth="1"/>
    <col min="7" max="7" width="15.6328125" style="1" customWidth="1"/>
    <col min="8" max="8" width="22.6328125" style="1" customWidth="1"/>
    <col min="9" max="9" width="15.6328125" style="1" customWidth="1"/>
    <col min="10" max="10" width="22.6328125" style="1" customWidth="1"/>
    <col min="11" max="11" width="15.6328125" style="1" customWidth="1"/>
    <col min="12" max="13" width="22.6328125" style="1" customWidth="1"/>
    <col min="14" max="14" width="23.453125" style="1" customWidth="1"/>
    <col min="15" max="64" width="8.90625" style="2"/>
    <col min="65" max="16384" width="8.90625" style="1"/>
  </cols>
  <sheetData>
    <row r="1" spans="1:14" s="2" customFormat="1" ht="53" customHeight="1" x14ac:dyDescent="0.35">
      <c r="A1" s="35" t="str">
        <f>'1.01_PRE'!A1</f>
        <v>პროექტის დასახელება: პროექტი 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2" customFormat="1" ht="26.4" customHeight="1" x14ac:dyDescent="0.35">
      <c r="A2" s="5" t="s">
        <v>193</v>
      </c>
      <c r="B2" s="5" t="str">
        <f>IF(ICMS!C13="GEO","ფასადის მოპირკეთება","Façade")</f>
        <v>ფასადის მოპირკეთება</v>
      </c>
    </row>
    <row r="3" spans="1:14" ht="25.25" customHeight="1" x14ac:dyDescent="0.35">
      <c r="A3" s="114" t="s">
        <v>0</v>
      </c>
      <c r="B3" s="109" t="str">
        <f>IF(ICMS!C13="GEO","ნახაზის კოდი","Drawing No.")</f>
        <v>ნახაზის კოდი</v>
      </c>
      <c r="C3" s="109" t="str">
        <f>IF(ICMS!C13="GEO","სამუშაოების დასახელება","Work Description")</f>
        <v>სამუშაოების დასახელება</v>
      </c>
      <c r="D3" s="116" t="str">
        <f>IF(ICMS!C13="GEO","განზ. ერთ.","Unit")</f>
        <v>განზ. ერთ.</v>
      </c>
      <c r="E3" s="109" t="str">
        <f>IF(ICMS!C13="GEO","ნორმატიული","Normative")</f>
        <v>ნორმატიული</v>
      </c>
      <c r="F3" s="109"/>
      <c r="G3" s="109" t="str">
        <f>IF(ICMS!C13="GEO","მასალა","Material")</f>
        <v>მასალა</v>
      </c>
      <c r="H3" s="109"/>
      <c r="I3" s="109" t="str">
        <f>IF(ICMS!C13="GEO","ხელფასი","Salary")</f>
        <v>ხელფასი</v>
      </c>
      <c r="J3" s="109"/>
      <c r="K3" s="109" t="str">
        <f>IF(ICMS!C13="GEO","მექანიზმი/ტრანსპორტი","Mechanism/Transportation")</f>
        <v>მექანიზმი/ტრანსპორტი</v>
      </c>
      <c r="L3" s="109"/>
      <c r="M3" s="109" t="str">
        <f>IF(ICMS!C13="GEO","სულ","Total")</f>
        <v>სულ</v>
      </c>
      <c r="N3" s="111" t="str">
        <f>IF(ICMS!C13="GEO","შენიშვნა","Remark")</f>
        <v>შენიშვნა</v>
      </c>
    </row>
    <row r="4" spans="1:14" ht="25.25" customHeight="1" x14ac:dyDescent="0.35">
      <c r="A4" s="115"/>
      <c r="B4" s="110"/>
      <c r="C4" s="110"/>
      <c r="D4" s="113"/>
      <c r="E4" s="113" t="str">
        <f>IF(ICMS!C13="GEO","ერთ.","Unit Rate")</f>
        <v>ერთ.</v>
      </c>
      <c r="F4" s="110" t="str">
        <f>IF(ICMS!C13="GEO","რაოდ","Q-ty")</f>
        <v>რაოდ</v>
      </c>
      <c r="G4" s="3" t="str">
        <f>IF(ICMS!C13="GEO","ერთ.","Unit")</f>
        <v>ერთ.</v>
      </c>
      <c r="H4" s="110" t="str">
        <f>IF(ICMS!C13="GEO","ჯამი","Sum")</f>
        <v>ჯამი</v>
      </c>
      <c r="I4" s="3" t="str">
        <f>IF(ICMS!C13="GEO","ერთ.","Unit")</f>
        <v>ერთ.</v>
      </c>
      <c r="J4" s="110" t="str">
        <f>IF(ICMS!C13="GEO","ჯამი","Sum")</f>
        <v>ჯამი</v>
      </c>
      <c r="K4" s="3" t="str">
        <f>IF(ICMS!C13="GEO","ერთ.","Unit")</f>
        <v>ერთ.</v>
      </c>
      <c r="L4" s="110" t="str">
        <f>IF(ICMS!C13="GEO","ჯამი","Sum")</f>
        <v>ჯამი</v>
      </c>
      <c r="M4" s="110"/>
      <c r="N4" s="112"/>
    </row>
    <row r="5" spans="1:14" ht="24.65" customHeight="1" x14ac:dyDescent="0.35">
      <c r="A5" s="115"/>
      <c r="B5" s="110"/>
      <c r="C5" s="110"/>
      <c r="D5" s="113"/>
      <c r="E5" s="113"/>
      <c r="F5" s="110"/>
      <c r="G5" s="3" t="str">
        <f>IF(ICMS!C13="GEO","ფასი","Price")</f>
        <v>ფასი</v>
      </c>
      <c r="H5" s="110"/>
      <c r="I5" s="3" t="str">
        <f>IF(ICMS!C13="GEO","ფასი","Price")</f>
        <v>ფასი</v>
      </c>
      <c r="J5" s="110"/>
      <c r="K5" s="3" t="str">
        <f>IF(ICMS!C13="GEO","ფასი","Price")</f>
        <v>ფასი</v>
      </c>
      <c r="L5" s="110"/>
      <c r="M5" s="110"/>
      <c r="N5" s="112"/>
    </row>
    <row r="6" spans="1:14" ht="25.25" customHeight="1" x14ac:dyDescent="0.35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2">
        <v>14</v>
      </c>
    </row>
    <row r="7" spans="1:14" s="2" customFormat="1" ht="11" customHeight="1" x14ac:dyDescent="0.35"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35" customHeight="1" x14ac:dyDescent="0.35">
      <c r="A8" s="37">
        <v>1</v>
      </c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spans="1:14" ht="25.25" customHeight="1" x14ac:dyDescent="0.35">
      <c r="A9" s="60"/>
      <c r="B9" s="66"/>
      <c r="C9" s="33"/>
      <c r="D9" s="26"/>
      <c r="E9" s="26"/>
      <c r="F9" s="67"/>
      <c r="G9" s="25"/>
      <c r="H9" s="24"/>
      <c r="I9" s="25"/>
      <c r="J9" s="24"/>
      <c r="K9" s="25"/>
      <c r="L9" s="24"/>
      <c r="M9" s="24"/>
      <c r="N9" s="62"/>
    </row>
    <row r="10" spans="1:14" ht="25.25" customHeight="1" x14ac:dyDescent="0.35">
      <c r="A10" s="60"/>
      <c r="B10" s="66"/>
      <c r="C10" s="33"/>
      <c r="D10" s="26"/>
      <c r="E10" s="26"/>
      <c r="F10" s="68"/>
      <c r="G10" s="25"/>
      <c r="H10" s="24"/>
      <c r="I10" s="25"/>
      <c r="J10" s="24"/>
      <c r="K10" s="25"/>
      <c r="L10" s="24"/>
      <c r="M10" s="24"/>
      <c r="N10" s="48"/>
    </row>
    <row r="11" spans="1:14" ht="24.65" customHeight="1" x14ac:dyDescent="0.35">
      <c r="A11" s="60"/>
      <c r="B11" s="66"/>
      <c r="C11" s="33"/>
      <c r="D11" s="26"/>
      <c r="E11" s="26"/>
      <c r="F11" s="68"/>
      <c r="G11" s="25"/>
      <c r="H11" s="24"/>
      <c r="I11" s="25"/>
      <c r="J11" s="24"/>
      <c r="K11" s="25"/>
      <c r="L11" s="24"/>
      <c r="M11" s="24"/>
      <c r="N11" s="48"/>
    </row>
    <row r="12" spans="1:14" ht="25.25" customHeight="1" x14ac:dyDescent="0.35">
      <c r="A12" s="60"/>
      <c r="B12" s="66"/>
      <c r="C12" s="33"/>
      <c r="D12" s="26"/>
      <c r="E12" s="26"/>
      <c r="F12" s="68"/>
      <c r="G12" s="25"/>
      <c r="H12" s="24"/>
      <c r="I12" s="25"/>
      <c r="J12" s="24"/>
      <c r="K12" s="25"/>
      <c r="L12" s="24"/>
      <c r="M12" s="24"/>
      <c r="N12" s="48"/>
    </row>
    <row r="13" spans="1:14" ht="25.25" customHeight="1" x14ac:dyDescent="0.35">
      <c r="A13" s="60"/>
      <c r="B13" s="66"/>
      <c r="C13" s="33"/>
      <c r="D13" s="26"/>
      <c r="E13" s="26"/>
      <c r="F13" s="68"/>
      <c r="G13" s="25"/>
      <c r="H13" s="24"/>
      <c r="I13" s="25"/>
      <c r="J13" s="24"/>
      <c r="K13" s="25"/>
      <c r="L13" s="24"/>
      <c r="M13" s="24"/>
      <c r="N13" s="48"/>
    </row>
    <row r="14" spans="1:14" ht="25.25" customHeight="1" x14ac:dyDescent="0.35">
      <c r="A14" s="60"/>
      <c r="B14" s="66"/>
      <c r="C14" s="33"/>
      <c r="D14" s="26"/>
      <c r="E14" s="34"/>
      <c r="F14" s="34"/>
      <c r="G14" s="25"/>
      <c r="H14" s="24"/>
      <c r="I14" s="25"/>
      <c r="J14" s="24"/>
      <c r="K14" s="25"/>
      <c r="L14" s="24"/>
      <c r="M14" s="24"/>
      <c r="N14" s="48"/>
    </row>
    <row r="15" spans="1:14" ht="25.25" customHeight="1" x14ac:dyDescent="0.35">
      <c r="A15" s="60"/>
      <c r="B15" s="66"/>
      <c r="C15" s="63"/>
      <c r="D15" s="64"/>
      <c r="E15" s="64"/>
      <c r="F15" s="64"/>
      <c r="G15" s="46"/>
      <c r="H15" s="27"/>
      <c r="I15" s="46"/>
      <c r="J15" s="27"/>
      <c r="K15" s="46"/>
      <c r="L15" s="27"/>
      <c r="M15" s="28"/>
      <c r="N15" s="49"/>
    </row>
    <row r="16" spans="1:14" ht="25.25" customHeight="1" x14ac:dyDescent="0.35">
      <c r="A16" s="60"/>
      <c r="B16" s="66"/>
      <c r="C16" s="63"/>
      <c r="D16" s="64"/>
      <c r="E16" s="64"/>
      <c r="F16" s="64"/>
      <c r="G16" s="46"/>
      <c r="H16" s="27"/>
      <c r="I16" s="46"/>
      <c r="J16" s="27"/>
      <c r="K16" s="46"/>
      <c r="L16" s="27"/>
      <c r="M16" s="28"/>
      <c r="N16" s="49"/>
    </row>
    <row r="17" spans="1:14" ht="25.25" customHeight="1" x14ac:dyDescent="0.35">
      <c r="A17" s="60"/>
      <c r="B17" s="66"/>
      <c r="C17" s="63"/>
      <c r="D17" s="64"/>
      <c r="E17" s="64"/>
      <c r="F17" s="64"/>
      <c r="G17" s="46"/>
      <c r="H17" s="27"/>
      <c r="I17" s="46"/>
      <c r="J17" s="27"/>
      <c r="K17" s="46"/>
      <c r="L17" s="27"/>
      <c r="M17" s="28"/>
      <c r="N17" s="49"/>
    </row>
    <row r="18" spans="1:14" ht="25.25" customHeight="1" x14ac:dyDescent="0.35">
      <c r="A18" s="60"/>
      <c r="B18" s="66"/>
      <c r="C18" s="63"/>
      <c r="D18" s="64"/>
      <c r="E18" s="64"/>
      <c r="F18" s="64"/>
      <c r="G18" s="46"/>
      <c r="H18" s="27"/>
      <c r="I18" s="46"/>
      <c r="J18" s="27"/>
      <c r="K18" s="46"/>
      <c r="L18" s="27"/>
      <c r="M18" s="28"/>
      <c r="N18" s="49"/>
    </row>
    <row r="19" spans="1:14" ht="25.25" customHeight="1" x14ac:dyDescent="0.35">
      <c r="A19" s="60"/>
      <c r="B19" s="66"/>
      <c r="C19" s="63"/>
      <c r="D19" s="64"/>
      <c r="E19" s="64"/>
      <c r="F19" s="64"/>
      <c r="G19" s="46"/>
      <c r="H19" s="27"/>
      <c r="I19" s="46"/>
      <c r="J19" s="27"/>
      <c r="K19" s="46"/>
      <c r="L19" s="27"/>
      <c r="M19" s="28"/>
      <c r="N19" s="49"/>
    </row>
    <row r="20" spans="1:14" ht="25.25" customHeight="1" x14ac:dyDescent="0.35">
      <c r="A20" s="60"/>
      <c r="B20" s="66"/>
      <c r="C20" s="63"/>
      <c r="D20" s="64"/>
      <c r="E20" s="64"/>
      <c r="F20" s="64"/>
      <c r="G20" s="46"/>
      <c r="H20" s="27"/>
      <c r="I20" s="46"/>
      <c r="J20" s="27"/>
      <c r="K20" s="46"/>
      <c r="L20" s="27"/>
      <c r="M20" s="28"/>
      <c r="N20" s="49"/>
    </row>
    <row r="21" spans="1:14" s="2" customFormat="1" ht="11" customHeight="1" x14ac:dyDescent="0.35">
      <c r="A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25.25" customHeight="1" x14ac:dyDescent="0.35">
      <c r="A22" s="38"/>
      <c r="B22" s="13"/>
      <c r="C22" s="14" t="str">
        <f>IF(ICMS!C13="GEO","ჯამი","Sum")</f>
        <v>ჯამი</v>
      </c>
      <c r="D22" s="15"/>
      <c r="E22" s="15"/>
      <c r="F22" s="15"/>
      <c r="G22" s="16"/>
      <c r="H22" s="16">
        <f>SUM(H8:H20)</f>
        <v>0</v>
      </c>
      <c r="I22" s="16"/>
      <c r="J22" s="16">
        <f>SUM(J8:J20)</f>
        <v>0</v>
      </c>
      <c r="K22" s="16"/>
      <c r="L22" s="16">
        <f>SUM(L8:L20)</f>
        <v>0</v>
      </c>
      <c r="M22" s="16">
        <f>L22+J22+H22</f>
        <v>0</v>
      </c>
      <c r="N22" s="17"/>
    </row>
    <row r="23" spans="1:14" ht="25.25" customHeight="1" x14ac:dyDescent="0.35">
      <c r="A23" s="39"/>
      <c r="B23" s="4"/>
      <c r="C23" s="3" t="str">
        <f>IF(ICMS!C13="GEO","ზედნადები ხარჯები","Overhead Cost")</f>
        <v>ზედნადები ხარჯები</v>
      </c>
      <c r="D23" s="7"/>
      <c r="E23" s="7"/>
      <c r="F23" s="8">
        <v>0.1</v>
      </c>
      <c r="G23" s="9"/>
      <c r="H23" s="9"/>
      <c r="I23" s="9"/>
      <c r="J23" s="9"/>
      <c r="K23" s="9"/>
      <c r="L23" s="9"/>
      <c r="M23" s="9">
        <f>ROUND(F23*M22,2)</f>
        <v>0</v>
      </c>
      <c r="N23" s="18"/>
    </row>
    <row r="24" spans="1:14" ht="25.25" customHeight="1" x14ac:dyDescent="0.35">
      <c r="A24" s="39"/>
      <c r="B24" s="4"/>
      <c r="C24" s="3" t="str">
        <f>IF(ICMS!C13="GEO","ჯამი","Sum")</f>
        <v>ჯამი</v>
      </c>
      <c r="D24" s="7"/>
      <c r="E24" s="7"/>
      <c r="F24" s="8"/>
      <c r="G24" s="9"/>
      <c r="H24" s="9"/>
      <c r="I24" s="9"/>
      <c r="J24" s="9"/>
      <c r="K24" s="9"/>
      <c r="L24" s="9"/>
      <c r="M24" s="9">
        <f>M23+M22</f>
        <v>0</v>
      </c>
      <c r="N24" s="18"/>
    </row>
    <row r="25" spans="1:14" ht="25.25" customHeight="1" x14ac:dyDescent="0.35">
      <c r="A25" s="39"/>
      <c r="B25" s="4"/>
      <c r="C25" s="3" t="str">
        <f>IF(ICMS!C13="GEO","გეგმიური დაგროვება","Profit")</f>
        <v>გეგმიური დაგროვება</v>
      </c>
      <c r="D25" s="7"/>
      <c r="E25" s="7"/>
      <c r="F25" s="8">
        <v>0.08</v>
      </c>
      <c r="G25" s="9"/>
      <c r="H25" s="9"/>
      <c r="I25" s="9"/>
      <c r="J25" s="9"/>
      <c r="K25" s="9"/>
      <c r="L25" s="9"/>
      <c r="M25" s="9">
        <f>ROUND(F25*M24,2)</f>
        <v>0</v>
      </c>
      <c r="N25" s="18"/>
    </row>
    <row r="26" spans="1:14" ht="25.25" customHeight="1" x14ac:dyDescent="0.35">
      <c r="A26" s="40"/>
      <c r="B26" s="19"/>
      <c r="C26" s="20" t="str">
        <f>IF(ICMS!C13="GEO","ჯამი","Sum")</f>
        <v>ჯამი</v>
      </c>
      <c r="D26" s="21"/>
      <c r="E26" s="21"/>
      <c r="F26" s="21"/>
      <c r="G26" s="22"/>
      <c r="H26" s="22"/>
      <c r="I26" s="22"/>
      <c r="J26" s="22"/>
      <c r="K26" s="22"/>
      <c r="L26" s="22"/>
      <c r="M26" s="22">
        <f>M25+M24</f>
        <v>0</v>
      </c>
      <c r="N26" s="23"/>
    </row>
    <row r="27" spans="1:14" s="2" customFormat="1" ht="25.25" customHeight="1" x14ac:dyDescent="0.35"/>
    <row r="28" spans="1:14" s="2" customFormat="1" ht="25.25" customHeight="1" x14ac:dyDescent="0.35"/>
    <row r="29" spans="1:14" s="2" customFormat="1" ht="25.25" customHeight="1" x14ac:dyDescent="0.35"/>
    <row r="30" spans="1:14" s="2" customFormat="1" ht="25.25" customHeight="1" x14ac:dyDescent="0.35"/>
    <row r="31" spans="1:14" s="2" customFormat="1" ht="25.25" customHeight="1" x14ac:dyDescent="0.35"/>
    <row r="32" spans="1:14" s="2" customFormat="1" ht="25.25" customHeight="1" x14ac:dyDescent="0.35"/>
    <row r="33" s="2" customFormat="1" ht="25.25" customHeight="1" x14ac:dyDescent="0.35"/>
    <row r="34" s="2" customFormat="1" ht="25.25" customHeight="1" x14ac:dyDescent="0.35"/>
    <row r="35" s="2" customFormat="1" ht="25.25" customHeight="1" x14ac:dyDescent="0.35"/>
    <row r="36" s="2" customFormat="1" ht="25.25" customHeight="1" x14ac:dyDescent="0.35"/>
    <row r="37" s="2" customFormat="1" ht="25.25" customHeight="1" x14ac:dyDescent="0.35"/>
    <row r="38" s="2" customFormat="1" ht="25.25" customHeight="1" x14ac:dyDescent="0.35"/>
    <row r="39" s="2" customFormat="1" ht="25.25" customHeight="1" x14ac:dyDescent="0.35"/>
    <row r="40" s="2" customFormat="1" ht="25.25" customHeigh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</sheetData>
  <mergeCells count="15">
    <mergeCell ref="I3:J3"/>
    <mergeCell ref="K3:L3"/>
    <mergeCell ref="M3:M5"/>
    <mergeCell ref="N3:N5"/>
    <mergeCell ref="E4:E5"/>
    <mergeCell ref="F4:F5"/>
    <mergeCell ref="H4:H5"/>
    <mergeCell ref="J4:J5"/>
    <mergeCell ref="L4:L5"/>
    <mergeCell ref="G3:H3"/>
    <mergeCell ref="A3:A5"/>
    <mergeCell ref="B3:B5"/>
    <mergeCell ref="C3:C5"/>
    <mergeCell ref="D3:D5"/>
    <mergeCell ref="E3:F3"/>
  </mergeCells>
  <pageMargins left="0.4" right="0.03" top="0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BL1688"/>
  <sheetViews>
    <sheetView zoomScale="55" zoomScaleNormal="55" workbookViewId="0">
      <selection activeCell="C16" sqref="C16:C17"/>
    </sheetView>
  </sheetViews>
  <sheetFormatPr defaultColWidth="8.90625" defaultRowHeight="16" x14ac:dyDescent="0.35"/>
  <cols>
    <col min="1" max="1" width="10.6328125" style="1" customWidth="1"/>
    <col min="2" max="2" width="20.6328125" style="1" customWidth="1"/>
    <col min="3" max="3" width="80.6328125" style="1" customWidth="1"/>
    <col min="4" max="4" width="8.6328125" style="1" customWidth="1"/>
    <col min="5" max="5" width="10.6328125" style="1" customWidth="1"/>
    <col min="6" max="6" width="12.6328125" style="1" customWidth="1"/>
    <col min="7" max="7" width="15.6328125" style="1" customWidth="1"/>
    <col min="8" max="8" width="22.6328125" style="1" customWidth="1"/>
    <col min="9" max="9" width="15.6328125" style="1" customWidth="1"/>
    <col min="10" max="10" width="22.6328125" style="1" customWidth="1"/>
    <col min="11" max="11" width="15.6328125" style="1" customWidth="1"/>
    <col min="12" max="13" width="22.6328125" style="1" customWidth="1"/>
    <col min="14" max="14" width="23.453125" style="1" customWidth="1"/>
    <col min="15" max="64" width="8.90625" style="2"/>
    <col min="65" max="16384" width="8.90625" style="1"/>
  </cols>
  <sheetData>
    <row r="1" spans="1:14" s="2" customFormat="1" ht="53" customHeight="1" x14ac:dyDescent="0.35">
      <c r="A1" s="35" t="str">
        <f>'1.01_PRE'!A1</f>
        <v>პროექტის დასახელება: პროექტი 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2" customFormat="1" ht="26.4" customHeight="1" x14ac:dyDescent="0.35">
      <c r="A2" s="5" t="s">
        <v>194</v>
      </c>
      <c r="B2" s="5" t="str">
        <f>IF(ICMS!C13="GEO","კარების სამონტაჟო სამუშაოები","Doors")</f>
        <v>კარების სამონტაჟო სამუშაოები</v>
      </c>
    </row>
    <row r="3" spans="1:14" ht="25.25" customHeight="1" x14ac:dyDescent="0.35">
      <c r="A3" s="114" t="s">
        <v>0</v>
      </c>
      <c r="B3" s="109" t="str">
        <f>IF(ICMS!C13="GEO","ნახაზის კოდი","Drawing No.")</f>
        <v>ნახაზის კოდი</v>
      </c>
      <c r="C3" s="109" t="str">
        <f>IF(ICMS!C13="GEO","სამუშაოების დასახელება","Work Description")</f>
        <v>სამუშაოების დასახელება</v>
      </c>
      <c r="D3" s="116" t="str">
        <f>IF(ICMS!C13="GEO","განზ. ერთ.","Unit")</f>
        <v>განზ. ერთ.</v>
      </c>
      <c r="E3" s="109" t="str">
        <f>IF(ICMS!C13="GEO","ნორმატიული","Normative")</f>
        <v>ნორმატიული</v>
      </c>
      <c r="F3" s="109"/>
      <c r="G3" s="109" t="str">
        <f>IF(ICMS!C13="GEO","მასალა","Material")</f>
        <v>მასალა</v>
      </c>
      <c r="H3" s="109"/>
      <c r="I3" s="109" t="str">
        <f>IF(ICMS!C13="GEO","ხელფასი","Salary")</f>
        <v>ხელფასი</v>
      </c>
      <c r="J3" s="109"/>
      <c r="K3" s="109" t="str">
        <f>IF(ICMS!C13="GEO","მექანიზმი/ტრანსპორტი","Mechanism/Transportation")</f>
        <v>მექანიზმი/ტრანსპორტი</v>
      </c>
      <c r="L3" s="109"/>
      <c r="M3" s="109" t="str">
        <f>IF(ICMS!C13="GEO","სულ","Total")</f>
        <v>სულ</v>
      </c>
      <c r="N3" s="111" t="str">
        <f>IF(ICMS!C13="GEO","შენიშვნა","Remark")</f>
        <v>შენიშვნა</v>
      </c>
    </row>
    <row r="4" spans="1:14" ht="25.25" customHeight="1" x14ac:dyDescent="0.35">
      <c r="A4" s="115"/>
      <c r="B4" s="110"/>
      <c r="C4" s="110"/>
      <c r="D4" s="113"/>
      <c r="E4" s="113" t="str">
        <f>IF(ICMS!C13="GEO","ერთ.","Unit Rate")</f>
        <v>ერთ.</v>
      </c>
      <c r="F4" s="110" t="str">
        <f>IF(ICMS!C13="GEO","რაოდ","Q-ty")</f>
        <v>რაოდ</v>
      </c>
      <c r="G4" s="3" t="str">
        <f>IF(ICMS!C13="GEO","ერთ.","Unit")</f>
        <v>ერთ.</v>
      </c>
      <c r="H4" s="110" t="str">
        <f>IF(ICMS!C13="GEO","ჯამი","Sum")</f>
        <v>ჯამი</v>
      </c>
      <c r="I4" s="3" t="str">
        <f>IF(ICMS!C13="GEO","ერთ.","Unit")</f>
        <v>ერთ.</v>
      </c>
      <c r="J4" s="110" t="str">
        <f>IF(ICMS!C13="GEO","ჯამი","Sum")</f>
        <v>ჯამი</v>
      </c>
      <c r="K4" s="3" t="str">
        <f>IF(ICMS!C13="GEO","ერთ.","Unit")</f>
        <v>ერთ.</v>
      </c>
      <c r="L4" s="110" t="str">
        <f>IF(ICMS!C13="GEO","ჯამი","Sum")</f>
        <v>ჯამი</v>
      </c>
      <c r="M4" s="110"/>
      <c r="N4" s="112"/>
    </row>
    <row r="5" spans="1:14" ht="24.65" customHeight="1" x14ac:dyDescent="0.35">
      <c r="A5" s="115"/>
      <c r="B5" s="110"/>
      <c r="C5" s="110"/>
      <c r="D5" s="113"/>
      <c r="E5" s="113"/>
      <c r="F5" s="110"/>
      <c r="G5" s="3" t="str">
        <f>IF(ICMS!C13="GEO","ფასი","Price")</f>
        <v>ფასი</v>
      </c>
      <c r="H5" s="110"/>
      <c r="I5" s="3" t="str">
        <f>IF(ICMS!C13="GEO","ფასი","Price")</f>
        <v>ფასი</v>
      </c>
      <c r="J5" s="110"/>
      <c r="K5" s="3" t="str">
        <f>IF(ICMS!C13="GEO","ფასი","Price")</f>
        <v>ფასი</v>
      </c>
      <c r="L5" s="110"/>
      <c r="M5" s="110"/>
      <c r="N5" s="112"/>
    </row>
    <row r="6" spans="1:14" ht="25.25" customHeight="1" x14ac:dyDescent="0.35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2">
        <v>14</v>
      </c>
    </row>
    <row r="7" spans="1:14" s="2" customFormat="1" ht="11" customHeight="1" x14ac:dyDescent="0.35"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35" customHeight="1" x14ac:dyDescent="0.35">
      <c r="A8" s="37">
        <v>1</v>
      </c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spans="1:14" ht="25.25" customHeight="1" x14ac:dyDescent="0.35">
      <c r="A9" s="60"/>
      <c r="B9" s="66"/>
      <c r="C9" s="33"/>
      <c r="D9" s="26"/>
      <c r="E9" s="26"/>
      <c r="F9" s="67"/>
      <c r="G9" s="25"/>
      <c r="H9" s="24"/>
      <c r="I9" s="25"/>
      <c r="J9" s="24"/>
      <c r="K9" s="25"/>
      <c r="L9" s="24"/>
      <c r="M9" s="24"/>
      <c r="N9" s="62"/>
    </row>
    <row r="10" spans="1:14" ht="25.25" customHeight="1" x14ac:dyDescent="0.35">
      <c r="A10" s="60"/>
      <c r="B10" s="66"/>
      <c r="C10" s="33"/>
      <c r="D10" s="26"/>
      <c r="E10" s="26"/>
      <c r="F10" s="68"/>
      <c r="G10" s="25"/>
      <c r="H10" s="24"/>
      <c r="I10" s="25"/>
      <c r="J10" s="24"/>
      <c r="K10" s="25"/>
      <c r="L10" s="24"/>
      <c r="M10" s="24"/>
      <c r="N10" s="48"/>
    </row>
    <row r="11" spans="1:14" ht="24.65" customHeight="1" x14ac:dyDescent="0.35">
      <c r="A11" s="60"/>
      <c r="B11" s="66"/>
      <c r="C11" s="33"/>
      <c r="D11" s="26"/>
      <c r="E11" s="26"/>
      <c r="F11" s="68"/>
      <c r="G11" s="25"/>
      <c r="H11" s="24"/>
      <c r="I11" s="25"/>
      <c r="J11" s="24"/>
      <c r="K11" s="25"/>
      <c r="L11" s="24"/>
      <c r="M11" s="24"/>
      <c r="N11" s="48"/>
    </row>
    <row r="12" spans="1:14" ht="25.25" customHeight="1" x14ac:dyDescent="0.35">
      <c r="A12" s="60"/>
      <c r="B12" s="66"/>
      <c r="C12" s="33"/>
      <c r="D12" s="26"/>
      <c r="E12" s="26"/>
      <c r="F12" s="68"/>
      <c r="G12" s="25"/>
      <c r="H12" s="24"/>
      <c r="I12" s="25"/>
      <c r="J12" s="24"/>
      <c r="K12" s="25"/>
      <c r="L12" s="24"/>
      <c r="M12" s="24"/>
      <c r="N12" s="48"/>
    </row>
    <row r="13" spans="1:14" ht="25.25" customHeight="1" x14ac:dyDescent="0.35">
      <c r="A13" s="60"/>
      <c r="B13" s="66"/>
      <c r="C13" s="33"/>
      <c r="D13" s="26"/>
      <c r="E13" s="26"/>
      <c r="F13" s="68"/>
      <c r="G13" s="25"/>
      <c r="H13" s="24"/>
      <c r="I13" s="25"/>
      <c r="J13" s="24"/>
      <c r="K13" s="25"/>
      <c r="L13" s="24"/>
      <c r="M13" s="24"/>
      <c r="N13" s="48"/>
    </row>
    <row r="14" spans="1:14" ht="25.25" customHeight="1" x14ac:dyDescent="0.35">
      <c r="A14" s="60"/>
      <c r="B14" s="66"/>
      <c r="C14" s="33"/>
      <c r="D14" s="26"/>
      <c r="E14" s="34"/>
      <c r="F14" s="34"/>
      <c r="G14" s="25"/>
      <c r="H14" s="24"/>
      <c r="I14" s="25"/>
      <c r="J14" s="24"/>
      <c r="K14" s="25"/>
      <c r="L14" s="24"/>
      <c r="M14" s="24"/>
      <c r="N14" s="48"/>
    </row>
    <row r="15" spans="1:14" ht="25.25" customHeight="1" x14ac:dyDescent="0.35">
      <c r="A15" s="60"/>
      <c r="B15" s="66"/>
      <c r="C15" s="63"/>
      <c r="D15" s="64"/>
      <c r="E15" s="64"/>
      <c r="F15" s="64"/>
      <c r="G15" s="46"/>
      <c r="H15" s="27"/>
      <c r="I15" s="46"/>
      <c r="J15" s="27"/>
      <c r="K15" s="46"/>
      <c r="L15" s="27"/>
      <c r="M15" s="28"/>
      <c r="N15" s="49"/>
    </row>
    <row r="16" spans="1:14" ht="25.25" customHeight="1" x14ac:dyDescent="0.35">
      <c r="A16" s="60"/>
      <c r="B16" s="66"/>
      <c r="C16" s="63"/>
      <c r="D16" s="64"/>
      <c r="E16" s="64"/>
      <c r="F16" s="64"/>
      <c r="G16" s="46"/>
      <c r="H16" s="27"/>
      <c r="I16" s="46"/>
      <c r="J16" s="27"/>
      <c r="K16" s="46"/>
      <c r="L16" s="27"/>
      <c r="M16" s="28"/>
      <c r="N16" s="49"/>
    </row>
    <row r="17" spans="1:14" ht="25.25" customHeight="1" x14ac:dyDescent="0.35">
      <c r="A17" s="60"/>
      <c r="B17" s="66"/>
      <c r="C17" s="63"/>
      <c r="D17" s="64"/>
      <c r="E17" s="64"/>
      <c r="F17" s="64"/>
      <c r="G17" s="46"/>
      <c r="H17" s="27"/>
      <c r="I17" s="46"/>
      <c r="J17" s="27"/>
      <c r="K17" s="46"/>
      <c r="L17" s="27"/>
      <c r="M17" s="28"/>
      <c r="N17" s="49"/>
    </row>
    <row r="18" spans="1:14" ht="25.25" customHeight="1" x14ac:dyDescent="0.35">
      <c r="A18" s="60"/>
      <c r="B18" s="66"/>
      <c r="C18" s="63"/>
      <c r="D18" s="64"/>
      <c r="E18" s="64"/>
      <c r="F18" s="64"/>
      <c r="G18" s="46"/>
      <c r="H18" s="27"/>
      <c r="I18" s="46"/>
      <c r="J18" s="27"/>
      <c r="K18" s="46"/>
      <c r="L18" s="27"/>
      <c r="M18" s="28"/>
      <c r="N18" s="49"/>
    </row>
    <row r="19" spans="1:14" ht="25.25" customHeight="1" x14ac:dyDescent="0.35">
      <c r="A19" s="60"/>
      <c r="B19" s="66"/>
      <c r="C19" s="63"/>
      <c r="D19" s="64"/>
      <c r="E19" s="64"/>
      <c r="F19" s="64"/>
      <c r="G19" s="46"/>
      <c r="H19" s="27"/>
      <c r="I19" s="46"/>
      <c r="J19" s="27"/>
      <c r="K19" s="46"/>
      <c r="L19" s="27"/>
      <c r="M19" s="28"/>
      <c r="N19" s="49"/>
    </row>
    <row r="20" spans="1:14" ht="25.25" customHeight="1" x14ac:dyDescent="0.35">
      <c r="A20" s="60"/>
      <c r="B20" s="66"/>
      <c r="C20" s="63"/>
      <c r="D20" s="64"/>
      <c r="E20" s="64"/>
      <c r="F20" s="64"/>
      <c r="G20" s="46"/>
      <c r="H20" s="27"/>
      <c r="I20" s="46"/>
      <c r="J20" s="27"/>
      <c r="K20" s="46"/>
      <c r="L20" s="27"/>
      <c r="M20" s="28"/>
      <c r="N20" s="49"/>
    </row>
    <row r="21" spans="1:14" s="2" customFormat="1" ht="11" customHeight="1" x14ac:dyDescent="0.35">
      <c r="A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25.25" customHeight="1" x14ac:dyDescent="0.35">
      <c r="A22" s="38"/>
      <c r="B22" s="13"/>
      <c r="C22" s="14" t="str">
        <f>IF(ICMS!C13="GEO","ჯამი","Sum")</f>
        <v>ჯამი</v>
      </c>
      <c r="D22" s="15"/>
      <c r="E22" s="15"/>
      <c r="F22" s="15"/>
      <c r="G22" s="16"/>
      <c r="H22" s="16">
        <f>SUM(H8:H20)</f>
        <v>0</v>
      </c>
      <c r="I22" s="16"/>
      <c r="J22" s="16">
        <f>SUM(J8:J20)</f>
        <v>0</v>
      </c>
      <c r="K22" s="16"/>
      <c r="L22" s="16">
        <f>SUM(L8:L20)</f>
        <v>0</v>
      </c>
      <c r="M22" s="16">
        <f>L22+J22+H22</f>
        <v>0</v>
      </c>
      <c r="N22" s="17"/>
    </row>
    <row r="23" spans="1:14" ht="25.25" customHeight="1" x14ac:dyDescent="0.35">
      <c r="A23" s="39"/>
      <c r="B23" s="4"/>
      <c r="C23" s="3" t="str">
        <f>IF(ICMS!C13="GEO","ზედნადები ხარჯები","Overhead Cost")</f>
        <v>ზედნადები ხარჯები</v>
      </c>
      <c r="D23" s="7"/>
      <c r="E23" s="7"/>
      <c r="F23" s="8">
        <v>0.1</v>
      </c>
      <c r="G23" s="9"/>
      <c r="H23" s="9"/>
      <c r="I23" s="9"/>
      <c r="J23" s="9"/>
      <c r="K23" s="9"/>
      <c r="L23" s="9"/>
      <c r="M23" s="9">
        <f>ROUND(F23*M22,2)</f>
        <v>0</v>
      </c>
      <c r="N23" s="18"/>
    </row>
    <row r="24" spans="1:14" ht="25.25" customHeight="1" x14ac:dyDescent="0.35">
      <c r="A24" s="39"/>
      <c r="B24" s="4"/>
      <c r="C24" s="3" t="str">
        <f>IF(ICMS!C13="GEO","ჯამი","Sum")</f>
        <v>ჯამი</v>
      </c>
      <c r="D24" s="7"/>
      <c r="E24" s="7"/>
      <c r="F24" s="8"/>
      <c r="G24" s="9"/>
      <c r="H24" s="9"/>
      <c r="I24" s="9"/>
      <c r="J24" s="9"/>
      <c r="K24" s="9"/>
      <c r="L24" s="9"/>
      <c r="M24" s="9">
        <f>M23+M22</f>
        <v>0</v>
      </c>
      <c r="N24" s="18"/>
    </row>
    <row r="25" spans="1:14" ht="25.25" customHeight="1" x14ac:dyDescent="0.35">
      <c r="A25" s="39"/>
      <c r="B25" s="4"/>
      <c r="C25" s="3" t="str">
        <f>IF(ICMS!C13="GEO","გეგმიური დაგროვება","Profit")</f>
        <v>გეგმიური დაგროვება</v>
      </c>
      <c r="D25" s="7"/>
      <c r="E25" s="7"/>
      <c r="F25" s="8">
        <v>0.08</v>
      </c>
      <c r="G25" s="9"/>
      <c r="H25" s="9"/>
      <c r="I25" s="9"/>
      <c r="J25" s="9"/>
      <c r="K25" s="9"/>
      <c r="L25" s="9"/>
      <c r="M25" s="9">
        <f>ROUND(F25*M24,2)</f>
        <v>0</v>
      </c>
      <c r="N25" s="18"/>
    </row>
    <row r="26" spans="1:14" ht="25.25" customHeight="1" x14ac:dyDescent="0.35">
      <c r="A26" s="40"/>
      <c r="B26" s="19"/>
      <c r="C26" s="20" t="str">
        <f>IF(ICMS!C13="GEO","ჯამი","Sum")</f>
        <v>ჯამი</v>
      </c>
      <c r="D26" s="21"/>
      <c r="E26" s="21"/>
      <c r="F26" s="21"/>
      <c r="G26" s="22"/>
      <c r="H26" s="22"/>
      <c r="I26" s="22"/>
      <c r="J26" s="22"/>
      <c r="K26" s="22"/>
      <c r="L26" s="22"/>
      <c r="M26" s="22">
        <f>M25+M24</f>
        <v>0</v>
      </c>
      <c r="N26" s="23"/>
    </row>
    <row r="27" spans="1:14" s="2" customFormat="1" ht="25.25" customHeight="1" x14ac:dyDescent="0.35"/>
    <row r="28" spans="1:14" s="2" customFormat="1" ht="25.25" customHeight="1" x14ac:dyDescent="0.35"/>
    <row r="29" spans="1:14" s="2" customFormat="1" ht="25.25" customHeight="1" x14ac:dyDescent="0.35"/>
    <row r="30" spans="1:14" s="2" customFormat="1" ht="25.25" customHeight="1" x14ac:dyDescent="0.35"/>
    <row r="31" spans="1:14" s="2" customFormat="1" ht="25.25" customHeight="1" x14ac:dyDescent="0.35"/>
    <row r="32" spans="1:14" s="2" customFormat="1" ht="25.25" customHeight="1" x14ac:dyDescent="0.35"/>
    <row r="33" s="2" customFormat="1" ht="25.25" customHeight="1" x14ac:dyDescent="0.35"/>
    <row r="34" s="2" customFormat="1" ht="25.25" customHeight="1" x14ac:dyDescent="0.35"/>
    <row r="35" s="2" customFormat="1" ht="25.25" customHeight="1" x14ac:dyDescent="0.35"/>
    <row r="36" s="2" customFormat="1" ht="25.25" customHeight="1" x14ac:dyDescent="0.35"/>
    <row r="37" s="2" customFormat="1" ht="25.25" customHeight="1" x14ac:dyDescent="0.35"/>
    <row r="38" s="2" customFormat="1" ht="25.25" customHeight="1" x14ac:dyDescent="0.35"/>
    <row r="39" s="2" customFormat="1" ht="25.25" customHeight="1" x14ac:dyDescent="0.35"/>
    <row r="40" s="2" customFormat="1" ht="25.25" customHeigh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</sheetData>
  <mergeCells count="15">
    <mergeCell ref="I3:J3"/>
    <mergeCell ref="K3:L3"/>
    <mergeCell ref="M3:M5"/>
    <mergeCell ref="N3:N5"/>
    <mergeCell ref="E4:E5"/>
    <mergeCell ref="F4:F5"/>
    <mergeCell ref="H4:H5"/>
    <mergeCell ref="J4:J5"/>
    <mergeCell ref="L4:L5"/>
    <mergeCell ref="G3:H3"/>
    <mergeCell ref="A3:A5"/>
    <mergeCell ref="B3:B5"/>
    <mergeCell ref="C3:C5"/>
    <mergeCell ref="D3:D5"/>
    <mergeCell ref="E3:F3"/>
  </mergeCells>
  <pageMargins left="0.4" right="0.03" top="0" bottom="0.75" header="0.3" footer="0.3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BL1688"/>
  <sheetViews>
    <sheetView zoomScale="55" zoomScaleNormal="55" workbookViewId="0">
      <selection activeCell="C16" sqref="C16:C17"/>
    </sheetView>
  </sheetViews>
  <sheetFormatPr defaultColWidth="8.90625" defaultRowHeight="16" x14ac:dyDescent="0.35"/>
  <cols>
    <col min="1" max="1" width="10.6328125" style="1" customWidth="1"/>
    <col min="2" max="2" width="20.6328125" style="1" customWidth="1"/>
    <col min="3" max="3" width="80.6328125" style="1" customWidth="1"/>
    <col min="4" max="4" width="8.6328125" style="1" customWidth="1"/>
    <col min="5" max="5" width="10.6328125" style="1" customWidth="1"/>
    <col min="6" max="6" width="12.6328125" style="1" customWidth="1"/>
    <col min="7" max="7" width="15.6328125" style="1" customWidth="1"/>
    <col min="8" max="8" width="22.6328125" style="1" customWidth="1"/>
    <col min="9" max="9" width="15.6328125" style="1" customWidth="1"/>
    <col min="10" max="10" width="22.6328125" style="1" customWidth="1"/>
    <col min="11" max="11" width="15.6328125" style="1" customWidth="1"/>
    <col min="12" max="13" width="22.6328125" style="1" customWidth="1"/>
    <col min="14" max="14" width="23.453125" style="1" customWidth="1"/>
    <col min="15" max="64" width="8.90625" style="2"/>
    <col min="65" max="16384" width="8.90625" style="1"/>
  </cols>
  <sheetData>
    <row r="1" spans="1:14" s="2" customFormat="1" ht="53" customHeight="1" x14ac:dyDescent="0.35">
      <c r="A1" s="35" t="str">
        <f>'1.01_PRE'!A1</f>
        <v>პროექტის დასახელება: პროექტი 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2" customFormat="1" ht="26.4" customHeight="1" x14ac:dyDescent="0.35">
      <c r="A2" s="5" t="s">
        <v>195</v>
      </c>
      <c r="B2" s="5" t="str">
        <f>IF(ICMS!C13="GEO","კიბის უჯრედის სამუშაოები","Staircase")</f>
        <v>კიბის უჯრედის სამუშაოები</v>
      </c>
    </row>
    <row r="3" spans="1:14" ht="25.25" customHeight="1" x14ac:dyDescent="0.35">
      <c r="A3" s="114" t="s">
        <v>0</v>
      </c>
      <c r="B3" s="109" t="str">
        <f>IF(ICMS!C13="GEO","ნახაზის კოდი","Drawing No.")</f>
        <v>ნახაზის კოდი</v>
      </c>
      <c r="C3" s="109" t="str">
        <f>IF(ICMS!C13="GEO","სამუშაოების დასახელება","Work Description")</f>
        <v>სამუშაოების დასახელება</v>
      </c>
      <c r="D3" s="116" t="str">
        <f>IF(ICMS!C13="GEO","განზ. ერთ.","Unit")</f>
        <v>განზ. ერთ.</v>
      </c>
      <c r="E3" s="109" t="str">
        <f>IF(ICMS!C13="GEO","ნორმატიული","Normative")</f>
        <v>ნორმატიული</v>
      </c>
      <c r="F3" s="109"/>
      <c r="G3" s="109" t="str">
        <f>IF(ICMS!C13="GEO","მასალა","Material")</f>
        <v>მასალა</v>
      </c>
      <c r="H3" s="109"/>
      <c r="I3" s="109" t="str">
        <f>IF(ICMS!C13="GEO","ხელფასი","Salary")</f>
        <v>ხელფასი</v>
      </c>
      <c r="J3" s="109"/>
      <c r="K3" s="109" t="str">
        <f>IF(ICMS!C13="GEO","მექანიზმი/ტრანსპორტი","Mechanism/Transportation")</f>
        <v>მექანიზმი/ტრანსპორტი</v>
      </c>
      <c r="L3" s="109"/>
      <c r="M3" s="109" t="str">
        <f>IF(ICMS!C13="GEO","სულ","Total")</f>
        <v>სულ</v>
      </c>
      <c r="N3" s="111" t="str">
        <f>IF(ICMS!C13="GEO","შენიშვნა","Remark")</f>
        <v>შენიშვნა</v>
      </c>
    </row>
    <row r="4" spans="1:14" ht="25.25" customHeight="1" x14ac:dyDescent="0.35">
      <c r="A4" s="115"/>
      <c r="B4" s="110"/>
      <c r="C4" s="110"/>
      <c r="D4" s="113"/>
      <c r="E4" s="113" t="str">
        <f>IF(ICMS!C13="GEO","ერთ.","Unit Rate")</f>
        <v>ერთ.</v>
      </c>
      <c r="F4" s="110" t="str">
        <f>IF(ICMS!C13="GEO","რაოდ","Q-ty")</f>
        <v>რაოდ</v>
      </c>
      <c r="G4" s="3" t="str">
        <f>IF(ICMS!C13="GEO","ერთ.","Unit")</f>
        <v>ერთ.</v>
      </c>
      <c r="H4" s="110" t="str">
        <f>IF(ICMS!C13="GEO","ჯამი","Sum")</f>
        <v>ჯამი</v>
      </c>
      <c r="I4" s="3" t="str">
        <f>IF(ICMS!C13="GEO","ერთ.","Unit")</f>
        <v>ერთ.</v>
      </c>
      <c r="J4" s="110" t="str">
        <f>IF(ICMS!C13="GEO","ჯამი","Sum")</f>
        <v>ჯამი</v>
      </c>
      <c r="K4" s="3" t="str">
        <f>IF(ICMS!C13="GEO","ერთ.","Unit")</f>
        <v>ერთ.</v>
      </c>
      <c r="L4" s="110" t="str">
        <f>IF(ICMS!C13="GEO","ჯამი","Sum")</f>
        <v>ჯამი</v>
      </c>
      <c r="M4" s="110"/>
      <c r="N4" s="112"/>
    </row>
    <row r="5" spans="1:14" ht="24.65" customHeight="1" x14ac:dyDescent="0.35">
      <c r="A5" s="115"/>
      <c r="B5" s="110"/>
      <c r="C5" s="110"/>
      <c r="D5" s="113"/>
      <c r="E5" s="113"/>
      <c r="F5" s="110"/>
      <c r="G5" s="3" t="str">
        <f>IF(ICMS!C13="GEO","ფასი","Price")</f>
        <v>ფასი</v>
      </c>
      <c r="H5" s="110"/>
      <c r="I5" s="3" t="str">
        <f>IF(ICMS!C13="GEO","ფასი","Price")</f>
        <v>ფასი</v>
      </c>
      <c r="J5" s="110"/>
      <c r="K5" s="3" t="str">
        <f>IF(ICMS!C13="GEO","ფასი","Price")</f>
        <v>ფასი</v>
      </c>
      <c r="L5" s="110"/>
      <c r="M5" s="110"/>
      <c r="N5" s="112"/>
    </row>
    <row r="6" spans="1:14" ht="25.25" customHeight="1" x14ac:dyDescent="0.35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2">
        <v>14</v>
      </c>
    </row>
    <row r="7" spans="1:14" s="2" customFormat="1" ht="11" customHeight="1" x14ac:dyDescent="0.35"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35" customHeight="1" x14ac:dyDescent="0.35">
      <c r="A8" s="37">
        <v>1</v>
      </c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spans="1:14" ht="25.25" customHeight="1" x14ac:dyDescent="0.35">
      <c r="A9" s="60"/>
      <c r="B9" s="66"/>
      <c r="C9" s="33"/>
      <c r="D9" s="26"/>
      <c r="E9" s="26"/>
      <c r="F9" s="67"/>
      <c r="G9" s="25"/>
      <c r="H9" s="24"/>
      <c r="I9" s="25"/>
      <c r="J9" s="24"/>
      <c r="K9" s="25"/>
      <c r="L9" s="24"/>
      <c r="M9" s="24"/>
      <c r="N9" s="62"/>
    </row>
    <row r="10" spans="1:14" ht="25.25" customHeight="1" x14ac:dyDescent="0.35">
      <c r="A10" s="60"/>
      <c r="B10" s="66"/>
      <c r="C10" s="33"/>
      <c r="D10" s="26"/>
      <c r="E10" s="26"/>
      <c r="F10" s="68"/>
      <c r="G10" s="25"/>
      <c r="H10" s="24"/>
      <c r="I10" s="25"/>
      <c r="J10" s="24"/>
      <c r="K10" s="25"/>
      <c r="L10" s="24"/>
      <c r="M10" s="24"/>
      <c r="N10" s="48"/>
    </row>
    <row r="11" spans="1:14" ht="24.65" customHeight="1" x14ac:dyDescent="0.35">
      <c r="A11" s="60"/>
      <c r="B11" s="66"/>
      <c r="C11" s="33"/>
      <c r="D11" s="26"/>
      <c r="E11" s="26"/>
      <c r="F11" s="68"/>
      <c r="G11" s="25"/>
      <c r="H11" s="24"/>
      <c r="I11" s="25"/>
      <c r="J11" s="24"/>
      <c r="K11" s="25"/>
      <c r="L11" s="24"/>
      <c r="M11" s="24"/>
      <c r="N11" s="48"/>
    </row>
    <row r="12" spans="1:14" ht="25.25" customHeight="1" x14ac:dyDescent="0.35">
      <c r="A12" s="60"/>
      <c r="B12" s="66"/>
      <c r="C12" s="33"/>
      <c r="D12" s="26"/>
      <c r="E12" s="26"/>
      <c r="F12" s="68"/>
      <c r="G12" s="25"/>
      <c r="H12" s="24"/>
      <c r="I12" s="25"/>
      <c r="J12" s="24"/>
      <c r="K12" s="25"/>
      <c r="L12" s="24"/>
      <c r="M12" s="24"/>
      <c r="N12" s="48"/>
    </row>
    <row r="13" spans="1:14" ht="25.25" customHeight="1" x14ac:dyDescent="0.35">
      <c r="A13" s="60"/>
      <c r="B13" s="66"/>
      <c r="C13" s="33"/>
      <c r="D13" s="26"/>
      <c r="E13" s="26"/>
      <c r="F13" s="68"/>
      <c r="G13" s="25"/>
      <c r="H13" s="24"/>
      <c r="I13" s="25"/>
      <c r="J13" s="24"/>
      <c r="K13" s="25"/>
      <c r="L13" s="24"/>
      <c r="M13" s="24"/>
      <c r="N13" s="48"/>
    </row>
    <row r="14" spans="1:14" ht="25.25" customHeight="1" x14ac:dyDescent="0.35">
      <c r="A14" s="60"/>
      <c r="B14" s="66"/>
      <c r="C14" s="33"/>
      <c r="D14" s="26"/>
      <c r="E14" s="34"/>
      <c r="F14" s="34"/>
      <c r="G14" s="25"/>
      <c r="H14" s="24"/>
      <c r="I14" s="25"/>
      <c r="J14" s="24"/>
      <c r="K14" s="25"/>
      <c r="L14" s="24"/>
      <c r="M14" s="24"/>
      <c r="N14" s="48"/>
    </row>
    <row r="15" spans="1:14" ht="25.25" customHeight="1" x14ac:dyDescent="0.35">
      <c r="A15" s="60"/>
      <c r="B15" s="66"/>
      <c r="C15" s="63"/>
      <c r="D15" s="64"/>
      <c r="E15" s="64"/>
      <c r="F15" s="64"/>
      <c r="G15" s="46"/>
      <c r="H15" s="27"/>
      <c r="I15" s="46"/>
      <c r="J15" s="27"/>
      <c r="K15" s="46"/>
      <c r="L15" s="27"/>
      <c r="M15" s="28"/>
      <c r="N15" s="49"/>
    </row>
    <row r="16" spans="1:14" ht="25.25" customHeight="1" x14ac:dyDescent="0.35">
      <c r="A16" s="60"/>
      <c r="B16" s="66"/>
      <c r="C16" s="63"/>
      <c r="D16" s="64"/>
      <c r="E16" s="64"/>
      <c r="F16" s="64"/>
      <c r="G16" s="46"/>
      <c r="H16" s="27"/>
      <c r="I16" s="46"/>
      <c r="J16" s="27"/>
      <c r="K16" s="46"/>
      <c r="L16" s="27"/>
      <c r="M16" s="28"/>
      <c r="N16" s="49"/>
    </row>
    <row r="17" spans="1:14" ht="25.25" customHeight="1" x14ac:dyDescent="0.35">
      <c r="A17" s="60"/>
      <c r="B17" s="66"/>
      <c r="C17" s="63"/>
      <c r="D17" s="64"/>
      <c r="E17" s="64"/>
      <c r="F17" s="64"/>
      <c r="G17" s="46"/>
      <c r="H17" s="27"/>
      <c r="I17" s="46"/>
      <c r="J17" s="27"/>
      <c r="K17" s="46"/>
      <c r="L17" s="27"/>
      <c r="M17" s="28"/>
      <c r="N17" s="49"/>
    </row>
    <row r="18" spans="1:14" ht="25.25" customHeight="1" x14ac:dyDescent="0.35">
      <c r="A18" s="60"/>
      <c r="B18" s="66"/>
      <c r="C18" s="63"/>
      <c r="D18" s="64"/>
      <c r="E18" s="64"/>
      <c r="F18" s="64"/>
      <c r="G18" s="46"/>
      <c r="H18" s="27"/>
      <c r="I18" s="46"/>
      <c r="J18" s="27"/>
      <c r="K18" s="46"/>
      <c r="L18" s="27"/>
      <c r="M18" s="28"/>
      <c r="N18" s="49"/>
    </row>
    <row r="19" spans="1:14" ht="25.25" customHeight="1" x14ac:dyDescent="0.35">
      <c r="A19" s="60"/>
      <c r="B19" s="66"/>
      <c r="C19" s="63"/>
      <c r="D19" s="64"/>
      <c r="E19" s="64"/>
      <c r="F19" s="64"/>
      <c r="G19" s="46"/>
      <c r="H19" s="27"/>
      <c r="I19" s="46"/>
      <c r="J19" s="27"/>
      <c r="K19" s="46"/>
      <c r="L19" s="27"/>
      <c r="M19" s="28"/>
      <c r="N19" s="49"/>
    </row>
    <row r="20" spans="1:14" ht="25.25" customHeight="1" x14ac:dyDescent="0.35">
      <c r="A20" s="60"/>
      <c r="B20" s="66"/>
      <c r="C20" s="63"/>
      <c r="D20" s="64"/>
      <c r="E20" s="64"/>
      <c r="F20" s="64"/>
      <c r="G20" s="46"/>
      <c r="H20" s="27"/>
      <c r="I20" s="46"/>
      <c r="J20" s="27"/>
      <c r="K20" s="46"/>
      <c r="L20" s="27"/>
      <c r="M20" s="28"/>
      <c r="N20" s="49"/>
    </row>
    <row r="21" spans="1:14" s="2" customFormat="1" ht="11" customHeight="1" x14ac:dyDescent="0.35">
      <c r="A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25.25" customHeight="1" x14ac:dyDescent="0.35">
      <c r="A22" s="38"/>
      <c r="B22" s="13"/>
      <c r="C22" s="14" t="str">
        <f>IF(ICMS!C13="GEO","ჯამი","Sum")</f>
        <v>ჯამი</v>
      </c>
      <c r="D22" s="15"/>
      <c r="E22" s="15"/>
      <c r="F22" s="15"/>
      <c r="G22" s="16"/>
      <c r="H22" s="16">
        <f>SUM(H8:H20)</f>
        <v>0</v>
      </c>
      <c r="I22" s="16"/>
      <c r="J22" s="16">
        <f>SUM(J8:J20)</f>
        <v>0</v>
      </c>
      <c r="K22" s="16"/>
      <c r="L22" s="16">
        <f>SUM(L8:L20)</f>
        <v>0</v>
      </c>
      <c r="M22" s="16">
        <f>L22+J22+H22</f>
        <v>0</v>
      </c>
      <c r="N22" s="17"/>
    </row>
    <row r="23" spans="1:14" ht="25.25" customHeight="1" x14ac:dyDescent="0.35">
      <c r="A23" s="39"/>
      <c r="B23" s="4"/>
      <c r="C23" s="3" t="str">
        <f>IF(ICMS!C13="GEO","ზედნადები ხარჯები","Overhead Cost")</f>
        <v>ზედნადები ხარჯები</v>
      </c>
      <c r="D23" s="7"/>
      <c r="E23" s="7"/>
      <c r="F23" s="8">
        <v>0.1</v>
      </c>
      <c r="G23" s="9"/>
      <c r="H23" s="9"/>
      <c r="I23" s="9"/>
      <c r="J23" s="9"/>
      <c r="K23" s="9"/>
      <c r="L23" s="9"/>
      <c r="M23" s="9">
        <f>ROUND(F23*M22,2)</f>
        <v>0</v>
      </c>
      <c r="N23" s="18"/>
    </row>
    <row r="24" spans="1:14" ht="25.25" customHeight="1" x14ac:dyDescent="0.35">
      <c r="A24" s="39"/>
      <c r="B24" s="4"/>
      <c r="C24" s="3" t="str">
        <f>IF(ICMS!C13="GEO","ჯამი","Sum")</f>
        <v>ჯამი</v>
      </c>
      <c r="D24" s="7"/>
      <c r="E24" s="7"/>
      <c r="F24" s="8"/>
      <c r="G24" s="9"/>
      <c r="H24" s="9"/>
      <c r="I24" s="9"/>
      <c r="J24" s="9"/>
      <c r="K24" s="9"/>
      <c r="L24" s="9"/>
      <c r="M24" s="9">
        <f>M23+M22</f>
        <v>0</v>
      </c>
      <c r="N24" s="18"/>
    </row>
    <row r="25" spans="1:14" ht="25.25" customHeight="1" x14ac:dyDescent="0.35">
      <c r="A25" s="39"/>
      <c r="B25" s="4"/>
      <c r="C25" s="3" t="str">
        <f>IF(ICMS!C13="GEO","გეგმიური დაგროვება","Profit")</f>
        <v>გეგმიური დაგროვება</v>
      </c>
      <c r="D25" s="7"/>
      <c r="E25" s="7"/>
      <c r="F25" s="8">
        <v>0.08</v>
      </c>
      <c r="G25" s="9"/>
      <c r="H25" s="9"/>
      <c r="I25" s="9"/>
      <c r="J25" s="9"/>
      <c r="K25" s="9"/>
      <c r="L25" s="9"/>
      <c r="M25" s="9">
        <f>ROUND(F25*M24,2)</f>
        <v>0</v>
      </c>
      <c r="N25" s="18"/>
    </row>
    <row r="26" spans="1:14" ht="25.25" customHeight="1" x14ac:dyDescent="0.35">
      <c r="A26" s="40"/>
      <c r="B26" s="19"/>
      <c r="C26" s="20" t="str">
        <f>IF(ICMS!C13="GEO","ჯამი","Sum")</f>
        <v>ჯამი</v>
      </c>
      <c r="D26" s="21"/>
      <c r="E26" s="21"/>
      <c r="F26" s="21"/>
      <c r="G26" s="22"/>
      <c r="H26" s="22"/>
      <c r="I26" s="22"/>
      <c r="J26" s="22"/>
      <c r="K26" s="22"/>
      <c r="L26" s="22"/>
      <c r="M26" s="22">
        <f>M25+M24</f>
        <v>0</v>
      </c>
      <c r="N26" s="23"/>
    </row>
    <row r="27" spans="1:14" s="2" customFormat="1" ht="25.25" customHeight="1" x14ac:dyDescent="0.35"/>
    <row r="28" spans="1:14" s="2" customFormat="1" ht="25.25" customHeight="1" x14ac:dyDescent="0.35"/>
    <row r="29" spans="1:14" s="2" customFormat="1" ht="25.25" customHeight="1" x14ac:dyDescent="0.35"/>
    <row r="30" spans="1:14" s="2" customFormat="1" ht="25.25" customHeight="1" x14ac:dyDescent="0.35"/>
    <row r="31" spans="1:14" s="2" customFormat="1" ht="25.25" customHeight="1" x14ac:dyDescent="0.35"/>
    <row r="32" spans="1:14" s="2" customFormat="1" ht="25.25" customHeight="1" x14ac:dyDescent="0.35"/>
    <row r="33" s="2" customFormat="1" ht="25.25" customHeight="1" x14ac:dyDescent="0.35"/>
    <row r="34" s="2" customFormat="1" ht="25.25" customHeight="1" x14ac:dyDescent="0.35"/>
    <row r="35" s="2" customFormat="1" ht="25.25" customHeight="1" x14ac:dyDescent="0.35"/>
    <row r="36" s="2" customFormat="1" ht="25.25" customHeight="1" x14ac:dyDescent="0.35"/>
    <row r="37" s="2" customFormat="1" ht="25.25" customHeight="1" x14ac:dyDescent="0.35"/>
    <row r="38" s="2" customFormat="1" ht="25.25" customHeight="1" x14ac:dyDescent="0.35"/>
    <row r="39" s="2" customFormat="1" ht="25.25" customHeight="1" x14ac:dyDescent="0.35"/>
    <row r="40" s="2" customFormat="1" ht="25.25" customHeigh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</sheetData>
  <mergeCells count="15">
    <mergeCell ref="I3:J3"/>
    <mergeCell ref="K3:L3"/>
    <mergeCell ref="M3:M5"/>
    <mergeCell ref="N3:N5"/>
    <mergeCell ref="E4:E5"/>
    <mergeCell ref="F4:F5"/>
    <mergeCell ref="H4:H5"/>
    <mergeCell ref="J4:J5"/>
    <mergeCell ref="L4:L5"/>
    <mergeCell ref="G3:H3"/>
    <mergeCell ref="A3:A5"/>
    <mergeCell ref="B3:B5"/>
    <mergeCell ref="C3:C5"/>
    <mergeCell ref="D3:D5"/>
    <mergeCell ref="E3:F3"/>
  </mergeCells>
  <pageMargins left="0.4" right="0.03" top="0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1.01_PRE</vt:lpstr>
      <vt:lpstr>1.02_SUBS</vt:lpstr>
      <vt:lpstr>1.03_STR</vt:lpstr>
      <vt:lpstr>1.04.1_SH&amp;C</vt:lpstr>
      <vt:lpstr>1.04.2_FIN</vt:lpstr>
      <vt:lpstr>1.04.3_FAC</vt:lpstr>
      <vt:lpstr>1.04.4_DOR</vt:lpstr>
      <vt:lpstr>1.04.5_STI</vt:lpstr>
      <vt:lpstr>კაფეტერიის შენობა</vt:lpstr>
      <vt:lpstr>სათაო შენობა</vt:lpstr>
      <vt:lpstr>'1.01_PRE'!Print_Area</vt:lpstr>
      <vt:lpstr>'1.02_SUBS'!Print_Area</vt:lpstr>
      <vt:lpstr>'1.03_STR'!Print_Area</vt:lpstr>
      <vt:lpstr>'1.04.1_SH&amp;C'!Print_Area</vt:lpstr>
      <vt:lpstr>'1.04.2_FIN'!Print_Area</vt:lpstr>
      <vt:lpstr>'1.04.3_FAC'!Print_Area</vt:lpstr>
      <vt:lpstr>'1.04.4_DOR'!Print_Area</vt:lpstr>
      <vt:lpstr>'1.04.5_STI'!Print_Area</vt:lpstr>
      <vt:lpstr>ICMS!Print_Area</vt:lpstr>
      <vt:lpstr>'კაფეტერიის შენობა'!Print_Area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Davitadze</dc:creator>
  <cp:lastModifiedBy>Zurab Beroshvili</cp:lastModifiedBy>
  <cp:lastPrinted>2024-05-28T11:56:14Z</cp:lastPrinted>
  <dcterms:created xsi:type="dcterms:W3CDTF">2020-01-30T23:01:10Z</dcterms:created>
  <dcterms:modified xsi:type="dcterms:W3CDTF">2026-04-20T14:20:40Z</dcterms:modified>
</cp:coreProperties>
</file>