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filterPrivacy="1" defaultThemeVersion="124226"/>
  <xr:revisionPtr revIDLastSave="0" documentId="13_ncr:1_{AD122B0E-8077-4F06-AE14-A074F9EE863F}" xr6:coauthVersionLast="47" xr6:coauthVersionMax="47" xr10:uidLastSave="{00000000-0000-0000-0000-000000000000}"/>
  <bookViews>
    <workbookView xWindow="-110" yWindow="-110" windowWidth="19420" windowHeight="11500" tabRatio="760" xr2:uid="{00000000-000D-0000-FFFF-FFFF00000000}"/>
  </bookViews>
  <sheets>
    <sheet name="ნაკრები" sheetId="9" r:id="rId1"/>
    <sheet name="№2-1" sheetId="1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2" i="15" l="1"/>
  <c r="I13" i="15"/>
  <c r="I14" i="15"/>
  <c r="I15" i="15"/>
  <c r="I16" i="15"/>
  <c r="I17" i="15"/>
  <c r="I18" i="15"/>
  <c r="I19" i="15"/>
  <c r="I20" i="15"/>
  <c r="I21" i="15"/>
  <c r="I22" i="15"/>
  <c r="I23" i="15"/>
  <c r="I24" i="15"/>
  <c r="I25" i="15"/>
  <c r="I26" i="15"/>
  <c r="I27" i="15"/>
  <c r="I28" i="15"/>
  <c r="I29" i="15"/>
  <c r="I30" i="15"/>
  <c r="I31" i="15"/>
  <c r="I32" i="15"/>
  <c r="I33" i="15"/>
  <c r="I34" i="15"/>
  <c r="I35" i="15"/>
  <c r="I36" i="15"/>
  <c r="I37" i="15"/>
  <c r="I38" i="15"/>
  <c r="I39" i="15"/>
  <c r="I40" i="15"/>
  <c r="I41" i="15"/>
  <c r="I42" i="15"/>
  <c r="I43" i="15"/>
  <c r="I44" i="15"/>
  <c r="I45" i="15"/>
  <c r="I46" i="15"/>
  <c r="I47" i="15"/>
  <c r="I48" i="15"/>
  <c r="I49" i="15"/>
  <c r="I50" i="15"/>
  <c r="I51" i="15"/>
  <c r="I52" i="15"/>
  <c r="I53" i="15"/>
  <c r="I54" i="15"/>
  <c r="I55" i="15"/>
  <c r="I56" i="15"/>
  <c r="I57" i="15"/>
  <c r="I58" i="15"/>
  <c r="I59" i="15"/>
  <c r="I60" i="15"/>
  <c r="I61" i="15"/>
  <c r="I62" i="15"/>
  <c r="I63" i="15"/>
  <c r="I64" i="15"/>
  <c r="I65" i="15"/>
  <c r="I66" i="15"/>
  <c r="I67" i="15"/>
  <c r="I68" i="15"/>
  <c r="I69" i="15"/>
  <c r="I70" i="15"/>
  <c r="I71" i="15"/>
  <c r="I72" i="15"/>
  <c r="I73" i="15"/>
  <c r="I74" i="15"/>
  <c r="I75" i="15"/>
  <c r="I76" i="15"/>
  <c r="I77" i="15"/>
  <c r="I78" i="15"/>
  <c r="I79" i="15"/>
  <c r="I80" i="15"/>
  <c r="I81" i="15"/>
  <c r="I82" i="15"/>
  <c r="I83" i="15"/>
  <c r="I84" i="15"/>
  <c r="I85" i="15"/>
  <c r="I86" i="15"/>
  <c r="I87" i="15"/>
  <c r="I88" i="15"/>
  <c r="I89" i="15"/>
  <c r="I90" i="15"/>
  <c r="I91" i="15"/>
  <c r="I92" i="15"/>
  <c r="I93" i="15"/>
  <c r="I94" i="15"/>
  <c r="I95" i="15"/>
  <c r="I96" i="15"/>
  <c r="I97" i="15"/>
  <c r="I98" i="15"/>
  <c r="I99" i="15"/>
  <c r="I100" i="15"/>
  <c r="I101" i="15"/>
  <c r="I102" i="15"/>
  <c r="I103" i="15"/>
  <c r="I104" i="15"/>
  <c r="I105" i="15"/>
  <c r="I106" i="15"/>
  <c r="I107" i="15"/>
  <c r="I108" i="15"/>
  <c r="I109" i="15"/>
  <c r="I110" i="15"/>
  <c r="I111" i="15"/>
  <c r="I112" i="15"/>
  <c r="I113" i="15"/>
  <c r="I114" i="15"/>
  <c r="I115" i="15"/>
  <c r="I116" i="15"/>
  <c r="I117" i="15"/>
  <c r="I118" i="15"/>
  <c r="I119" i="15"/>
  <c r="I120" i="15"/>
  <c r="I121" i="15"/>
  <c r="I122" i="15"/>
  <c r="I123" i="15"/>
  <c r="I124" i="15"/>
  <c r="I125" i="15"/>
  <c r="I126" i="15"/>
  <c r="I127" i="15"/>
  <c r="I128" i="15"/>
  <c r="I129" i="15"/>
  <c r="I130" i="15"/>
  <c r="I131" i="15"/>
  <c r="I132" i="15"/>
  <c r="I133" i="15"/>
  <c r="I134" i="15"/>
  <c r="I135" i="15"/>
  <c r="I136" i="15"/>
  <c r="I137" i="15"/>
  <c r="I138" i="15"/>
  <c r="I139" i="15"/>
  <c r="I140" i="15"/>
  <c r="I141" i="15"/>
  <c r="I142" i="15"/>
  <c r="I143" i="15"/>
  <c r="I144" i="15"/>
  <c r="I145" i="15"/>
  <c r="I146" i="15"/>
  <c r="I147" i="15"/>
  <c r="I148" i="15"/>
  <c r="I149" i="15"/>
  <c r="I150" i="15"/>
  <c r="I151" i="15"/>
  <c r="I152" i="15"/>
  <c r="I153" i="15"/>
  <c r="I154" i="15"/>
  <c r="I155" i="15"/>
  <c r="I156" i="15"/>
  <c r="I157" i="15"/>
  <c r="I158" i="15"/>
  <c r="I159" i="15"/>
  <c r="I160" i="15"/>
  <c r="I161" i="15"/>
  <c r="I162" i="15"/>
  <c r="I163" i="15"/>
  <c r="I164" i="15"/>
  <c r="I165" i="15"/>
  <c r="I166" i="15"/>
  <c r="I167" i="15"/>
  <c r="I168" i="15"/>
  <c r="I169" i="15"/>
  <c r="I170" i="15"/>
  <c r="I171" i="15"/>
  <c r="I172" i="15"/>
  <c r="I173" i="15"/>
  <c r="I174" i="15"/>
  <c r="I175" i="15"/>
  <c r="I176" i="15"/>
  <c r="I177" i="15"/>
  <c r="I178" i="15"/>
  <c r="I179" i="15"/>
  <c r="I180" i="15"/>
  <c r="I181" i="15"/>
  <c r="I182" i="15"/>
  <c r="I183" i="15"/>
  <c r="I184" i="15"/>
  <c r="I185" i="15"/>
  <c r="I186" i="15"/>
  <c r="I187" i="15"/>
  <c r="I188" i="15"/>
  <c r="I189" i="15"/>
  <c r="I190" i="15"/>
  <c r="I191" i="15"/>
  <c r="I192" i="15"/>
  <c r="I193" i="15"/>
  <c r="I194" i="15"/>
  <c r="I195" i="15"/>
  <c r="I196" i="15"/>
  <c r="I197" i="15"/>
  <c r="I198" i="15"/>
  <c r="I199" i="15"/>
  <c r="I200" i="15"/>
  <c r="I201" i="15"/>
  <c r="I202" i="15"/>
  <c r="I203" i="15"/>
  <c r="I204" i="15"/>
  <c r="I205" i="15"/>
  <c r="I206" i="15"/>
  <c r="I207" i="15"/>
  <c r="I208" i="15"/>
  <c r="I209" i="15"/>
  <c r="I210" i="15"/>
  <c r="I211" i="15"/>
  <c r="I212" i="15"/>
  <c r="I213" i="15"/>
  <c r="I214" i="15"/>
  <c r="I215" i="15"/>
  <c r="I216" i="15"/>
  <c r="I217" i="15"/>
  <c r="I218" i="15"/>
  <c r="I219" i="15"/>
  <c r="I220" i="15"/>
  <c r="I221" i="15"/>
  <c r="I222" i="15"/>
  <c r="I223" i="15"/>
  <c r="I224" i="15"/>
  <c r="I225" i="15"/>
  <c r="I226" i="15"/>
  <c r="I227" i="15"/>
  <c r="I228" i="15"/>
  <c r="I229" i="15"/>
  <c r="I230" i="15"/>
  <c r="I231" i="15"/>
  <c r="I232" i="15"/>
  <c r="I233" i="15"/>
  <c r="I234" i="15"/>
  <c r="I235" i="15"/>
  <c r="I236" i="15"/>
  <c r="I237" i="15"/>
  <c r="I238" i="15"/>
  <c r="I239" i="15"/>
  <c r="I240" i="15"/>
  <c r="I241" i="15"/>
  <c r="I242" i="15"/>
  <c r="I243" i="15"/>
  <c r="I244" i="15"/>
  <c r="I245" i="15"/>
  <c r="I246" i="15"/>
  <c r="I247" i="15"/>
  <c r="I248" i="15"/>
  <c r="I249" i="15"/>
  <c r="I250" i="15"/>
  <c r="I251" i="15"/>
  <c r="I252" i="15"/>
  <c r="I253" i="15"/>
  <c r="I254" i="15"/>
  <c r="I255" i="15"/>
  <c r="I256" i="15"/>
  <c r="I257" i="15"/>
  <c r="I258" i="15"/>
  <c r="I259" i="15"/>
  <c r="I260" i="15"/>
  <c r="I261" i="15"/>
  <c r="I262" i="15"/>
  <c r="I263" i="15"/>
  <c r="I264" i="15"/>
  <c r="I265" i="15"/>
  <c r="I266" i="15"/>
  <c r="I267" i="15"/>
  <c r="I268" i="15"/>
  <c r="I269" i="15"/>
  <c r="I270" i="15"/>
  <c r="I271" i="15"/>
  <c r="I272" i="15"/>
  <c r="I273" i="15"/>
  <c r="I274" i="15"/>
  <c r="I275" i="15"/>
  <c r="I276" i="15"/>
  <c r="I277" i="15"/>
  <c r="I278" i="15"/>
  <c r="I279" i="15"/>
  <c r="I280" i="15"/>
  <c r="I281" i="15"/>
  <c r="I282" i="15"/>
  <c r="I283" i="15"/>
  <c r="I284" i="15"/>
  <c r="I285" i="15"/>
  <c r="I286" i="15"/>
  <c r="I287" i="15"/>
  <c r="I288" i="15"/>
  <c r="I289" i="15"/>
  <c r="I290" i="15"/>
  <c r="I291" i="15"/>
  <c r="I292" i="15"/>
  <c r="I293" i="15"/>
  <c r="I294" i="15"/>
  <c r="I295" i="15"/>
  <c r="I296" i="15"/>
  <c r="I297" i="15"/>
  <c r="I298" i="15"/>
  <c r="I299" i="15"/>
  <c r="I300" i="15"/>
  <c r="I301" i="15"/>
  <c r="I302" i="15"/>
  <c r="I303" i="15"/>
  <c r="I304" i="15"/>
  <c r="I305" i="15"/>
  <c r="I306" i="15"/>
  <c r="I307" i="15"/>
  <c r="I308" i="15"/>
  <c r="I309" i="15"/>
  <c r="I310" i="15"/>
  <c r="I311" i="15"/>
  <c r="I312" i="15"/>
  <c r="I313" i="15"/>
  <c r="I314" i="15"/>
  <c r="I315" i="15"/>
  <c r="I316" i="15"/>
  <c r="I317" i="15"/>
  <c r="I318" i="15"/>
  <c r="I319" i="15"/>
  <c r="I320" i="15"/>
  <c r="I321" i="15"/>
  <c r="I322" i="15"/>
  <c r="I323" i="15"/>
  <c r="I324" i="15"/>
  <c r="I325" i="15"/>
  <c r="I326" i="15"/>
  <c r="I327" i="15"/>
  <c r="I328" i="15"/>
  <c r="I329" i="15"/>
  <c r="I330" i="15"/>
  <c r="I331" i="15"/>
  <c r="I332" i="15"/>
  <c r="I333" i="15"/>
  <c r="I334" i="15"/>
  <c r="I335" i="15"/>
  <c r="I336" i="15"/>
  <c r="I337" i="15"/>
  <c r="I338" i="15"/>
  <c r="I339" i="15"/>
  <c r="I340" i="15"/>
  <c r="I341" i="15"/>
  <c r="I342" i="15"/>
  <c r="I343" i="15"/>
  <c r="I344" i="15"/>
  <c r="I345" i="15"/>
  <c r="I346" i="15"/>
  <c r="I347" i="15"/>
  <c r="I348" i="15"/>
  <c r="I349" i="15"/>
  <c r="I350" i="15"/>
  <c r="I351" i="15"/>
  <c r="I352" i="15"/>
  <c r="I353" i="15"/>
  <c r="I354" i="15"/>
  <c r="I355" i="15"/>
  <c r="I356" i="15"/>
  <c r="I357" i="15"/>
  <c r="I358" i="15"/>
  <c r="I359" i="15"/>
  <c r="I360" i="15"/>
  <c r="I361" i="15"/>
  <c r="I362" i="15"/>
  <c r="I363" i="15"/>
  <c r="I364" i="15"/>
  <c r="I365" i="15"/>
  <c r="I366" i="15"/>
  <c r="I367" i="15"/>
  <c r="I368" i="15"/>
  <c r="I369" i="15"/>
  <c r="I370" i="15"/>
  <c r="I371" i="15"/>
  <c r="I372" i="15"/>
  <c r="I373" i="15"/>
  <c r="I374" i="15"/>
  <c r="I375" i="15"/>
  <c r="I376" i="15"/>
  <c r="I377" i="15"/>
  <c r="I378" i="15"/>
  <c r="I379" i="15"/>
  <c r="I380" i="15"/>
  <c r="I381" i="15"/>
  <c r="I382" i="15"/>
  <c r="I383" i="15"/>
  <c r="I384" i="15"/>
  <c r="I385" i="15"/>
  <c r="I386" i="15"/>
  <c r="I387" i="15"/>
  <c r="I388" i="15"/>
  <c r="I389" i="15"/>
  <c r="I390" i="15"/>
  <c r="I391" i="15"/>
  <c r="I392" i="15"/>
  <c r="I393" i="15"/>
  <c r="I394" i="15"/>
  <c r="I395" i="15"/>
  <c r="I396" i="15"/>
  <c r="I397" i="15"/>
  <c r="I398" i="15"/>
  <c r="I399" i="15"/>
  <c r="I400" i="15"/>
  <c r="I401" i="15"/>
  <c r="I402" i="15"/>
  <c r="I403" i="15"/>
  <c r="I404" i="15"/>
  <c r="I405" i="15"/>
  <c r="I406" i="15"/>
  <c r="I407" i="15"/>
  <c r="I408" i="15"/>
  <c r="I409" i="15"/>
  <c r="I410" i="15"/>
  <c r="I411" i="15"/>
  <c r="I412" i="15"/>
  <c r="I413" i="15"/>
  <c r="I414" i="15"/>
  <c r="I415" i="15"/>
  <c r="I416" i="15"/>
  <c r="I417" i="15"/>
  <c r="I418" i="15"/>
  <c r="I419" i="15"/>
  <c r="I420" i="15"/>
  <c r="I421" i="15"/>
  <c r="I422" i="15"/>
  <c r="I423" i="15"/>
  <c r="I424" i="15"/>
  <c r="I425" i="15"/>
  <c r="I426" i="15"/>
  <c r="I427" i="15"/>
  <c r="I428" i="15"/>
  <c r="I429" i="15"/>
  <c r="I430" i="15"/>
  <c r="I431" i="15"/>
  <c r="I432" i="15"/>
  <c r="I433" i="15"/>
  <c r="I434" i="15"/>
  <c r="I435" i="15"/>
  <c r="I436" i="15"/>
  <c r="I437" i="15"/>
  <c r="I438" i="15"/>
  <c r="I439" i="15"/>
  <c r="I440" i="15"/>
  <c r="I441" i="15"/>
  <c r="I442" i="15"/>
  <c r="I443" i="15"/>
  <c r="I444" i="15"/>
  <c r="I445" i="15"/>
  <c r="I446" i="15"/>
  <c r="I447" i="15"/>
  <c r="I448" i="15"/>
  <c r="I449" i="15"/>
  <c r="I450" i="15"/>
  <c r="I451" i="15"/>
  <c r="I452" i="15"/>
  <c r="I453" i="15"/>
  <c r="I454" i="15"/>
  <c r="I455" i="15"/>
  <c r="I456" i="15"/>
  <c r="I457" i="15"/>
  <c r="I458" i="15"/>
  <c r="I459" i="15"/>
  <c r="I460" i="15"/>
  <c r="I461" i="15"/>
  <c r="I462" i="15"/>
  <c r="I463" i="15"/>
  <c r="I464" i="15"/>
  <c r="I465" i="15"/>
  <c r="I466" i="15"/>
  <c r="I467" i="15"/>
  <c r="I468" i="15"/>
  <c r="I469" i="15"/>
  <c r="I470" i="15"/>
  <c r="I471" i="15"/>
  <c r="I472" i="15"/>
  <c r="I473" i="15"/>
  <c r="I474" i="15"/>
  <c r="I475" i="15"/>
  <c r="I476" i="15"/>
  <c r="I477" i="15"/>
  <c r="I478" i="15"/>
  <c r="I479" i="15"/>
  <c r="I480" i="15"/>
  <c r="I481" i="15"/>
  <c r="I482" i="15"/>
  <c r="I483" i="15"/>
  <c r="I484" i="15"/>
  <c r="I485" i="15"/>
  <c r="I486" i="15"/>
  <c r="I487" i="15"/>
  <c r="I488" i="15"/>
  <c r="I489" i="15"/>
  <c r="I490" i="15"/>
  <c r="I491" i="15"/>
  <c r="I492" i="15"/>
  <c r="I493" i="15"/>
  <c r="I494" i="15"/>
  <c r="I495" i="15"/>
  <c r="I496" i="15"/>
  <c r="I497" i="15"/>
  <c r="I498" i="15"/>
  <c r="I499" i="15"/>
  <c r="I500" i="15"/>
  <c r="I501" i="15"/>
  <c r="I502" i="15"/>
  <c r="I503" i="15"/>
  <c r="I504" i="15"/>
  <c r="I505" i="15"/>
  <c r="I506" i="15"/>
  <c r="I507" i="15"/>
  <c r="I508" i="15"/>
  <c r="I509" i="15"/>
  <c r="I510" i="15"/>
  <c r="I511" i="15"/>
  <c r="I512" i="15"/>
  <c r="I513" i="15"/>
  <c r="I514" i="15"/>
  <c r="I515" i="15"/>
  <c r="I516" i="15"/>
  <c r="I517" i="15"/>
  <c r="I518" i="15"/>
  <c r="I519" i="15"/>
  <c r="I520" i="15"/>
  <c r="I521" i="15"/>
  <c r="I522" i="15"/>
  <c r="I523" i="15"/>
  <c r="I524" i="15"/>
  <c r="I525" i="15"/>
  <c r="I526" i="15"/>
  <c r="I527" i="15"/>
  <c r="I528" i="15"/>
  <c r="I529" i="15"/>
  <c r="I530" i="15"/>
  <c r="I531" i="15"/>
  <c r="I532" i="15"/>
  <c r="I533" i="15"/>
  <c r="I534" i="15"/>
  <c r="I535" i="15"/>
  <c r="I536" i="15"/>
  <c r="I537" i="15"/>
  <c r="I538" i="15"/>
  <c r="I539" i="15"/>
  <c r="I540" i="15"/>
  <c r="I541" i="15"/>
  <c r="I542" i="15"/>
  <c r="I543" i="15"/>
  <c r="I544" i="15"/>
  <c r="I545" i="15"/>
  <c r="I546" i="15"/>
  <c r="I547" i="15"/>
  <c r="I548" i="15"/>
  <c r="I549" i="15"/>
  <c r="I550" i="15"/>
  <c r="I551" i="15"/>
  <c r="I552" i="15"/>
  <c r="I553" i="15"/>
  <c r="I554" i="15"/>
  <c r="I555" i="15"/>
  <c r="I556" i="15"/>
  <c r="I557" i="15"/>
  <c r="I558" i="15"/>
  <c r="I559" i="15"/>
  <c r="I560" i="15"/>
  <c r="I561" i="15"/>
  <c r="I562" i="15"/>
  <c r="I563" i="15"/>
  <c r="I564" i="15"/>
  <c r="I565" i="15"/>
  <c r="I566" i="15"/>
  <c r="I567" i="15"/>
  <c r="I568" i="15"/>
  <c r="I569" i="15"/>
  <c r="I570" i="15"/>
  <c r="I571" i="15"/>
  <c r="I572" i="15"/>
  <c r="I573" i="15"/>
  <c r="I574" i="15"/>
  <c r="I575" i="15"/>
  <c r="I576" i="15"/>
  <c r="I577" i="15"/>
  <c r="I578" i="15"/>
  <c r="I579" i="15"/>
  <c r="I580" i="15"/>
  <c r="I581" i="15"/>
  <c r="I582" i="15"/>
  <c r="I583" i="15"/>
  <c r="I584" i="15"/>
  <c r="I585" i="15"/>
  <c r="I586" i="15"/>
  <c r="I587" i="15"/>
  <c r="I588" i="15"/>
  <c r="I589" i="15"/>
  <c r="I590" i="15"/>
  <c r="I591" i="15"/>
  <c r="I592" i="15"/>
  <c r="I593" i="15"/>
  <c r="I594" i="15"/>
  <c r="I595" i="15"/>
  <c r="I596" i="15"/>
  <c r="I597" i="15"/>
  <c r="I598" i="15"/>
  <c r="I599" i="15"/>
  <c r="I600" i="15"/>
  <c r="I601" i="15"/>
  <c r="I602" i="15"/>
  <c r="I603" i="15"/>
  <c r="I604" i="15"/>
  <c r="I605" i="15"/>
  <c r="I606" i="15"/>
  <c r="I607" i="15"/>
  <c r="I608" i="15"/>
  <c r="I609" i="15"/>
  <c r="I610" i="15"/>
  <c r="I611" i="15"/>
  <c r="I612" i="15"/>
  <c r="I613" i="15"/>
  <c r="I614" i="15"/>
  <c r="I615" i="15"/>
  <c r="I616" i="15"/>
  <c r="I617" i="15"/>
  <c r="I618" i="15"/>
  <c r="I619" i="15"/>
  <c r="I620" i="15"/>
  <c r="I621" i="15"/>
  <c r="I622" i="15"/>
  <c r="I623" i="15"/>
  <c r="I624" i="15"/>
  <c r="I625" i="15"/>
  <c r="I626" i="15"/>
  <c r="I627" i="15"/>
  <c r="I628" i="15"/>
  <c r="I629" i="15"/>
  <c r="I630" i="15"/>
  <c r="I631" i="15"/>
  <c r="I632" i="15"/>
  <c r="I633" i="15"/>
  <c r="I634" i="15"/>
  <c r="I635" i="15"/>
  <c r="I636" i="15"/>
  <c r="I637" i="15"/>
  <c r="I638" i="15"/>
  <c r="I639" i="15"/>
  <c r="I640" i="15"/>
  <c r="I641" i="15"/>
  <c r="I642" i="15"/>
  <c r="I643" i="15"/>
  <c r="I644" i="15"/>
  <c r="I645" i="15"/>
  <c r="I646" i="15"/>
  <c r="I647" i="15"/>
  <c r="I648" i="15"/>
  <c r="I649" i="15"/>
  <c r="I650" i="15"/>
  <c r="I651" i="15"/>
  <c r="I652" i="15"/>
  <c r="I653" i="15"/>
  <c r="I654" i="15"/>
  <c r="I655" i="15"/>
  <c r="I656" i="15"/>
  <c r="I657" i="15"/>
  <c r="I658" i="15"/>
  <c r="I659" i="15"/>
  <c r="I660" i="15"/>
  <c r="I661" i="15"/>
  <c r="I662" i="15"/>
  <c r="I663" i="15"/>
  <c r="I664" i="15"/>
  <c r="I665" i="15"/>
  <c r="I666" i="15"/>
  <c r="I667" i="15"/>
  <c r="I668" i="15"/>
  <c r="I669" i="15"/>
  <c r="I670" i="15"/>
  <c r="I671" i="15"/>
  <c r="I672" i="15"/>
  <c r="I673" i="15"/>
  <c r="I674" i="15"/>
  <c r="I675" i="15"/>
  <c r="I676" i="15"/>
  <c r="I677" i="15"/>
  <c r="I678" i="15"/>
  <c r="I679" i="15"/>
  <c r="I680" i="15"/>
  <c r="I681" i="15"/>
  <c r="I682" i="15"/>
  <c r="I683" i="15"/>
  <c r="I684" i="15"/>
  <c r="I685" i="15"/>
  <c r="I686" i="15"/>
  <c r="I687" i="15"/>
  <c r="I688" i="15"/>
  <c r="I689" i="15"/>
  <c r="I690" i="15"/>
  <c r="I691" i="15"/>
  <c r="I692" i="15"/>
  <c r="I693" i="15"/>
  <c r="I694" i="15"/>
  <c r="I695" i="15"/>
  <c r="I696" i="15"/>
  <c r="I697" i="15"/>
  <c r="I698" i="15"/>
  <c r="I699" i="15"/>
  <c r="I700" i="15"/>
  <c r="I701" i="15"/>
  <c r="I702" i="15"/>
  <c r="I703" i="15"/>
  <c r="I704" i="15"/>
  <c r="I705" i="15"/>
  <c r="I706" i="15"/>
  <c r="I707" i="15"/>
  <c r="I708" i="15"/>
  <c r="I709" i="15"/>
  <c r="I710" i="15"/>
  <c r="I711" i="15"/>
  <c r="I712" i="15"/>
  <c r="I713" i="15"/>
  <c r="I714" i="15"/>
  <c r="I715" i="15"/>
  <c r="I716" i="15"/>
  <c r="I717" i="15"/>
  <c r="I718" i="15"/>
  <c r="I719" i="15"/>
  <c r="I720" i="15"/>
  <c r="I721" i="15"/>
  <c r="I722" i="15"/>
  <c r="I723" i="15"/>
  <c r="I724" i="15"/>
  <c r="I725" i="15"/>
  <c r="I726" i="15"/>
  <c r="I727" i="15"/>
  <c r="I728" i="15"/>
  <c r="I729" i="15"/>
  <c r="I730" i="15"/>
  <c r="I731" i="15"/>
  <c r="I732" i="15"/>
  <c r="I733" i="15"/>
  <c r="I734" i="15"/>
  <c r="I735" i="15"/>
  <c r="I736" i="15"/>
  <c r="I737" i="15"/>
  <c r="I738" i="15"/>
  <c r="I739" i="15"/>
  <c r="I740" i="15"/>
  <c r="I741" i="15"/>
  <c r="I742" i="15"/>
  <c r="I743" i="15"/>
  <c r="I744" i="15"/>
  <c r="I745" i="15"/>
  <c r="I746" i="15"/>
  <c r="I747" i="15"/>
  <c r="I748" i="15"/>
  <c r="K12" i="15"/>
  <c r="K13" i="15"/>
  <c r="K14" i="15"/>
  <c r="K15" i="15"/>
  <c r="K16" i="15"/>
  <c r="K17" i="15"/>
  <c r="K18" i="15"/>
  <c r="K19" i="15"/>
  <c r="K20" i="15"/>
  <c r="K21" i="15"/>
  <c r="K22" i="15"/>
  <c r="K23" i="15"/>
  <c r="K24" i="15"/>
  <c r="K25" i="15"/>
  <c r="K26" i="15"/>
  <c r="K27" i="15"/>
  <c r="K28" i="15"/>
  <c r="K29" i="15"/>
  <c r="K30" i="15"/>
  <c r="K31" i="15"/>
  <c r="K32" i="15"/>
  <c r="K33" i="15"/>
  <c r="K34" i="15"/>
  <c r="K35" i="15"/>
  <c r="K36" i="15"/>
  <c r="K37" i="15"/>
  <c r="K38" i="15"/>
  <c r="K39" i="15"/>
  <c r="K40" i="15"/>
  <c r="K41" i="15"/>
  <c r="K42" i="15"/>
  <c r="K43" i="15"/>
  <c r="K44" i="15"/>
  <c r="K45" i="15"/>
  <c r="K46" i="15"/>
  <c r="K47" i="15"/>
  <c r="K48" i="15"/>
  <c r="K49" i="15"/>
  <c r="K50" i="15"/>
  <c r="K51" i="15"/>
  <c r="K52" i="15"/>
  <c r="K53" i="15"/>
  <c r="K54" i="15"/>
  <c r="K55" i="15"/>
  <c r="K56" i="15"/>
  <c r="K57" i="15"/>
  <c r="K58" i="15"/>
  <c r="K59" i="15"/>
  <c r="K60" i="15"/>
  <c r="K61" i="15"/>
  <c r="K62" i="15"/>
  <c r="K63" i="15"/>
  <c r="K64" i="15"/>
  <c r="K65" i="15"/>
  <c r="K67" i="15"/>
  <c r="K68" i="15"/>
  <c r="K69" i="15"/>
  <c r="K70" i="15"/>
  <c r="K71" i="15"/>
  <c r="K72" i="15"/>
  <c r="K73" i="15"/>
  <c r="K74" i="15"/>
  <c r="K75" i="15"/>
  <c r="K76" i="15"/>
  <c r="K77" i="15"/>
  <c r="K78" i="15"/>
  <c r="K79" i="15"/>
  <c r="K80" i="15"/>
  <c r="K81" i="15"/>
  <c r="K82" i="15"/>
  <c r="K83" i="15"/>
  <c r="K84" i="15"/>
  <c r="K85" i="15"/>
  <c r="K86" i="15"/>
  <c r="K87" i="15"/>
  <c r="K88" i="15"/>
  <c r="K89" i="15"/>
  <c r="K90" i="15"/>
  <c r="K91" i="15"/>
  <c r="K92" i="15"/>
  <c r="K93" i="15"/>
  <c r="K94" i="15"/>
  <c r="K95" i="15"/>
  <c r="K96" i="15"/>
  <c r="K97" i="15"/>
  <c r="K98" i="15"/>
  <c r="K99" i="15"/>
  <c r="K100" i="15"/>
  <c r="K101" i="15"/>
  <c r="K102" i="15"/>
  <c r="K103" i="15"/>
  <c r="K104" i="15"/>
  <c r="K105" i="15"/>
  <c r="K106" i="15"/>
  <c r="K107" i="15"/>
  <c r="K108" i="15"/>
  <c r="K109" i="15"/>
  <c r="K110" i="15"/>
  <c r="K111" i="15"/>
  <c r="K112" i="15"/>
  <c r="K113" i="15"/>
  <c r="K114" i="15"/>
  <c r="K115" i="15"/>
  <c r="K116" i="15"/>
  <c r="K117" i="15"/>
  <c r="K118" i="15"/>
  <c r="K119" i="15"/>
  <c r="K120" i="15"/>
  <c r="K121" i="15"/>
  <c r="K122" i="15"/>
  <c r="K123" i="15"/>
  <c r="K124" i="15"/>
  <c r="K125" i="15"/>
  <c r="K126" i="15"/>
  <c r="K127" i="15"/>
  <c r="K128" i="15"/>
  <c r="K129" i="15"/>
  <c r="K130" i="15"/>
  <c r="K131" i="15"/>
  <c r="K132" i="15"/>
  <c r="K133" i="15"/>
  <c r="K134" i="15"/>
  <c r="K135" i="15"/>
  <c r="K136" i="15"/>
  <c r="K137" i="15"/>
  <c r="K138" i="15"/>
  <c r="K139" i="15"/>
  <c r="K140" i="15"/>
  <c r="K141" i="15"/>
  <c r="K142" i="15"/>
  <c r="K143" i="15"/>
  <c r="K144" i="15"/>
  <c r="K145" i="15"/>
  <c r="K146" i="15"/>
  <c r="K147" i="15"/>
  <c r="K148" i="15"/>
  <c r="K149" i="15"/>
  <c r="K150" i="15"/>
  <c r="K151" i="15"/>
  <c r="K152" i="15"/>
  <c r="K153" i="15"/>
  <c r="K154" i="15"/>
  <c r="K155" i="15"/>
  <c r="K156" i="15"/>
  <c r="K157" i="15"/>
  <c r="K158" i="15"/>
  <c r="K159" i="15"/>
  <c r="K160" i="15"/>
  <c r="K161" i="15"/>
  <c r="K162" i="15"/>
  <c r="K163" i="15"/>
  <c r="K164" i="15"/>
  <c r="K165" i="15"/>
  <c r="K166" i="15"/>
  <c r="K167" i="15"/>
  <c r="K168" i="15"/>
  <c r="K169" i="15"/>
  <c r="K170" i="15"/>
  <c r="K171" i="15"/>
  <c r="K172" i="15"/>
  <c r="K173" i="15"/>
  <c r="K174" i="15"/>
  <c r="K175" i="15"/>
  <c r="K176" i="15"/>
  <c r="K177" i="15"/>
  <c r="K178" i="15"/>
  <c r="K179" i="15"/>
  <c r="K180" i="15"/>
  <c r="K181" i="15"/>
  <c r="K182" i="15"/>
  <c r="K183" i="15"/>
  <c r="K184" i="15"/>
  <c r="K185" i="15"/>
  <c r="K186" i="15"/>
  <c r="K187" i="15"/>
  <c r="K188" i="15"/>
  <c r="K189" i="15"/>
  <c r="K190" i="15"/>
  <c r="K191" i="15"/>
  <c r="K192" i="15"/>
  <c r="K193" i="15"/>
  <c r="K194" i="15"/>
  <c r="K195" i="15"/>
  <c r="K196" i="15"/>
  <c r="K197" i="15"/>
  <c r="K198" i="15"/>
  <c r="K199" i="15"/>
  <c r="K200" i="15"/>
  <c r="K201" i="15"/>
  <c r="K202" i="15"/>
  <c r="K203" i="15"/>
  <c r="K204" i="15"/>
  <c r="K205" i="15"/>
  <c r="K206" i="15"/>
  <c r="K207" i="15"/>
  <c r="K208" i="15"/>
  <c r="K209" i="15"/>
  <c r="K210" i="15"/>
  <c r="K211" i="15"/>
  <c r="K212" i="15"/>
  <c r="K213" i="15"/>
  <c r="K214" i="15"/>
  <c r="K215" i="15"/>
  <c r="K216" i="15"/>
  <c r="K217" i="15"/>
  <c r="K218" i="15"/>
  <c r="K219" i="15"/>
  <c r="K220" i="15"/>
  <c r="K221" i="15"/>
  <c r="K222" i="15"/>
  <c r="K223" i="15"/>
  <c r="K224" i="15"/>
  <c r="K225" i="15"/>
  <c r="K226" i="15"/>
  <c r="K227" i="15"/>
  <c r="K228" i="15"/>
  <c r="K229" i="15"/>
  <c r="K230" i="15"/>
  <c r="K231" i="15"/>
  <c r="K232" i="15"/>
  <c r="K233" i="15"/>
  <c r="K234" i="15"/>
  <c r="K235" i="15"/>
  <c r="K236" i="15"/>
  <c r="K237" i="15"/>
  <c r="K238" i="15"/>
  <c r="K239" i="15"/>
  <c r="K240" i="15"/>
  <c r="K241" i="15"/>
  <c r="K242" i="15"/>
  <c r="K243" i="15"/>
  <c r="K244" i="15"/>
  <c r="K245" i="15"/>
  <c r="K246" i="15"/>
  <c r="K247" i="15"/>
  <c r="K248" i="15"/>
  <c r="K249" i="15"/>
  <c r="K250" i="15"/>
  <c r="K251" i="15"/>
  <c r="K252" i="15"/>
  <c r="K253" i="15"/>
  <c r="K254" i="15"/>
  <c r="K255" i="15"/>
  <c r="K256" i="15"/>
  <c r="K257" i="15"/>
  <c r="K258" i="15"/>
  <c r="K259" i="15"/>
  <c r="K260" i="15"/>
  <c r="K261" i="15"/>
  <c r="K262" i="15"/>
  <c r="K263" i="15"/>
  <c r="K264" i="15"/>
  <c r="K265" i="15"/>
  <c r="K266" i="15"/>
  <c r="K267" i="15"/>
  <c r="K268" i="15"/>
  <c r="K269" i="15"/>
  <c r="K270" i="15"/>
  <c r="K271" i="15"/>
  <c r="K272" i="15"/>
  <c r="K273" i="15"/>
  <c r="K274" i="15"/>
  <c r="K275" i="15"/>
  <c r="K276" i="15"/>
  <c r="K277" i="15"/>
  <c r="K278" i="15"/>
  <c r="K279" i="15"/>
  <c r="K280" i="15"/>
  <c r="K281" i="15"/>
  <c r="K282" i="15"/>
  <c r="K283" i="15"/>
  <c r="K284" i="15"/>
  <c r="K285" i="15"/>
  <c r="K286" i="15"/>
  <c r="K287" i="15"/>
  <c r="K288" i="15"/>
  <c r="K289" i="15"/>
  <c r="K290" i="15"/>
  <c r="K291" i="15"/>
  <c r="K292" i="15"/>
  <c r="K293" i="15"/>
  <c r="K294" i="15"/>
  <c r="K295" i="15"/>
  <c r="K296" i="15"/>
  <c r="K297" i="15"/>
  <c r="K298" i="15"/>
  <c r="K299" i="15"/>
  <c r="K300" i="15"/>
  <c r="K301" i="15"/>
  <c r="K302" i="15"/>
  <c r="K303" i="15"/>
  <c r="K304" i="15"/>
  <c r="K305" i="15"/>
  <c r="K306" i="15"/>
  <c r="K307" i="15"/>
  <c r="K308" i="15"/>
  <c r="K309" i="15"/>
  <c r="K310" i="15"/>
  <c r="K311" i="15"/>
  <c r="K312" i="15"/>
  <c r="K313" i="15"/>
  <c r="K314" i="15"/>
  <c r="K315" i="15"/>
  <c r="K316" i="15"/>
  <c r="K317" i="15"/>
  <c r="K318" i="15"/>
  <c r="K319" i="15"/>
  <c r="K320" i="15"/>
  <c r="K321" i="15"/>
  <c r="K322" i="15"/>
  <c r="K323" i="15"/>
  <c r="K324" i="15"/>
  <c r="K325" i="15"/>
  <c r="K326" i="15"/>
  <c r="K327" i="15"/>
  <c r="K328" i="15"/>
  <c r="K329" i="15"/>
  <c r="K330" i="15"/>
  <c r="K331" i="15"/>
  <c r="K332" i="15"/>
  <c r="K333" i="15"/>
  <c r="K334" i="15"/>
  <c r="K335" i="15"/>
  <c r="K336" i="15"/>
  <c r="K337" i="15"/>
  <c r="K338" i="15"/>
  <c r="K339" i="15"/>
  <c r="K340" i="15"/>
  <c r="K341" i="15"/>
  <c r="K342" i="15"/>
  <c r="K343" i="15"/>
  <c r="K344" i="15"/>
  <c r="K345" i="15"/>
  <c r="K346" i="15"/>
  <c r="K347" i="15"/>
  <c r="K348" i="15"/>
  <c r="K349" i="15"/>
  <c r="K350" i="15"/>
  <c r="K351" i="15"/>
  <c r="K352" i="15"/>
  <c r="K353" i="15"/>
  <c r="K354" i="15"/>
  <c r="K355" i="15"/>
  <c r="K356" i="15"/>
  <c r="K357" i="15"/>
  <c r="K358" i="15"/>
  <c r="K359" i="15"/>
  <c r="K360" i="15"/>
  <c r="K361" i="15"/>
  <c r="K362" i="15"/>
  <c r="K363" i="15"/>
  <c r="K364" i="15"/>
  <c r="K365" i="15"/>
  <c r="K366" i="15"/>
  <c r="K367" i="15"/>
  <c r="K368" i="15"/>
  <c r="K369" i="15"/>
  <c r="K370" i="15"/>
  <c r="K371" i="15"/>
  <c r="K372" i="15"/>
  <c r="K373" i="15"/>
  <c r="K374" i="15"/>
  <c r="K375" i="15"/>
  <c r="K376" i="15"/>
  <c r="K377" i="15"/>
  <c r="K378" i="15"/>
  <c r="K379" i="15"/>
  <c r="K380" i="15"/>
  <c r="K381" i="15"/>
  <c r="K382" i="15"/>
  <c r="K383" i="15"/>
  <c r="K384" i="15"/>
  <c r="K385" i="15"/>
  <c r="K386" i="15"/>
  <c r="K387" i="15"/>
  <c r="K388" i="15"/>
  <c r="K389" i="15"/>
  <c r="K390" i="15"/>
  <c r="K391" i="15"/>
  <c r="K392" i="15"/>
  <c r="K393" i="15"/>
  <c r="K394" i="15"/>
  <c r="K395" i="15"/>
  <c r="K396" i="15"/>
  <c r="K397" i="15"/>
  <c r="K398" i="15"/>
  <c r="K399" i="15"/>
  <c r="K400" i="15"/>
  <c r="K401" i="15"/>
  <c r="K402" i="15"/>
  <c r="K403" i="15"/>
  <c r="K404" i="15"/>
  <c r="K405" i="15"/>
  <c r="K406" i="15"/>
  <c r="K407" i="15"/>
  <c r="K408" i="15"/>
  <c r="K409" i="15"/>
  <c r="K410" i="15"/>
  <c r="K411" i="15"/>
  <c r="K412" i="15"/>
  <c r="K413" i="15"/>
  <c r="K414" i="15"/>
  <c r="K415" i="15"/>
  <c r="K416" i="15"/>
  <c r="K417" i="15"/>
  <c r="K418" i="15"/>
  <c r="K419" i="15"/>
  <c r="K420" i="15"/>
  <c r="K421" i="15"/>
  <c r="K422" i="15"/>
  <c r="K423" i="15"/>
  <c r="K424" i="15"/>
  <c r="K425" i="15"/>
  <c r="K426" i="15"/>
  <c r="K427" i="15"/>
  <c r="K428" i="15"/>
  <c r="K429" i="15"/>
  <c r="K430" i="15"/>
  <c r="K431" i="15"/>
  <c r="K432" i="15"/>
  <c r="K433" i="15"/>
  <c r="K434" i="15"/>
  <c r="K435" i="15"/>
  <c r="K436" i="15"/>
  <c r="K437" i="15"/>
  <c r="K438" i="15"/>
  <c r="K439" i="15"/>
  <c r="K440" i="15"/>
  <c r="K441" i="15"/>
  <c r="K442" i="15"/>
  <c r="K443" i="15"/>
  <c r="K444" i="15"/>
  <c r="K445" i="15"/>
  <c r="K446" i="15"/>
  <c r="K447" i="15"/>
  <c r="K448" i="15"/>
  <c r="K449" i="15"/>
  <c r="K450" i="15"/>
  <c r="K451" i="15"/>
  <c r="K452" i="15"/>
  <c r="K453" i="15"/>
  <c r="K454" i="15"/>
  <c r="K455" i="15"/>
  <c r="K456" i="15"/>
  <c r="K457" i="15"/>
  <c r="K458" i="15"/>
  <c r="K459" i="15"/>
  <c r="K460" i="15"/>
  <c r="K461" i="15"/>
  <c r="K462" i="15"/>
  <c r="K463" i="15"/>
  <c r="K464" i="15"/>
  <c r="K465" i="15"/>
  <c r="K466" i="15"/>
  <c r="K467" i="15"/>
  <c r="K468" i="15"/>
  <c r="K469" i="15"/>
  <c r="K470" i="15"/>
  <c r="K471" i="15"/>
  <c r="K472" i="15"/>
  <c r="K473" i="15"/>
  <c r="K474" i="15"/>
  <c r="K475" i="15"/>
  <c r="K476" i="15"/>
  <c r="K477" i="15"/>
  <c r="K478" i="15"/>
  <c r="K479" i="15"/>
  <c r="K480" i="15"/>
  <c r="K481" i="15"/>
  <c r="K482" i="15"/>
  <c r="K483" i="15"/>
  <c r="K484" i="15"/>
  <c r="K485" i="15"/>
  <c r="K486" i="15"/>
  <c r="K487" i="15"/>
  <c r="K488" i="15"/>
  <c r="K489" i="15"/>
  <c r="K490" i="15"/>
  <c r="K491" i="15"/>
  <c r="K492" i="15"/>
  <c r="K493" i="15"/>
  <c r="K494" i="15"/>
  <c r="K495" i="15"/>
  <c r="K496" i="15"/>
  <c r="K497" i="15"/>
  <c r="K498" i="15"/>
  <c r="K499" i="15"/>
  <c r="K500" i="15"/>
  <c r="K501" i="15"/>
  <c r="K502" i="15"/>
  <c r="K503" i="15"/>
  <c r="K504" i="15"/>
  <c r="K505" i="15"/>
  <c r="K506" i="15"/>
  <c r="K507" i="15"/>
  <c r="K508" i="15"/>
  <c r="K509" i="15"/>
  <c r="K510" i="15"/>
  <c r="K511" i="15"/>
  <c r="K512" i="15"/>
  <c r="K513" i="15"/>
  <c r="K514" i="15"/>
  <c r="K515" i="15"/>
  <c r="K516" i="15"/>
  <c r="K517" i="15"/>
  <c r="K518" i="15"/>
  <c r="K519" i="15"/>
  <c r="K520" i="15"/>
  <c r="K521" i="15"/>
  <c r="K522" i="15"/>
  <c r="K523" i="15"/>
  <c r="K524" i="15"/>
  <c r="K525" i="15"/>
  <c r="K526" i="15"/>
  <c r="K527" i="15"/>
  <c r="K528" i="15"/>
  <c r="K529" i="15"/>
  <c r="K530" i="15"/>
  <c r="K531" i="15"/>
  <c r="K532" i="15"/>
  <c r="K533" i="15"/>
  <c r="K534" i="15"/>
  <c r="K535" i="15"/>
  <c r="K536" i="15"/>
  <c r="K537" i="15"/>
  <c r="K538" i="15"/>
  <c r="K539" i="15"/>
  <c r="K540" i="15"/>
  <c r="K541" i="15"/>
  <c r="K542" i="15"/>
  <c r="K543" i="15"/>
  <c r="K544" i="15"/>
  <c r="K545" i="15"/>
  <c r="K546" i="15"/>
  <c r="K547" i="15"/>
  <c r="K548" i="15"/>
  <c r="K549" i="15"/>
  <c r="K550" i="15"/>
  <c r="K551" i="15"/>
  <c r="K552" i="15"/>
  <c r="K553" i="15"/>
  <c r="K554" i="15"/>
  <c r="K555" i="15"/>
  <c r="K556" i="15"/>
  <c r="K557" i="15"/>
  <c r="K558" i="15"/>
  <c r="K559" i="15"/>
  <c r="K560" i="15"/>
  <c r="K561" i="15"/>
  <c r="K562" i="15"/>
  <c r="K563" i="15"/>
  <c r="K564" i="15"/>
  <c r="K565" i="15"/>
  <c r="K566" i="15"/>
  <c r="K567" i="15"/>
  <c r="K568" i="15"/>
  <c r="K569" i="15"/>
  <c r="K570" i="15"/>
  <c r="K571" i="15"/>
  <c r="K572" i="15"/>
  <c r="K573" i="15"/>
  <c r="K574" i="15"/>
  <c r="K575" i="15"/>
  <c r="K576" i="15"/>
  <c r="K577" i="15"/>
  <c r="K578" i="15"/>
  <c r="K579" i="15"/>
  <c r="K580" i="15"/>
  <c r="K581" i="15"/>
  <c r="K582" i="15"/>
  <c r="K583" i="15"/>
  <c r="K584" i="15"/>
  <c r="K585" i="15"/>
  <c r="K586" i="15"/>
  <c r="K587" i="15"/>
  <c r="K588" i="15"/>
  <c r="K589" i="15"/>
  <c r="K590" i="15"/>
  <c r="K591" i="15"/>
  <c r="K592" i="15"/>
  <c r="K593" i="15"/>
  <c r="K594" i="15"/>
  <c r="K595" i="15"/>
  <c r="K596" i="15"/>
  <c r="K597" i="15"/>
  <c r="K598" i="15"/>
  <c r="K599" i="15"/>
  <c r="K600" i="15"/>
  <c r="K601" i="15"/>
  <c r="K602" i="15"/>
  <c r="K603" i="15"/>
  <c r="K604" i="15"/>
  <c r="K605" i="15"/>
  <c r="K606" i="15"/>
  <c r="K607" i="15"/>
  <c r="K608" i="15"/>
  <c r="K609" i="15"/>
  <c r="K610" i="15"/>
  <c r="K611" i="15"/>
  <c r="K612" i="15"/>
  <c r="K613" i="15"/>
  <c r="K614" i="15"/>
  <c r="K615" i="15"/>
  <c r="K616" i="15"/>
  <c r="K617" i="15"/>
  <c r="K618" i="15"/>
  <c r="K619" i="15"/>
  <c r="K620" i="15"/>
  <c r="K621" i="15"/>
  <c r="K622" i="15"/>
  <c r="K623" i="15"/>
  <c r="K624" i="15"/>
  <c r="K625" i="15"/>
  <c r="K626" i="15"/>
  <c r="K627" i="15"/>
  <c r="K628" i="15"/>
  <c r="K629" i="15"/>
  <c r="K630" i="15"/>
  <c r="K631" i="15"/>
  <c r="K632" i="15"/>
  <c r="K633" i="15"/>
  <c r="K634" i="15"/>
  <c r="K635" i="15"/>
  <c r="K636" i="15"/>
  <c r="K637" i="15"/>
  <c r="K638" i="15"/>
  <c r="K639" i="15"/>
  <c r="K640" i="15"/>
  <c r="K641" i="15"/>
  <c r="K642" i="15"/>
  <c r="K643" i="15"/>
  <c r="K644" i="15"/>
  <c r="K645" i="15"/>
  <c r="K646" i="15"/>
  <c r="K647" i="15"/>
  <c r="K648" i="15"/>
  <c r="K649" i="15"/>
  <c r="K650" i="15"/>
  <c r="K651" i="15"/>
  <c r="K652" i="15"/>
  <c r="K653" i="15"/>
  <c r="K654" i="15"/>
  <c r="K655" i="15"/>
  <c r="K656" i="15"/>
  <c r="K657" i="15"/>
  <c r="K658" i="15"/>
  <c r="K659" i="15"/>
  <c r="K660" i="15"/>
  <c r="K661" i="15"/>
  <c r="K662" i="15"/>
  <c r="K663" i="15"/>
  <c r="K664" i="15"/>
  <c r="K665" i="15"/>
  <c r="K666" i="15"/>
  <c r="K667" i="15"/>
  <c r="K668" i="15"/>
  <c r="K669" i="15"/>
  <c r="K670" i="15"/>
  <c r="K671" i="15"/>
  <c r="K672" i="15"/>
  <c r="K673" i="15"/>
  <c r="K674" i="15"/>
  <c r="K675" i="15"/>
  <c r="K676" i="15"/>
  <c r="K677" i="15"/>
  <c r="K678" i="15"/>
  <c r="K679" i="15"/>
  <c r="K680" i="15"/>
  <c r="K681" i="15"/>
  <c r="K682" i="15"/>
  <c r="K683" i="15"/>
  <c r="K684" i="15"/>
  <c r="K685" i="15"/>
  <c r="K686" i="15"/>
  <c r="K687" i="15"/>
  <c r="K688" i="15"/>
  <c r="K689" i="15"/>
  <c r="K690" i="15"/>
  <c r="K691" i="15"/>
  <c r="K692" i="15"/>
  <c r="K693" i="15"/>
  <c r="K694" i="15"/>
  <c r="K695" i="15"/>
  <c r="K696" i="15"/>
  <c r="K697" i="15"/>
  <c r="K698" i="15"/>
  <c r="K699" i="15"/>
  <c r="K700" i="15"/>
  <c r="K701" i="15"/>
  <c r="K702" i="15"/>
  <c r="K703" i="15"/>
  <c r="K704" i="15"/>
  <c r="K705" i="15"/>
  <c r="K706" i="15"/>
  <c r="K707" i="15"/>
  <c r="K708" i="15"/>
  <c r="K709" i="15"/>
  <c r="K710" i="15"/>
  <c r="K711" i="15"/>
  <c r="K712" i="15"/>
  <c r="K713" i="15"/>
  <c r="K714" i="15"/>
  <c r="K715" i="15"/>
  <c r="K716" i="15"/>
  <c r="K717" i="15"/>
  <c r="K718" i="15"/>
  <c r="K719" i="15"/>
  <c r="K720" i="15"/>
  <c r="K721" i="15"/>
  <c r="K722" i="15"/>
  <c r="K723" i="15"/>
  <c r="K724" i="15"/>
  <c r="K725" i="15"/>
  <c r="K726" i="15"/>
  <c r="K727" i="15"/>
  <c r="K728" i="15"/>
  <c r="K729" i="15"/>
  <c r="K730" i="15"/>
  <c r="K731" i="15"/>
  <c r="K732" i="15"/>
  <c r="K733" i="15"/>
  <c r="K734" i="15"/>
  <c r="K735" i="15"/>
  <c r="K736" i="15"/>
  <c r="K737" i="15"/>
  <c r="K738" i="15"/>
  <c r="K739" i="15"/>
  <c r="K740" i="15"/>
  <c r="K741" i="15"/>
  <c r="K742" i="15"/>
  <c r="K743" i="15"/>
  <c r="K744" i="15"/>
  <c r="K745" i="15"/>
  <c r="K746" i="15"/>
  <c r="K747" i="15"/>
  <c r="K748" i="15"/>
  <c r="K749" i="15"/>
  <c r="G12" i="15"/>
  <c r="G13" i="15"/>
  <c r="G14" i="15"/>
  <c r="G15" i="15"/>
  <c r="G16" i="15"/>
  <c r="G17" i="15"/>
  <c r="G18" i="15"/>
  <c r="G19" i="15"/>
  <c r="G20" i="15"/>
  <c r="G21" i="15"/>
  <c r="G22" i="15"/>
  <c r="G23" i="15"/>
  <c r="G24" i="15"/>
  <c r="G25" i="15"/>
  <c r="G26" i="15"/>
  <c r="G27" i="15"/>
  <c r="G28" i="15"/>
  <c r="G29" i="15"/>
  <c r="G30" i="15"/>
  <c r="G31" i="15"/>
  <c r="G32" i="15"/>
  <c r="G33" i="15"/>
  <c r="G34" i="15"/>
  <c r="G35" i="15"/>
  <c r="G36" i="15"/>
  <c r="G37" i="15"/>
  <c r="G38" i="15"/>
  <c r="G39" i="15"/>
  <c r="G40" i="15"/>
  <c r="G41" i="15"/>
  <c r="G42" i="15"/>
  <c r="G43" i="15"/>
  <c r="G44" i="15"/>
  <c r="G45" i="15"/>
  <c r="G46" i="15"/>
  <c r="G47" i="15"/>
  <c r="G48" i="15"/>
  <c r="G49" i="15"/>
  <c r="G50" i="15"/>
  <c r="G51" i="15"/>
  <c r="G52" i="15"/>
  <c r="G53" i="15"/>
  <c r="G54" i="15"/>
  <c r="G55" i="15"/>
  <c r="G56" i="15"/>
  <c r="G57" i="15"/>
  <c r="G58" i="15"/>
  <c r="G59" i="15"/>
  <c r="G60" i="15"/>
  <c r="G61" i="15"/>
  <c r="G62" i="15"/>
  <c r="G63" i="15"/>
  <c r="G64" i="15"/>
  <c r="G65" i="15"/>
  <c r="G66" i="15"/>
  <c r="G67" i="15"/>
  <c r="G68" i="15"/>
  <c r="G69" i="15"/>
  <c r="G70" i="15"/>
  <c r="G71" i="15"/>
  <c r="G72" i="15"/>
  <c r="G73" i="15"/>
  <c r="G74" i="15"/>
  <c r="G75" i="15"/>
  <c r="G76" i="15"/>
  <c r="G77" i="15"/>
  <c r="G78" i="15"/>
  <c r="G79" i="15"/>
  <c r="G80" i="15"/>
  <c r="G81" i="15"/>
  <c r="G82" i="15"/>
  <c r="G83" i="15"/>
  <c r="G84" i="15"/>
  <c r="G85" i="15"/>
  <c r="G86" i="15"/>
  <c r="G87" i="15"/>
  <c r="G88" i="15"/>
  <c r="G89" i="15"/>
  <c r="G90" i="15"/>
  <c r="G91" i="15"/>
  <c r="G92" i="15"/>
  <c r="G93" i="15"/>
  <c r="G94" i="15"/>
  <c r="G95" i="15"/>
  <c r="G96" i="15"/>
  <c r="G97" i="15"/>
  <c r="G98" i="15"/>
  <c r="G99" i="15"/>
  <c r="G100" i="15"/>
  <c r="G101" i="15"/>
  <c r="G102" i="15"/>
  <c r="G103" i="15"/>
  <c r="G104" i="15"/>
  <c r="G105" i="15"/>
  <c r="G106" i="15"/>
  <c r="G107" i="15"/>
  <c r="G108" i="15"/>
  <c r="G109" i="15"/>
  <c r="G110" i="15"/>
  <c r="G111" i="15"/>
  <c r="G112" i="15"/>
  <c r="G113" i="15"/>
  <c r="G114" i="15"/>
  <c r="G115" i="15"/>
  <c r="G116" i="15"/>
  <c r="G117" i="15"/>
  <c r="G118" i="15"/>
  <c r="G119" i="15"/>
  <c r="G120" i="15"/>
  <c r="G121" i="15"/>
  <c r="G122" i="15"/>
  <c r="G123" i="15"/>
  <c r="G124" i="15"/>
  <c r="G125" i="15"/>
  <c r="G126" i="15"/>
  <c r="G127" i="15"/>
  <c r="G128" i="15"/>
  <c r="G129" i="15"/>
  <c r="G130" i="15"/>
  <c r="G131" i="15"/>
  <c r="G132" i="15"/>
  <c r="G133" i="15"/>
  <c r="G134" i="15"/>
  <c r="G135" i="15"/>
  <c r="G136" i="15"/>
  <c r="G137" i="15"/>
  <c r="G138" i="15"/>
  <c r="G139" i="15"/>
  <c r="G140" i="15"/>
  <c r="G141" i="15"/>
  <c r="G142" i="15"/>
  <c r="G143" i="15"/>
  <c r="G144" i="15"/>
  <c r="G145" i="15"/>
  <c r="G146" i="15"/>
  <c r="G147" i="15"/>
  <c r="G148" i="15"/>
  <c r="G149" i="15"/>
  <c r="G150" i="15"/>
  <c r="G151" i="15"/>
  <c r="G152" i="15"/>
  <c r="G153" i="15"/>
  <c r="G154" i="15"/>
  <c r="G155" i="15"/>
  <c r="G156" i="15"/>
  <c r="G157" i="15"/>
  <c r="G158" i="15"/>
  <c r="G159" i="15"/>
  <c r="G160" i="15"/>
  <c r="G161" i="15"/>
  <c r="G162" i="15"/>
  <c r="G163" i="15"/>
  <c r="G164" i="15"/>
  <c r="G165" i="15"/>
  <c r="G166" i="15"/>
  <c r="G167" i="15"/>
  <c r="G168" i="15"/>
  <c r="G169" i="15"/>
  <c r="G170" i="15"/>
  <c r="G171" i="15"/>
  <c r="G172" i="15"/>
  <c r="G173" i="15"/>
  <c r="G174" i="15"/>
  <c r="G175" i="15"/>
  <c r="G176" i="15"/>
  <c r="G177" i="15"/>
  <c r="G178" i="15"/>
  <c r="G179" i="15"/>
  <c r="G180" i="15"/>
  <c r="G181" i="15"/>
  <c r="G182" i="15"/>
  <c r="G183" i="15"/>
  <c r="G184" i="15"/>
  <c r="G185" i="15"/>
  <c r="G186" i="15"/>
  <c r="G187" i="15"/>
  <c r="G188" i="15"/>
  <c r="G189" i="15"/>
  <c r="G190" i="15"/>
  <c r="G191" i="15"/>
  <c r="G192" i="15"/>
  <c r="G193" i="15"/>
  <c r="G194" i="15"/>
  <c r="G195" i="15"/>
  <c r="G196" i="15"/>
  <c r="G197" i="15"/>
  <c r="G198" i="15"/>
  <c r="G199" i="15"/>
  <c r="G200" i="15"/>
  <c r="G201" i="15"/>
  <c r="G202" i="15"/>
  <c r="G203" i="15"/>
  <c r="G204" i="15"/>
  <c r="G205" i="15"/>
  <c r="G206" i="15"/>
  <c r="G207" i="15"/>
  <c r="G208" i="15"/>
  <c r="G209" i="15"/>
  <c r="G210" i="15"/>
  <c r="G211" i="15"/>
  <c r="G212" i="15"/>
  <c r="G213" i="15"/>
  <c r="G214" i="15"/>
  <c r="G215" i="15"/>
  <c r="G216" i="15"/>
  <c r="G217" i="15"/>
  <c r="G218" i="15"/>
  <c r="G219" i="15"/>
  <c r="G220" i="15"/>
  <c r="G221" i="15"/>
  <c r="G222" i="15"/>
  <c r="G223" i="15"/>
  <c r="G224" i="15"/>
  <c r="G225" i="15"/>
  <c r="G226" i="15"/>
  <c r="G227" i="15"/>
  <c r="G228" i="15"/>
  <c r="G229" i="15"/>
  <c r="G230" i="15"/>
  <c r="G231" i="15"/>
  <c r="G232" i="15"/>
  <c r="G233" i="15"/>
  <c r="G234" i="15"/>
  <c r="G235" i="15"/>
  <c r="G236" i="15"/>
  <c r="G237" i="15"/>
  <c r="G238" i="15"/>
  <c r="G239" i="15"/>
  <c r="G240" i="15"/>
  <c r="G241" i="15"/>
  <c r="G242" i="15"/>
  <c r="G243" i="15"/>
  <c r="G244" i="15"/>
  <c r="G245" i="15"/>
  <c r="G246" i="15"/>
  <c r="G247" i="15"/>
  <c r="G248" i="15"/>
  <c r="G249" i="15"/>
  <c r="G250" i="15"/>
  <c r="G251" i="15"/>
  <c r="G252" i="15"/>
  <c r="G253" i="15"/>
  <c r="G254" i="15"/>
  <c r="G255" i="15"/>
  <c r="G256" i="15"/>
  <c r="G257" i="15"/>
  <c r="G258" i="15"/>
  <c r="G259" i="15"/>
  <c r="G260" i="15"/>
  <c r="G261" i="15"/>
  <c r="G262" i="15"/>
  <c r="G263" i="15"/>
  <c r="G264" i="15"/>
  <c r="G265" i="15"/>
  <c r="G266" i="15"/>
  <c r="G267" i="15"/>
  <c r="G268" i="15"/>
  <c r="G269" i="15"/>
  <c r="G270" i="15"/>
  <c r="G271" i="15"/>
  <c r="G272" i="15"/>
  <c r="G273" i="15"/>
  <c r="G274" i="15"/>
  <c r="G275" i="15"/>
  <c r="G276" i="15"/>
  <c r="G277" i="15"/>
  <c r="G278" i="15"/>
  <c r="G279" i="15"/>
  <c r="G280" i="15"/>
  <c r="G281" i="15"/>
  <c r="G282" i="15"/>
  <c r="G283" i="15"/>
  <c r="G284" i="15"/>
  <c r="G285" i="15"/>
  <c r="G286" i="15"/>
  <c r="G287" i="15"/>
  <c r="G288" i="15"/>
  <c r="G289" i="15"/>
  <c r="G290" i="15"/>
  <c r="G291" i="15"/>
  <c r="G292" i="15"/>
  <c r="G293" i="15"/>
  <c r="G294" i="15"/>
  <c r="G295" i="15"/>
  <c r="G296" i="15"/>
  <c r="G297" i="15"/>
  <c r="G298" i="15"/>
  <c r="G299" i="15"/>
  <c r="G300" i="15"/>
  <c r="G301" i="15"/>
  <c r="G302" i="15"/>
  <c r="G303" i="15"/>
  <c r="G304" i="15"/>
  <c r="G305" i="15"/>
  <c r="G306" i="15"/>
  <c r="G307" i="15"/>
  <c r="G308" i="15"/>
  <c r="G309" i="15"/>
  <c r="G310" i="15"/>
  <c r="G311" i="15"/>
  <c r="G312" i="15"/>
  <c r="G313" i="15"/>
  <c r="G314" i="15"/>
  <c r="G315" i="15"/>
  <c r="G316" i="15"/>
  <c r="G317" i="15"/>
  <c r="G318" i="15"/>
  <c r="G319" i="15"/>
  <c r="G320" i="15"/>
  <c r="G321" i="15"/>
  <c r="G322" i="15"/>
  <c r="G323" i="15"/>
  <c r="G324" i="15"/>
  <c r="G325" i="15"/>
  <c r="G326" i="15"/>
  <c r="G327" i="15"/>
  <c r="G328" i="15"/>
  <c r="G329" i="15"/>
  <c r="G330" i="15"/>
  <c r="G331" i="15"/>
  <c r="G332" i="15"/>
  <c r="G333" i="15"/>
  <c r="G334" i="15"/>
  <c r="G335" i="15"/>
  <c r="G336" i="15"/>
  <c r="G337" i="15"/>
  <c r="G338" i="15"/>
  <c r="G339" i="15"/>
  <c r="G340" i="15"/>
  <c r="G341" i="15"/>
  <c r="G342" i="15"/>
  <c r="G343" i="15"/>
  <c r="G344" i="15"/>
  <c r="G345" i="15"/>
  <c r="G346" i="15"/>
  <c r="G347" i="15"/>
  <c r="G348" i="15"/>
  <c r="G349" i="15"/>
  <c r="G350" i="15"/>
  <c r="G351" i="15"/>
  <c r="G352" i="15"/>
  <c r="G353" i="15"/>
  <c r="G354" i="15"/>
  <c r="G355" i="15"/>
  <c r="G356" i="15"/>
  <c r="G357" i="15"/>
  <c r="G358" i="15"/>
  <c r="G359" i="15"/>
  <c r="G360" i="15"/>
  <c r="G361" i="15"/>
  <c r="G362" i="15"/>
  <c r="G363" i="15"/>
  <c r="G364" i="15"/>
  <c r="G365" i="15"/>
  <c r="G366" i="15"/>
  <c r="G367" i="15"/>
  <c r="G368" i="15"/>
  <c r="G369" i="15"/>
  <c r="G370" i="15"/>
  <c r="G371" i="15"/>
  <c r="G372" i="15"/>
  <c r="G373" i="15"/>
  <c r="G374" i="15"/>
  <c r="G375" i="15"/>
  <c r="G376" i="15"/>
  <c r="G377" i="15"/>
  <c r="G378" i="15"/>
  <c r="G379" i="15"/>
  <c r="G380" i="15"/>
  <c r="G381" i="15"/>
  <c r="G382" i="15"/>
  <c r="G383" i="15"/>
  <c r="G384" i="15"/>
  <c r="G385" i="15"/>
  <c r="G386" i="15"/>
  <c r="G387" i="15"/>
  <c r="G388" i="15"/>
  <c r="G389" i="15"/>
  <c r="G390" i="15"/>
  <c r="G391" i="15"/>
  <c r="G392" i="15"/>
  <c r="G393" i="15"/>
  <c r="G394" i="15"/>
  <c r="G395" i="15"/>
  <c r="G396" i="15"/>
  <c r="G397" i="15"/>
  <c r="G398" i="15"/>
  <c r="G399" i="15"/>
  <c r="G400" i="15"/>
  <c r="G401" i="15"/>
  <c r="G402" i="15"/>
  <c r="G403" i="15"/>
  <c r="G404" i="15"/>
  <c r="G405" i="15"/>
  <c r="G406" i="15"/>
  <c r="G407" i="15"/>
  <c r="G408" i="15"/>
  <c r="G409" i="15"/>
  <c r="G410" i="15"/>
  <c r="G411" i="15"/>
  <c r="G412" i="15"/>
  <c r="G413" i="15"/>
  <c r="G414" i="15"/>
  <c r="G415" i="15"/>
  <c r="G416" i="15"/>
  <c r="G417" i="15"/>
  <c r="G418" i="15"/>
  <c r="G419" i="15"/>
  <c r="G420" i="15"/>
  <c r="G421" i="15"/>
  <c r="G422" i="15"/>
  <c r="G423" i="15"/>
  <c r="G424" i="15"/>
  <c r="G425" i="15"/>
  <c r="G426" i="15"/>
  <c r="G427" i="15"/>
  <c r="G428" i="15"/>
  <c r="G429" i="15"/>
  <c r="G430" i="15"/>
  <c r="G431" i="15"/>
  <c r="G432" i="15"/>
  <c r="G433" i="15"/>
  <c r="G434" i="15"/>
  <c r="G435" i="15"/>
  <c r="G436" i="15"/>
  <c r="G437" i="15"/>
  <c r="G438" i="15"/>
  <c r="G439" i="15"/>
  <c r="G440" i="15"/>
  <c r="G441" i="15"/>
  <c r="G442" i="15"/>
  <c r="G443" i="15"/>
  <c r="G444" i="15"/>
  <c r="G445" i="15"/>
  <c r="G446" i="15"/>
  <c r="G447" i="15"/>
  <c r="G448" i="15"/>
  <c r="G449" i="15"/>
  <c r="G450" i="15"/>
  <c r="G451" i="15"/>
  <c r="G452" i="15"/>
  <c r="G453" i="15"/>
  <c r="G454" i="15"/>
  <c r="G455" i="15"/>
  <c r="G456" i="15"/>
  <c r="G457" i="15"/>
  <c r="G458" i="15"/>
  <c r="G459" i="15"/>
  <c r="G460" i="15"/>
  <c r="G461" i="15"/>
  <c r="G462" i="15"/>
  <c r="G463" i="15"/>
  <c r="G464" i="15"/>
  <c r="G465" i="15"/>
  <c r="G466" i="15"/>
  <c r="G467" i="15"/>
  <c r="G468" i="15"/>
  <c r="G469" i="15"/>
  <c r="G470" i="15"/>
  <c r="G471" i="15"/>
  <c r="G472" i="15"/>
  <c r="G473" i="15"/>
  <c r="G474" i="15"/>
  <c r="G475" i="15"/>
  <c r="G476" i="15"/>
  <c r="G477" i="15"/>
  <c r="G478" i="15"/>
  <c r="G479" i="15"/>
  <c r="G480" i="15"/>
  <c r="G481" i="15"/>
  <c r="G482" i="15"/>
  <c r="G483" i="15"/>
  <c r="G484" i="15"/>
  <c r="G485" i="15"/>
  <c r="G486" i="15"/>
  <c r="G487" i="15"/>
  <c r="G488" i="15"/>
  <c r="G489" i="15"/>
  <c r="G490" i="15"/>
  <c r="G491" i="15"/>
  <c r="G492" i="15"/>
  <c r="G493" i="15"/>
  <c r="G494" i="15"/>
  <c r="G495" i="15"/>
  <c r="G496" i="15"/>
  <c r="G497" i="15"/>
  <c r="G498" i="15"/>
  <c r="G499" i="15"/>
  <c r="G500" i="15"/>
  <c r="G501" i="15"/>
  <c r="G502" i="15"/>
  <c r="G503" i="15"/>
  <c r="G504" i="15"/>
  <c r="G505" i="15"/>
  <c r="G506" i="15"/>
  <c r="G507" i="15"/>
  <c r="G508" i="15"/>
  <c r="G509" i="15"/>
  <c r="G510" i="15"/>
  <c r="G511" i="15"/>
  <c r="G512" i="15"/>
  <c r="G513" i="15"/>
  <c r="G514" i="15"/>
  <c r="G515" i="15"/>
  <c r="G516" i="15"/>
  <c r="G517" i="15"/>
  <c r="G518" i="15"/>
  <c r="G519" i="15"/>
  <c r="G520" i="15"/>
  <c r="G521" i="15"/>
  <c r="G522" i="15"/>
  <c r="G523" i="15"/>
  <c r="G524" i="15"/>
  <c r="G525" i="15"/>
  <c r="G526" i="15"/>
  <c r="G527" i="15"/>
  <c r="G528" i="15"/>
  <c r="G529" i="15"/>
  <c r="G530" i="15"/>
  <c r="G531" i="15"/>
  <c r="G532" i="15"/>
  <c r="G533" i="15"/>
  <c r="G534" i="15"/>
  <c r="G535" i="15"/>
  <c r="G536" i="15"/>
  <c r="G537" i="15"/>
  <c r="G538" i="15"/>
  <c r="G539" i="15"/>
  <c r="G540" i="15"/>
  <c r="G541" i="15"/>
  <c r="G542" i="15"/>
  <c r="G543" i="15"/>
  <c r="G544" i="15"/>
  <c r="G545" i="15"/>
  <c r="G546" i="15"/>
  <c r="G547" i="15"/>
  <c r="G548" i="15"/>
  <c r="G549" i="15"/>
  <c r="G550" i="15"/>
  <c r="G551" i="15"/>
  <c r="G552" i="15"/>
  <c r="G553" i="15"/>
  <c r="G554" i="15"/>
  <c r="G555" i="15"/>
  <c r="G556" i="15"/>
  <c r="G557" i="15"/>
  <c r="G558" i="15"/>
  <c r="G559" i="15"/>
  <c r="G560" i="15"/>
  <c r="G561" i="15"/>
  <c r="G562" i="15"/>
  <c r="G563" i="15"/>
  <c r="G564" i="15"/>
  <c r="G565" i="15"/>
  <c r="G566" i="15"/>
  <c r="G567" i="15"/>
  <c r="G568" i="15"/>
  <c r="G569" i="15"/>
  <c r="G570" i="15"/>
  <c r="G571" i="15"/>
  <c r="G572" i="15"/>
  <c r="G573" i="15"/>
  <c r="G574" i="15"/>
  <c r="G575" i="15"/>
  <c r="G576" i="15"/>
  <c r="G577" i="15"/>
  <c r="G578" i="15"/>
  <c r="G579" i="15"/>
  <c r="G580" i="15"/>
  <c r="G581" i="15"/>
  <c r="G582" i="15"/>
  <c r="G583" i="15"/>
  <c r="G584" i="15"/>
  <c r="G585" i="15"/>
  <c r="G586" i="15"/>
  <c r="G587" i="15"/>
  <c r="G588" i="15"/>
  <c r="G589" i="15"/>
  <c r="G590" i="15"/>
  <c r="G591" i="15"/>
  <c r="G592" i="15"/>
  <c r="G593" i="15"/>
  <c r="G594" i="15"/>
  <c r="G595" i="15"/>
  <c r="G596" i="15"/>
  <c r="G597" i="15"/>
  <c r="G598" i="15"/>
  <c r="G599" i="15"/>
  <c r="G600" i="15"/>
  <c r="G601" i="15"/>
  <c r="G602" i="15"/>
  <c r="G603" i="15"/>
  <c r="G604" i="15"/>
  <c r="G605" i="15"/>
  <c r="G606" i="15"/>
  <c r="G607" i="15"/>
  <c r="G608" i="15"/>
  <c r="G609" i="15"/>
  <c r="G610" i="15"/>
  <c r="G611" i="15"/>
  <c r="G612" i="15"/>
  <c r="G613" i="15"/>
  <c r="G614" i="15"/>
  <c r="G615" i="15"/>
  <c r="G616" i="15"/>
  <c r="G617" i="15"/>
  <c r="G618" i="15"/>
  <c r="G619" i="15"/>
  <c r="G620" i="15"/>
  <c r="G621" i="15"/>
  <c r="G622" i="15"/>
  <c r="G623" i="15"/>
  <c r="G624" i="15"/>
  <c r="G625" i="15"/>
  <c r="G626" i="15"/>
  <c r="G627" i="15"/>
  <c r="G628" i="15"/>
  <c r="G629" i="15"/>
  <c r="G630" i="15"/>
  <c r="G631" i="15"/>
  <c r="G632" i="15"/>
  <c r="G633" i="15"/>
  <c r="G634" i="15"/>
  <c r="G635" i="15"/>
  <c r="G636" i="15"/>
  <c r="G637" i="15"/>
  <c r="G638" i="15"/>
  <c r="G639" i="15"/>
  <c r="G640" i="15"/>
  <c r="G641" i="15"/>
  <c r="G642" i="15"/>
  <c r="G643" i="15"/>
  <c r="G644" i="15"/>
  <c r="G645" i="15"/>
  <c r="G646" i="15"/>
  <c r="G647" i="15"/>
  <c r="G648" i="15"/>
  <c r="G649" i="15"/>
  <c r="G650" i="15"/>
  <c r="G651" i="15"/>
  <c r="G652" i="15"/>
  <c r="G653" i="15"/>
  <c r="G654" i="15"/>
  <c r="G655" i="15"/>
  <c r="G656" i="15"/>
  <c r="G657" i="15"/>
  <c r="G658" i="15"/>
  <c r="G659" i="15"/>
  <c r="G660" i="15"/>
  <c r="G661" i="15"/>
  <c r="G662" i="15"/>
  <c r="G663" i="15"/>
  <c r="G664" i="15"/>
  <c r="G665" i="15"/>
  <c r="G666" i="15"/>
  <c r="G667" i="15"/>
  <c r="G668" i="15"/>
  <c r="G669" i="15"/>
  <c r="G670" i="15"/>
  <c r="G671" i="15"/>
  <c r="G672" i="15"/>
  <c r="G673" i="15"/>
  <c r="G674" i="15"/>
  <c r="G675" i="15"/>
  <c r="G676" i="15"/>
  <c r="G677" i="15"/>
  <c r="G678" i="15"/>
  <c r="G679" i="15"/>
  <c r="G680" i="15"/>
  <c r="G681" i="15"/>
  <c r="G682" i="15"/>
  <c r="G683" i="15"/>
  <c r="G684" i="15"/>
  <c r="G685" i="15"/>
  <c r="G686" i="15"/>
  <c r="G687" i="15"/>
  <c r="G688" i="15"/>
  <c r="G689" i="15"/>
  <c r="G690" i="15"/>
  <c r="G691" i="15"/>
  <c r="G692" i="15"/>
  <c r="G693" i="15"/>
  <c r="G694" i="15"/>
  <c r="G695" i="15"/>
  <c r="G696" i="15"/>
  <c r="G697" i="15"/>
  <c r="G698" i="15"/>
  <c r="G699" i="15"/>
  <c r="G700" i="15"/>
  <c r="G701" i="15"/>
  <c r="G702" i="15"/>
  <c r="G703" i="15"/>
  <c r="G704" i="15"/>
  <c r="G705" i="15"/>
  <c r="G706" i="15"/>
  <c r="G707" i="15"/>
  <c r="G708" i="15"/>
  <c r="G709" i="15"/>
  <c r="G710" i="15"/>
  <c r="G711" i="15"/>
  <c r="G712" i="15"/>
  <c r="G713" i="15"/>
  <c r="G714" i="15"/>
  <c r="G715" i="15"/>
  <c r="G716" i="15"/>
  <c r="G717" i="15"/>
  <c r="G718" i="15"/>
  <c r="G719" i="15"/>
  <c r="G720" i="15"/>
  <c r="G721" i="15"/>
  <c r="G722" i="15"/>
  <c r="G723" i="15"/>
  <c r="G724" i="15"/>
  <c r="G725" i="15"/>
  <c r="G726" i="15"/>
  <c r="G727" i="15"/>
  <c r="G728" i="15"/>
  <c r="G729" i="15"/>
  <c r="G730" i="15"/>
  <c r="G731" i="15"/>
  <c r="G732" i="15"/>
  <c r="G733" i="15"/>
  <c r="G734" i="15"/>
  <c r="G735" i="15"/>
  <c r="G736" i="15"/>
  <c r="G737" i="15"/>
  <c r="G738" i="15"/>
  <c r="G739" i="15"/>
  <c r="G740" i="15"/>
  <c r="G741" i="15"/>
  <c r="G742" i="15"/>
  <c r="G743" i="15"/>
  <c r="G744" i="15"/>
  <c r="G745" i="15"/>
  <c r="G746" i="15"/>
  <c r="G747" i="15"/>
  <c r="G748" i="15"/>
  <c r="G749" i="15"/>
  <c r="E740" i="15"/>
  <c r="G750" i="15"/>
  <c r="G751" i="15" s="1"/>
  <c r="L751" i="15" s="1"/>
  <c r="L127" i="15" l="1"/>
  <c r="L33" i="15"/>
  <c r="L212" i="15"/>
  <c r="E749" i="15"/>
  <c r="D748" i="15"/>
  <c r="E747" i="15"/>
  <c r="L244" i="15" l="1"/>
  <c r="L104" i="15"/>
  <c r="L490" i="15"/>
  <c r="L68" i="15"/>
  <c r="L43" i="15"/>
  <c r="L642" i="15"/>
  <c r="L180" i="15"/>
  <c r="L261" i="15"/>
  <c r="L42" i="15"/>
  <c r="L594" i="15"/>
  <c r="L714" i="15"/>
  <c r="L59" i="15"/>
  <c r="L53" i="15"/>
  <c r="L736" i="15"/>
  <c r="L608" i="15"/>
  <c r="L243" i="15"/>
  <c r="L69" i="15"/>
  <c r="L558" i="15"/>
  <c r="L140" i="15"/>
  <c r="L523" i="15"/>
  <c r="L747" i="15"/>
  <c r="E748" i="15"/>
  <c r="L576" i="15"/>
  <c r="L148" i="15"/>
  <c r="L147" i="15"/>
  <c r="L120" i="15"/>
  <c r="L21" i="15"/>
  <c r="L40" i="15"/>
  <c r="L700" i="15"/>
  <c r="L643" i="15"/>
  <c r="L164" i="15"/>
  <c r="L133" i="15"/>
  <c r="L227" i="15"/>
  <c r="L713" i="15"/>
  <c r="L658" i="15"/>
  <c r="L67" i="15"/>
  <c r="L694" i="15"/>
  <c r="L506" i="15"/>
  <c r="L293" i="15"/>
  <c r="L727" i="15"/>
  <c r="L711" i="15"/>
  <c r="L196" i="15"/>
  <c r="L29" i="15"/>
  <c r="I749" i="15"/>
  <c r="L749" i="15"/>
  <c r="L81" i="15"/>
  <c r="L473" i="15"/>
  <c r="L423" i="15"/>
  <c r="L277" i="15"/>
  <c r="L706" i="15"/>
  <c r="L24" i="15"/>
  <c r="L103" i="15"/>
  <c r="L75" i="15"/>
  <c r="L719" i="15"/>
  <c r="L679" i="15"/>
  <c r="L41" i="15"/>
  <c r="L678" i="15"/>
  <c r="L664" i="15"/>
  <c r="L593" i="15"/>
  <c r="L54" i="15"/>
  <c r="L14" i="15"/>
  <c r="L539" i="15"/>
  <c r="L440" i="15"/>
  <c r="L37" i="15"/>
  <c r="L457" i="15"/>
  <c r="L121" i="15"/>
  <c r="L17" i="15"/>
  <c r="L748" i="15" l="1"/>
  <c r="E746" i="15" l="1"/>
  <c r="E745" i="15"/>
  <c r="E744" i="15"/>
  <c r="E743" i="15"/>
  <c r="E742" i="15"/>
  <c r="E741" i="15"/>
  <c r="E739" i="15"/>
  <c r="E738" i="15"/>
  <c r="E737" i="15"/>
  <c r="E735" i="15"/>
  <c r="E731" i="15"/>
  <c r="E732" i="15"/>
  <c r="E730" i="15"/>
  <c r="E729" i="15"/>
  <c r="L739" i="15" l="1"/>
  <c r="L737" i="15"/>
  <c r="L741" i="15"/>
  <c r="L738" i="15" l="1"/>
  <c r="L744" i="15"/>
  <c r="L743" i="15"/>
  <c r="L729" i="15"/>
  <c r="L742" i="15"/>
  <c r="L730" i="15"/>
  <c r="L745" i="15"/>
  <c r="L732" i="15"/>
  <c r="L731" i="15"/>
  <c r="L740" i="15"/>
  <c r="L735" i="15"/>
  <c r="L746" i="15"/>
  <c r="E733" i="15" l="1"/>
  <c r="E728" i="15"/>
  <c r="E720" i="15"/>
  <c r="E724" i="15"/>
  <c r="E726" i="15"/>
  <c r="E723" i="15"/>
  <c r="E722" i="15"/>
  <c r="E721" i="15"/>
  <c r="L721" i="15" l="1"/>
  <c r="E734" i="15"/>
  <c r="E725" i="15"/>
  <c r="L726" i="15" l="1"/>
  <c r="L720" i="15"/>
  <c r="L733" i="15"/>
  <c r="L723" i="15"/>
  <c r="L724" i="15"/>
  <c r="L722" i="15"/>
  <c r="L728" i="15"/>
  <c r="E718" i="15"/>
  <c r="E717" i="15"/>
  <c r="E716" i="15"/>
  <c r="E715" i="15"/>
  <c r="E707" i="15"/>
  <c r="E705" i="15"/>
  <c r="E704" i="15"/>
  <c r="E703" i="15"/>
  <c r="E702" i="15"/>
  <c r="E701" i="15"/>
  <c r="E692" i="15"/>
  <c r="E691" i="15"/>
  <c r="E687" i="15"/>
  <c r="E686" i="15"/>
  <c r="E685" i="15"/>
  <c r="E684" i="15"/>
  <c r="E683" i="15"/>
  <c r="E682" i="15"/>
  <c r="E681" i="15"/>
  <c r="E680" i="15"/>
  <c r="E699" i="15"/>
  <c r="E697" i="15"/>
  <c r="E696" i="15"/>
  <c r="E695" i="15"/>
  <c r="E676" i="15"/>
  <c r="E675" i="15"/>
  <c r="E671" i="15"/>
  <c r="E670" i="15"/>
  <c r="E669" i="15"/>
  <c r="E668" i="15"/>
  <c r="E667" i="15"/>
  <c r="E666" i="15"/>
  <c r="E665" i="15"/>
  <c r="E659" i="15"/>
  <c r="E656" i="15"/>
  <c r="E655" i="15"/>
  <c r="E651" i="15"/>
  <c r="E650" i="15"/>
  <c r="E649" i="15"/>
  <c r="E648" i="15"/>
  <c r="E647" i="15"/>
  <c r="E646" i="15"/>
  <c r="E645" i="15"/>
  <c r="E644" i="15"/>
  <c r="L648" i="15" l="1"/>
  <c r="L725" i="15"/>
  <c r="L734" i="15"/>
  <c r="E672" i="15"/>
  <c r="E708" i="15"/>
  <c r="E688" i="15"/>
  <c r="E698" i="15"/>
  <c r="E660" i="15"/>
  <c r="E663" i="15"/>
  <c r="E661" i="15"/>
  <c r="E652" i="15"/>
  <c r="L669" i="15" l="1"/>
  <c r="L659" i="15"/>
  <c r="L699" i="15"/>
  <c r="L701" i="15"/>
  <c r="L665" i="15"/>
  <c r="L683" i="15"/>
  <c r="L666" i="15"/>
  <c r="L705" i="15"/>
  <c r="L651" i="15"/>
  <c r="L702" i="15"/>
  <c r="L681" i="15"/>
  <c r="L655" i="15"/>
  <c r="L684" i="15"/>
  <c r="L718" i="15"/>
  <c r="L687" i="15"/>
  <c r="L704" i="15"/>
  <c r="L646" i="15"/>
  <c r="L685" i="15"/>
  <c r="L703" i="15"/>
  <c r="L650" i="15"/>
  <c r="L680" i="15"/>
  <c r="L717" i="15"/>
  <c r="L645" i="15"/>
  <c r="L682" i="15"/>
  <c r="L671" i="15"/>
  <c r="L667" i="15"/>
  <c r="L668" i="15"/>
  <c r="L715" i="15"/>
  <c r="L696" i="15"/>
  <c r="L676" i="15"/>
  <c r="L692" i="15"/>
  <c r="L675" i="15"/>
  <c r="L663" i="15"/>
  <c r="L691" i="15"/>
  <c r="L647" i="15"/>
  <c r="L686" i="15"/>
  <c r="L670" i="15"/>
  <c r="L695" i="15"/>
  <c r="L707" i="15"/>
  <c r="L649" i="15"/>
  <c r="L656" i="15"/>
  <c r="L644" i="15"/>
  <c r="L716" i="15"/>
  <c r="L697" i="15"/>
  <c r="E710" i="15"/>
  <c r="E712" i="15"/>
  <c r="E709" i="15"/>
  <c r="E689" i="15"/>
  <c r="E690" i="15"/>
  <c r="E693" i="15"/>
  <c r="E673" i="15"/>
  <c r="E662" i="15"/>
  <c r="E657" i="15"/>
  <c r="E653" i="15"/>
  <c r="E654" i="15"/>
  <c r="E674" i="15"/>
  <c r="E677" i="15"/>
  <c r="L688" i="15" l="1"/>
  <c r="L708" i="15"/>
  <c r="L689" i="15"/>
  <c r="L672" i="15"/>
  <c r="L660" i="15"/>
  <c r="L661" i="15"/>
  <c r="L698" i="15"/>
  <c r="L652" i="15"/>
  <c r="L712" i="15"/>
  <c r="E35" i="15"/>
  <c r="E34" i="15"/>
  <c r="E32" i="15"/>
  <c r="D83" i="15"/>
  <c r="D93" i="15"/>
  <c r="E97" i="15"/>
  <c r="E101" i="15"/>
  <c r="E100" i="15"/>
  <c r="E99" i="15"/>
  <c r="E98" i="15"/>
  <c r="E113" i="15"/>
  <c r="D20" i="15"/>
  <c r="E20" i="15" s="1"/>
  <c r="D19" i="15"/>
  <c r="E19" i="15" s="1"/>
  <c r="E26" i="15"/>
  <c r="E27" i="15"/>
  <c r="E25" i="15"/>
  <c r="E23" i="15"/>
  <c r="E22" i="15"/>
  <c r="E18" i="15"/>
  <c r="E16" i="15"/>
  <c r="E15" i="15"/>
  <c r="E13" i="15"/>
  <c r="E640" i="15"/>
  <c r="E639" i="15"/>
  <c r="E638" i="15"/>
  <c r="E626" i="15"/>
  <c r="E624" i="15"/>
  <c r="E623" i="15"/>
  <c r="E621" i="15"/>
  <c r="E622" i="15"/>
  <c r="E609" i="15"/>
  <c r="E606" i="15"/>
  <c r="E602" i="15"/>
  <c r="E601" i="15"/>
  <c r="E600" i="15"/>
  <c r="E599" i="15"/>
  <c r="E598" i="15"/>
  <c r="E597" i="15"/>
  <c r="E596" i="15"/>
  <c r="E595" i="15"/>
  <c r="E536" i="15"/>
  <c r="E537" i="15"/>
  <c r="E532" i="15"/>
  <c r="E531" i="15"/>
  <c r="E530" i="15"/>
  <c r="E529" i="15"/>
  <c r="E528" i="15"/>
  <c r="E527" i="15"/>
  <c r="E526" i="15"/>
  <c r="E525" i="15"/>
  <c r="E524" i="15"/>
  <c r="E520" i="15"/>
  <c r="E519" i="15"/>
  <c r="E521" i="15"/>
  <c r="E515" i="15"/>
  <c r="E514" i="15"/>
  <c r="E513" i="15"/>
  <c r="E512" i="15"/>
  <c r="E511" i="15"/>
  <c r="E510" i="15"/>
  <c r="E509" i="15"/>
  <c r="E508" i="15"/>
  <c r="E507" i="15"/>
  <c r="E504" i="15"/>
  <c r="E503" i="15"/>
  <c r="E499" i="15"/>
  <c r="E498" i="15"/>
  <c r="E497" i="15"/>
  <c r="E496" i="15"/>
  <c r="E495" i="15"/>
  <c r="E494" i="15"/>
  <c r="E493" i="15"/>
  <c r="E492" i="15"/>
  <c r="E491" i="15"/>
  <c r="E486" i="15"/>
  <c r="E487" i="15"/>
  <c r="E488" i="15"/>
  <c r="E482" i="15"/>
  <c r="E481" i="15"/>
  <c r="E480" i="15"/>
  <c r="E479" i="15"/>
  <c r="E478" i="15"/>
  <c r="E477" i="15"/>
  <c r="E476" i="15"/>
  <c r="E475" i="15"/>
  <c r="E474" i="15"/>
  <c r="E470" i="15"/>
  <c r="E471" i="15"/>
  <c r="E466" i="15"/>
  <c r="E465" i="15"/>
  <c r="E464" i="15"/>
  <c r="E463" i="15"/>
  <c r="E462" i="15"/>
  <c r="E461" i="15"/>
  <c r="E460" i="15"/>
  <c r="E459" i="15"/>
  <c r="E458" i="15"/>
  <c r="E455" i="15"/>
  <c r="E454" i="15"/>
  <c r="E453" i="15"/>
  <c r="E449" i="15"/>
  <c r="E448" i="15"/>
  <c r="E447" i="15"/>
  <c r="E446" i="15"/>
  <c r="E445" i="15"/>
  <c r="E444" i="15"/>
  <c r="E443" i="15"/>
  <c r="E442" i="15"/>
  <c r="E441" i="15"/>
  <c r="E438" i="15"/>
  <c r="E437" i="15"/>
  <c r="E436" i="15"/>
  <c r="E430" i="15"/>
  <c r="E427" i="15"/>
  <c r="E424" i="15"/>
  <c r="E432" i="15"/>
  <c r="E591" i="15"/>
  <c r="E590" i="15"/>
  <c r="E589" i="15"/>
  <c r="E585" i="15"/>
  <c r="E584" i="15"/>
  <c r="E583" i="15"/>
  <c r="E582" i="15"/>
  <c r="E581" i="15"/>
  <c r="E580" i="15"/>
  <c r="E579" i="15"/>
  <c r="E578" i="15"/>
  <c r="E577" i="15"/>
  <c r="E574" i="15"/>
  <c r="E573" i="15"/>
  <c r="E572" i="15"/>
  <c r="E571" i="15"/>
  <c r="E564" i="15"/>
  <c r="E560" i="15"/>
  <c r="E559" i="15"/>
  <c r="E565" i="15"/>
  <c r="E556" i="15"/>
  <c r="E555" i="15"/>
  <c r="E554" i="15"/>
  <c r="E553" i="15"/>
  <c r="E540" i="15"/>
  <c r="E421" i="15"/>
  <c r="E420" i="15"/>
  <c r="E419" i="15"/>
  <c r="E406" i="15"/>
  <c r="E403" i="15"/>
  <c r="E404" i="15"/>
  <c r="E390" i="15"/>
  <c r="E388" i="15"/>
  <c r="E387" i="15"/>
  <c r="E386" i="15"/>
  <c r="E373" i="15"/>
  <c r="E371" i="15"/>
  <c r="E370" i="15"/>
  <c r="E357" i="15"/>
  <c r="E355" i="15"/>
  <c r="E354" i="15"/>
  <c r="E341" i="15"/>
  <c r="E338" i="15"/>
  <c r="E339" i="15"/>
  <c r="E325" i="15"/>
  <c r="E323" i="15"/>
  <c r="E322" i="15"/>
  <c r="E309" i="15"/>
  <c r="E306" i="15"/>
  <c r="E307" i="15"/>
  <c r="E302" i="15"/>
  <c r="E301" i="15"/>
  <c r="E300" i="15"/>
  <c r="E299" i="15"/>
  <c r="E298" i="15"/>
  <c r="E297" i="15"/>
  <c r="E296" i="15"/>
  <c r="E295" i="15"/>
  <c r="E294" i="15"/>
  <c r="E290" i="15"/>
  <c r="E291" i="15"/>
  <c r="E286" i="15"/>
  <c r="E285" i="15"/>
  <c r="E284" i="15"/>
  <c r="E283" i="15"/>
  <c r="E282" i="15"/>
  <c r="E281" i="15"/>
  <c r="E280" i="15"/>
  <c r="E279" i="15"/>
  <c r="E278" i="15"/>
  <c r="E274" i="15"/>
  <c r="E275" i="15"/>
  <c r="E270" i="15"/>
  <c r="E269" i="15"/>
  <c r="E268" i="15"/>
  <c r="E267" i="15"/>
  <c r="E266" i="15"/>
  <c r="E265" i="15"/>
  <c r="E264" i="15"/>
  <c r="E263" i="15"/>
  <c r="E262" i="15"/>
  <c r="E259" i="15"/>
  <c r="E258" i="15"/>
  <c r="E257" i="15"/>
  <c r="E253" i="15"/>
  <c r="E252" i="15"/>
  <c r="E251" i="15"/>
  <c r="E250" i="15"/>
  <c r="E249" i="15"/>
  <c r="E248" i="15"/>
  <c r="E247" i="15"/>
  <c r="E246" i="15"/>
  <c r="E245" i="15"/>
  <c r="E239" i="15"/>
  <c r="E240" i="15"/>
  <c r="E241" i="15"/>
  <c r="E235" i="15"/>
  <c r="E234" i="15"/>
  <c r="E233" i="15"/>
  <c r="E232" i="15"/>
  <c r="E231" i="15"/>
  <c r="E230" i="15"/>
  <c r="E229" i="15"/>
  <c r="E228" i="15"/>
  <c r="E225" i="15"/>
  <c r="E224" i="15"/>
  <c r="E220" i="15"/>
  <c r="E219" i="15"/>
  <c r="E218" i="15"/>
  <c r="E217" i="15"/>
  <c r="E216" i="15"/>
  <c r="E215" i="15"/>
  <c r="E214" i="15"/>
  <c r="E213" i="15"/>
  <c r="E208" i="15"/>
  <c r="E209" i="15"/>
  <c r="E210" i="15"/>
  <c r="E204" i="15"/>
  <c r="E203" i="15"/>
  <c r="E202" i="15"/>
  <c r="E201" i="15"/>
  <c r="E200" i="15"/>
  <c r="E199" i="15"/>
  <c r="E198" i="15"/>
  <c r="E197" i="15"/>
  <c r="E193" i="15"/>
  <c r="E192" i="15"/>
  <c r="E194" i="15"/>
  <c r="E188" i="15"/>
  <c r="E187" i="15"/>
  <c r="E186" i="15"/>
  <c r="E185" i="15"/>
  <c r="E184" i="15"/>
  <c r="E183" i="15"/>
  <c r="E182" i="15"/>
  <c r="E181" i="15"/>
  <c r="E176" i="15"/>
  <c r="E177" i="15"/>
  <c r="E178" i="15"/>
  <c r="E172" i="15"/>
  <c r="E171" i="15"/>
  <c r="E170" i="15"/>
  <c r="E169" i="15"/>
  <c r="E168" i="15"/>
  <c r="E167" i="15"/>
  <c r="E166" i="15"/>
  <c r="E165" i="15"/>
  <c r="E145" i="15"/>
  <c r="E128" i="15"/>
  <c r="E126" i="15"/>
  <c r="E141" i="15"/>
  <c r="E139" i="15"/>
  <c r="E138" i="15"/>
  <c r="E137" i="15"/>
  <c r="E136" i="15"/>
  <c r="E135" i="15"/>
  <c r="E134" i="15"/>
  <c r="E160" i="15"/>
  <c r="E161" i="15"/>
  <c r="E162" i="15"/>
  <c r="E156" i="15"/>
  <c r="E155" i="15"/>
  <c r="E154" i="15"/>
  <c r="E153" i="15"/>
  <c r="E152" i="15"/>
  <c r="E151" i="15"/>
  <c r="E150" i="15"/>
  <c r="E149" i="15"/>
  <c r="E118" i="15"/>
  <c r="E117" i="15"/>
  <c r="E112" i="15"/>
  <c r="E111" i="15"/>
  <c r="E110" i="15"/>
  <c r="E109" i="15"/>
  <c r="E108" i="15"/>
  <c r="E107" i="15"/>
  <c r="E106" i="15"/>
  <c r="E105" i="15"/>
  <c r="E86" i="15"/>
  <c r="E87" i="15"/>
  <c r="E88" i="15"/>
  <c r="E89" i="15"/>
  <c r="E90" i="15"/>
  <c r="K66" i="15"/>
  <c r="E74" i="15"/>
  <c r="E72" i="15"/>
  <c r="E71" i="15"/>
  <c r="E70" i="15"/>
  <c r="E12" i="15"/>
  <c r="E28" i="15"/>
  <c r="L662" i="15" l="1"/>
  <c r="L673" i="15"/>
  <c r="L674" i="15"/>
  <c r="L690" i="15"/>
  <c r="L710" i="15"/>
  <c r="L654" i="15"/>
  <c r="L355" i="15"/>
  <c r="L622" i="15"/>
  <c r="L233" i="15"/>
  <c r="L657" i="15"/>
  <c r="L709" i="15"/>
  <c r="L13" i="15"/>
  <c r="L677" i="15"/>
  <c r="L653" i="15"/>
  <c r="L693" i="15"/>
  <c r="L462" i="15"/>
  <c r="L444" i="15"/>
  <c r="E399" i="15"/>
  <c r="E603" i="15"/>
  <c r="E331" i="15"/>
  <c r="E415" i="15"/>
  <c r="E617" i="15"/>
  <c r="E364" i="15"/>
  <c r="E142" i="15"/>
  <c r="E348" i="15"/>
  <c r="E547" i="15"/>
  <c r="E94" i="15"/>
  <c r="E610" i="15"/>
  <c r="E611" i="15"/>
  <c r="E614" i="15"/>
  <c r="E612" i="15"/>
  <c r="E613" i="15"/>
  <c r="E615" i="15"/>
  <c r="E632" i="15"/>
  <c r="E630" i="15"/>
  <c r="E635" i="15"/>
  <c r="E618" i="15"/>
  <c r="E628" i="15"/>
  <c r="E633" i="15"/>
  <c r="E629" i="15"/>
  <c r="E631" i="15"/>
  <c r="E634" i="15"/>
  <c r="E627" i="15"/>
  <c r="E414" i="15"/>
  <c r="E412" i="15"/>
  <c r="E616" i="15"/>
  <c r="E533" i="15"/>
  <c r="E541" i="15"/>
  <c r="E548" i="15"/>
  <c r="E310" i="15"/>
  <c r="E314" i="15"/>
  <c r="E544" i="15"/>
  <c r="E549" i="15"/>
  <c r="E408" i="15"/>
  <c r="E586" i="15"/>
  <c r="E318" i="15"/>
  <c r="E342" i="15"/>
  <c r="E374" i="15"/>
  <c r="E379" i="15"/>
  <c r="E543" i="15"/>
  <c r="E546" i="15"/>
  <c r="E516" i="15"/>
  <c r="E500" i="15"/>
  <c r="E450" i="15"/>
  <c r="E433" i="15"/>
  <c r="E416" i="15"/>
  <c r="E483" i="15"/>
  <c r="E467" i="15"/>
  <c r="E335" i="15"/>
  <c r="E367" i="15"/>
  <c r="E550" i="15"/>
  <c r="E319" i="15"/>
  <c r="E345" i="15"/>
  <c r="E425" i="15"/>
  <c r="E426" i="15"/>
  <c r="E428" i="15"/>
  <c r="E431" i="15"/>
  <c r="E429" i="15"/>
  <c r="E382" i="15"/>
  <c r="E397" i="15"/>
  <c r="E381" i="15"/>
  <c r="E561" i="15"/>
  <c r="E563" i="15"/>
  <c r="E566" i="15"/>
  <c r="E567" i="15"/>
  <c r="E562" i="15"/>
  <c r="E568" i="15"/>
  <c r="E312" i="15"/>
  <c r="E316" i="15"/>
  <c r="E407" i="15"/>
  <c r="E542" i="15"/>
  <c r="E545" i="15"/>
  <c r="E122" i="15"/>
  <c r="E333" i="15"/>
  <c r="E383" i="15"/>
  <c r="E334" i="15"/>
  <c r="E410" i="15"/>
  <c r="E413" i="15"/>
  <c r="E409" i="15"/>
  <c r="E411" i="15"/>
  <c r="E361" i="15"/>
  <c r="E221" i="15"/>
  <c r="E303" i="15"/>
  <c r="E311" i="15"/>
  <c r="E326" i="15"/>
  <c r="E351" i="15"/>
  <c r="E358" i="15"/>
  <c r="E391" i="15"/>
  <c r="E394" i="15"/>
  <c r="E400" i="15"/>
  <c r="E271" i="15"/>
  <c r="E132" i="15"/>
  <c r="E313" i="15"/>
  <c r="E315" i="15"/>
  <c r="E317" i="15"/>
  <c r="E392" i="15"/>
  <c r="E393" i="15"/>
  <c r="E395" i="15"/>
  <c r="E398" i="15"/>
  <c r="E396" i="15"/>
  <c r="E377" i="15"/>
  <c r="E380" i="15"/>
  <c r="E375" i="15"/>
  <c r="E376" i="15"/>
  <c r="E378" i="15"/>
  <c r="E365" i="15"/>
  <c r="E363" i="15"/>
  <c r="E366" i="15"/>
  <c r="E359" i="15"/>
  <c r="E360" i="15"/>
  <c r="E362" i="15"/>
  <c r="E349" i="15"/>
  <c r="E347" i="15"/>
  <c r="E350" i="15"/>
  <c r="E343" i="15"/>
  <c r="E344" i="15"/>
  <c r="E346" i="15"/>
  <c r="E329" i="15"/>
  <c r="E332" i="15"/>
  <c r="E327" i="15"/>
  <c r="E328" i="15"/>
  <c r="E330" i="15"/>
  <c r="E287" i="15"/>
  <c r="E254" i="15"/>
  <c r="E123" i="15"/>
  <c r="E124" i="15"/>
  <c r="E236" i="15"/>
  <c r="E205" i="15"/>
  <c r="E129" i="15"/>
  <c r="E189" i="15"/>
  <c r="E173" i="15"/>
  <c r="E157" i="15"/>
  <c r="E130" i="15"/>
  <c r="E114" i="15"/>
  <c r="E73" i="15"/>
  <c r="L427" i="15" l="1"/>
  <c r="L341" i="15"/>
  <c r="L491" i="15"/>
  <c r="L338" i="15"/>
  <c r="L339" i="15"/>
  <c r="L325" i="15"/>
  <c r="L203" i="15"/>
  <c r="L508" i="15"/>
  <c r="L101" i="15"/>
  <c r="L118" i="15"/>
  <c r="L281" i="15"/>
  <c r="L154" i="15"/>
  <c r="L482" i="15"/>
  <c r="L589" i="15"/>
  <c r="L357" i="15"/>
  <c r="L247" i="15"/>
  <c r="L466" i="15"/>
  <c r="L511" i="15"/>
  <c r="L210" i="15"/>
  <c r="L478" i="15"/>
  <c r="L186" i="15"/>
  <c r="L580" i="15"/>
  <c r="L176" i="15"/>
  <c r="L200" i="15"/>
  <c r="L278" i="15"/>
  <c r="L471" i="15"/>
  <c r="L623" i="15"/>
  <c r="L169" i="15"/>
  <c r="L113" i="15"/>
  <c r="L510" i="15"/>
  <c r="L448" i="15"/>
  <c r="L585" i="15"/>
  <c r="L231" i="15"/>
  <c r="L15" i="15"/>
  <c r="L301" i="15"/>
  <c r="L213" i="15"/>
  <c r="L240" i="15"/>
  <c r="L495" i="15"/>
  <c r="L486" i="15"/>
  <c r="L166" i="15"/>
  <c r="L513" i="15"/>
  <c r="L250" i="15"/>
  <c r="L449" i="15"/>
  <c r="L528" i="15"/>
  <c r="L137" i="15"/>
  <c r="L252" i="15"/>
  <c r="L297" i="15"/>
  <c r="L16" i="15"/>
  <c r="L458" i="15"/>
  <c r="L640" i="15"/>
  <c r="L216" i="15"/>
  <c r="L126" i="15"/>
  <c r="L138" i="15"/>
  <c r="L537" i="15"/>
  <c r="L600" i="15"/>
  <c r="L251" i="15"/>
  <c r="L32" i="15"/>
  <c r="L406" i="15"/>
  <c r="L507" i="15"/>
  <c r="L497" i="15"/>
  <c r="L438" i="15"/>
  <c r="L107" i="15"/>
  <c r="L257" i="15"/>
  <c r="L194" i="15"/>
  <c r="L19" i="15"/>
  <c r="L609" i="15"/>
  <c r="L453" i="15"/>
  <c r="L152" i="15"/>
  <c r="L387" i="15"/>
  <c r="L300" i="15"/>
  <c r="L171" i="15"/>
  <c r="L90" i="15"/>
  <c r="L430" i="15"/>
  <c r="L26" i="15"/>
  <c r="L638" i="15"/>
  <c r="L601" i="15"/>
  <c r="L258" i="15"/>
  <c r="L160" i="15"/>
  <c r="L591" i="15"/>
  <c r="L155" i="15"/>
  <c r="L220" i="15"/>
  <c r="L110" i="15"/>
  <c r="L239" i="15"/>
  <c r="L465" i="15"/>
  <c r="L266" i="15"/>
  <c r="L476" i="15"/>
  <c r="L72" i="15"/>
  <c r="L386" i="15"/>
  <c r="L597" i="15"/>
  <c r="L475" i="15"/>
  <c r="L130" i="15"/>
  <c r="L209" i="15"/>
  <c r="L279" i="15"/>
  <c r="L404" i="15"/>
  <c r="L170" i="15"/>
  <c r="L564" i="15"/>
  <c r="L229" i="15"/>
  <c r="L168" i="15"/>
  <c r="L296" i="15"/>
  <c r="L621" i="15"/>
  <c r="L454" i="15"/>
  <c r="L150" i="15"/>
  <c r="L530" i="15"/>
  <c r="L99" i="15"/>
  <c r="L441" i="15"/>
  <c r="L234" i="15"/>
  <c r="L235" i="15"/>
  <c r="L536" i="15"/>
  <c r="L432" i="15"/>
  <c r="L504" i="15"/>
  <c r="L232" i="15"/>
  <c r="L624" i="15"/>
  <c r="L455" i="15"/>
  <c r="L265" i="15"/>
  <c r="L290" i="15"/>
  <c r="L370" i="15"/>
  <c r="L532" i="15"/>
  <c r="L599" i="15"/>
  <c r="L151" i="15"/>
  <c r="L436" i="15"/>
  <c r="L201" i="15"/>
  <c r="L531" i="15"/>
  <c r="L225" i="15"/>
  <c r="L460" i="15"/>
  <c r="L503" i="15"/>
  <c r="L193" i="15"/>
  <c r="L153" i="15"/>
  <c r="L447" i="15"/>
  <c r="L285" i="15"/>
  <c r="L185" i="15"/>
  <c r="L97" i="15"/>
  <c r="L388" i="15"/>
  <c r="L481" i="15"/>
  <c r="L188" i="15"/>
  <c r="L424" i="15"/>
  <c r="L192" i="15"/>
  <c r="L28" i="15"/>
  <c r="L139" i="15"/>
  <c r="L526" i="15"/>
  <c r="L202" i="15"/>
  <c r="L498" i="15"/>
  <c r="L461" i="15"/>
  <c r="L578" i="15"/>
  <c r="L419" i="15"/>
  <c r="L280" i="15"/>
  <c r="L515" i="15"/>
  <c r="L493" i="15"/>
  <c r="L112" i="15"/>
  <c r="L403" i="15"/>
  <c r="L286" i="15"/>
  <c r="L224" i="15"/>
  <c r="L421" i="15"/>
  <c r="L35" i="15"/>
  <c r="L445" i="15"/>
  <c r="L71" i="15"/>
  <c r="L241" i="15"/>
  <c r="L595" i="15"/>
  <c r="L443" i="15"/>
  <c r="L274" i="15"/>
  <c r="L135" i="15"/>
  <c r="L269" i="15"/>
  <c r="L512" i="15"/>
  <c r="L275" i="15"/>
  <c r="L284" i="15"/>
  <c r="L219" i="15"/>
  <c r="L100" i="15"/>
  <c r="L23" i="15"/>
  <c r="L524" i="15"/>
  <c r="L437" i="15"/>
  <c r="L390" i="15"/>
  <c r="L268" i="15"/>
  <c r="L117" i="15"/>
  <c r="L529" i="15"/>
  <c r="L583" i="15"/>
  <c r="L354" i="15"/>
  <c r="L89" i="15"/>
  <c r="L295" i="15"/>
  <c r="L228" i="15"/>
  <c r="L492" i="15"/>
  <c r="L136" i="15"/>
  <c r="L470" i="15"/>
  <c r="L215" i="15"/>
  <c r="L208" i="15"/>
  <c r="L556" i="15"/>
  <c r="L606" i="15"/>
  <c r="L283" i="15"/>
  <c r="L20" i="15"/>
  <c r="L259" i="15"/>
  <c r="L141" i="15"/>
  <c r="L626" i="15"/>
  <c r="L98" i="15"/>
  <c r="L520" i="15"/>
  <c r="L519" i="15"/>
  <c r="L480" i="15"/>
  <c r="L214" i="15"/>
  <c r="L581" i="15"/>
  <c r="L322" i="15"/>
  <c r="L263" i="15"/>
  <c r="L555" i="15"/>
  <c r="L249" i="15"/>
  <c r="L270" i="15"/>
  <c r="L217" i="15"/>
  <c r="L162" i="15"/>
  <c r="L106" i="15"/>
  <c r="L87" i="15"/>
  <c r="L544" i="15"/>
  <c r="L253" i="15"/>
  <c r="L582" i="15"/>
  <c r="L264" i="15"/>
  <c r="L199" i="15"/>
  <c r="L574" i="15"/>
  <c r="L187" i="15"/>
  <c r="L299" i="15"/>
  <c r="L198" i="15"/>
  <c r="L602" i="15"/>
  <c r="L161" i="15"/>
  <c r="L267" i="15"/>
  <c r="L307" i="15"/>
  <c r="L218" i="15"/>
  <c r="L27" i="15"/>
  <c r="L182" i="15"/>
  <c r="L420" i="15"/>
  <c r="L282" i="15"/>
  <c r="L590" i="15"/>
  <c r="L181" i="15"/>
  <c r="L74" i="15"/>
  <c r="L572" i="15"/>
  <c r="L479" i="15"/>
  <c r="L230" i="15"/>
  <c r="L584" i="15"/>
  <c r="L306" i="15"/>
  <c r="L573" i="15"/>
  <c r="L380" i="15"/>
  <c r="L413" i="15"/>
  <c r="L527" i="15"/>
  <c r="L571" i="15"/>
  <c r="L177" i="15"/>
  <c r="L554" i="15"/>
  <c r="L410" i="15"/>
  <c r="L291" i="15"/>
  <c r="L109" i="15"/>
  <c r="L474" i="15"/>
  <c r="L70" i="15"/>
  <c r="L184" i="15"/>
  <c r="L111" i="15"/>
  <c r="L134" i="15"/>
  <c r="L149" i="15"/>
  <c r="L245" i="15"/>
  <c r="L178" i="15"/>
  <c r="L499" i="15"/>
  <c r="L442" i="15"/>
  <c r="L309" i="15"/>
  <c r="L128" i="15"/>
  <c r="L446" i="15"/>
  <c r="L525" i="15"/>
  <c r="L262" i="15"/>
  <c r="L197" i="15"/>
  <c r="L18" i="15"/>
  <c r="L204" i="15"/>
  <c r="L496" i="15"/>
  <c r="L598" i="15"/>
  <c r="L464" i="15"/>
  <c r="L629" i="15"/>
  <c r="L596" i="15"/>
  <c r="L172" i="15"/>
  <c r="L334" i="15"/>
  <c r="L509" i="15"/>
  <c r="L477" i="15"/>
  <c r="L294" i="15"/>
  <c r="L298" i="15"/>
  <c r="L463" i="15"/>
  <c r="L248" i="15"/>
  <c r="L487" i="15"/>
  <c r="L494" i="15"/>
  <c r="L559" i="15"/>
  <c r="L246" i="15"/>
  <c r="L167" i="15"/>
  <c r="L156" i="15"/>
  <c r="L34" i="15"/>
  <c r="L145" i="15"/>
  <c r="L25" i="15"/>
  <c r="L560" i="15"/>
  <c r="L391" i="15"/>
  <c r="L108" i="15"/>
  <c r="L358" i="15"/>
  <c r="L364" i="15"/>
  <c r="L514" i="15"/>
  <c r="L553" i="15"/>
  <c r="L577" i="15"/>
  <c r="L86" i="15"/>
  <c r="L165" i="15"/>
  <c r="L540" i="15"/>
  <c r="L323" i="15"/>
  <c r="L105" i="15"/>
  <c r="L459" i="15"/>
  <c r="L302" i="15"/>
  <c r="L579" i="15"/>
  <c r="L639" i="15"/>
  <c r="L371" i="15"/>
  <c r="L183" i="15"/>
  <c r="L22" i="15"/>
  <c r="L488" i="15"/>
  <c r="L565" i="15"/>
  <c r="L521" i="15"/>
  <c r="L373" i="15"/>
  <c r="L88" i="15"/>
  <c r="E146" i="15"/>
  <c r="E143" i="15"/>
  <c r="E324" i="15"/>
  <c r="E292" i="15"/>
  <c r="E538" i="15"/>
  <c r="E223" i="15"/>
  <c r="E422" i="15"/>
  <c r="E405" i="15"/>
  <c r="E356" i="15"/>
  <c r="E195" i="15"/>
  <c r="E144" i="15"/>
  <c r="E557" i="15"/>
  <c r="E372" i="15"/>
  <c r="E163" i="15"/>
  <c r="E340" i="15"/>
  <c r="E472" i="15"/>
  <c r="E308" i="15"/>
  <c r="E489" i="15"/>
  <c r="E211" i="15"/>
  <c r="E456" i="15"/>
  <c r="E276" i="15"/>
  <c r="E505" i="15"/>
  <c r="E125" i="15"/>
  <c r="E95" i="15"/>
  <c r="E96" i="15"/>
  <c r="E102" i="15"/>
  <c r="E417" i="15"/>
  <c r="E439" i="15"/>
  <c r="E418" i="15"/>
  <c r="E535" i="15"/>
  <c r="E534" i="15"/>
  <c r="E641" i="15"/>
  <c r="E637" i="15"/>
  <c r="E636" i="15"/>
  <c r="E304" i="15"/>
  <c r="E368" i="15"/>
  <c r="E625" i="15"/>
  <c r="E619" i="15"/>
  <c r="E620" i="15"/>
  <c r="E369" i="15"/>
  <c r="E469" i="15"/>
  <c r="E501" i="15"/>
  <c r="E607" i="15"/>
  <c r="E604" i="15"/>
  <c r="E605" i="15"/>
  <c r="E452" i="15"/>
  <c r="E451" i="15"/>
  <c r="E273" i="15"/>
  <c r="E272" i="15"/>
  <c r="E337" i="15"/>
  <c r="E352" i="15"/>
  <c r="E484" i="15"/>
  <c r="E485" i="15"/>
  <c r="E321" i="15"/>
  <c r="E336" i="15"/>
  <c r="E320" i="15"/>
  <c r="E522" i="15"/>
  <c r="E517" i="15"/>
  <c r="E518" i="15"/>
  <c r="E502" i="15"/>
  <c r="E288" i="15"/>
  <c r="E468" i="15"/>
  <c r="E435" i="15"/>
  <c r="E434" i="15"/>
  <c r="E592" i="15"/>
  <c r="E588" i="15"/>
  <c r="E587" i="15"/>
  <c r="E575" i="15"/>
  <c r="E570" i="15"/>
  <c r="E569" i="15"/>
  <c r="E552" i="15"/>
  <c r="E551" i="15"/>
  <c r="E353" i="15"/>
  <c r="E401" i="15"/>
  <c r="L12" i="15"/>
  <c r="E402" i="15"/>
  <c r="E226" i="15"/>
  <c r="E222" i="15"/>
  <c r="E289" i="15"/>
  <c r="E305" i="15"/>
  <c r="E389" i="15"/>
  <c r="E384" i="15"/>
  <c r="E385" i="15"/>
  <c r="E131" i="15"/>
  <c r="E159" i="15"/>
  <c r="E191" i="15"/>
  <c r="E190" i="15"/>
  <c r="E260" i="15"/>
  <c r="E256" i="15"/>
  <c r="E255" i="15"/>
  <c r="E237" i="15"/>
  <c r="E238" i="15"/>
  <c r="E242" i="15"/>
  <c r="E158" i="15"/>
  <c r="E207" i="15"/>
  <c r="E206" i="15"/>
  <c r="E174" i="15"/>
  <c r="E179" i="15"/>
  <c r="E175" i="15"/>
  <c r="E116" i="15"/>
  <c r="E119" i="15"/>
  <c r="E115" i="15"/>
  <c r="L562" i="15" l="1"/>
  <c r="L329" i="15"/>
  <c r="L416" i="15"/>
  <c r="L361" i="15"/>
  <c r="L630" i="15"/>
  <c r="L394" i="15"/>
  <c r="L408" i="15"/>
  <c r="L549" i="15"/>
  <c r="L628" i="15"/>
  <c r="L412" i="15"/>
  <c r="L615" i="15"/>
  <c r="L632" i="15"/>
  <c r="L425" i="15"/>
  <c r="L379" i="15"/>
  <c r="L254" i="15"/>
  <c r="L377" i="15"/>
  <c r="L345" i="15"/>
  <c r="L236" i="15"/>
  <c r="L317" i="15"/>
  <c r="L330" i="15"/>
  <c r="L311" i="15"/>
  <c r="L328" i="15"/>
  <c r="L429" i="15"/>
  <c r="L366" i="15"/>
  <c r="L360" i="15"/>
  <c r="L620" i="15"/>
  <c r="L314" i="15"/>
  <c r="L483" i="15"/>
  <c r="L541" i="15"/>
  <c r="L547" i="15"/>
  <c r="L315" i="15"/>
  <c r="L500" i="15"/>
  <c r="L613" i="15"/>
  <c r="L327" i="15"/>
  <c r="L467" i="15"/>
  <c r="L124" i="15"/>
  <c r="L365" i="15"/>
  <c r="L616" i="15"/>
  <c r="L382" i="15"/>
  <c r="L363" i="15"/>
  <c r="L392" i="15"/>
  <c r="L157" i="15"/>
  <c r="L331" i="15"/>
  <c r="L359" i="15"/>
  <c r="L563" i="15"/>
  <c r="L94" i="15"/>
  <c r="L348" i="15"/>
  <c r="L409" i="15"/>
  <c r="L411" i="15"/>
  <c r="L614" i="15"/>
  <c r="L612" i="15"/>
  <c r="L542" i="15"/>
  <c r="L426" i="15"/>
  <c r="L561" i="15"/>
  <c r="L611" i="15"/>
  <c r="L393" i="15"/>
  <c r="L567" i="15"/>
  <c r="L123" i="15"/>
  <c r="L310" i="15"/>
  <c r="L344" i="15"/>
  <c r="L374" i="15"/>
  <c r="L627" i="15"/>
  <c r="L332" i="15"/>
  <c r="L397" i="15"/>
  <c r="L342" i="15"/>
  <c r="L566" i="15"/>
  <c r="L399" i="15"/>
  <c r="L122" i="15"/>
  <c r="L346" i="15"/>
  <c r="L205" i="15"/>
  <c r="L400" i="15"/>
  <c r="L316" i="15"/>
  <c r="L407" i="15"/>
  <c r="L545" i="15"/>
  <c r="L312" i="15"/>
  <c r="L351" i="15"/>
  <c r="L398" i="15"/>
  <c r="L603" i="15"/>
  <c r="L142" i="15"/>
  <c r="L335" i="15"/>
  <c r="L568" i="15"/>
  <c r="L287" i="15"/>
  <c r="L73" i="15"/>
  <c r="L618" i="15"/>
  <c r="L383" i="15"/>
  <c r="L631" i="15"/>
  <c r="L129" i="15"/>
  <c r="L634" i="15"/>
  <c r="L617" i="15"/>
  <c r="L318" i="15"/>
  <c r="L414" i="15"/>
  <c r="L326" i="15"/>
  <c r="L173" i="15"/>
  <c r="L367" i="15"/>
  <c r="L313" i="15"/>
  <c r="L395" i="15"/>
  <c r="L381" i="15"/>
  <c r="L450" i="15"/>
  <c r="L376" i="15"/>
  <c r="L433" i="15"/>
  <c r="L362" i="15"/>
  <c r="L132" i="15"/>
  <c r="L431" i="15"/>
  <c r="L356" i="15"/>
  <c r="L396" i="15"/>
  <c r="L543" i="15"/>
  <c r="L343" i="15"/>
  <c r="L114" i="15"/>
  <c r="L349" i="15"/>
  <c r="L516" i="15"/>
  <c r="L221" i="15"/>
  <c r="L189" i="15"/>
  <c r="L333" i="15"/>
  <c r="L586" i="15"/>
  <c r="L303" i="15"/>
  <c r="L415" i="15"/>
  <c r="L350" i="15"/>
  <c r="L546" i="15"/>
  <c r="L378" i="15"/>
  <c r="L550" i="15"/>
  <c r="L428" i="15"/>
  <c r="L347" i="15"/>
  <c r="L635" i="15"/>
  <c r="L271" i="15"/>
  <c r="L533" i="15"/>
  <c r="L588" i="15"/>
  <c r="L319" i="15"/>
  <c r="L375" i="15"/>
  <c r="L548" i="15"/>
  <c r="L633" i="15"/>
  <c r="L610" i="15"/>
  <c r="L305" i="15" l="1"/>
  <c r="L605" i="15"/>
  <c r="L119" i="15"/>
  <c r="L369" i="15"/>
  <c r="L557" i="15"/>
  <c r="L439" i="15"/>
  <c r="L191" i="15"/>
  <c r="L255" i="15"/>
  <c r="L195" i="15"/>
  <c r="L337" i="15"/>
  <c r="L159" i="15"/>
  <c r="L308" i="15"/>
  <c r="L489" i="15"/>
  <c r="L625" i="15"/>
  <c r="L95" i="15"/>
  <c r="L592" i="15"/>
  <c r="L96" i="15"/>
  <c r="L238" i="15"/>
  <c r="L102" i="15"/>
  <c r="L535" i="15"/>
  <c r="L551" i="15"/>
  <c r="L179" i="15"/>
  <c r="L389" i="15"/>
  <c r="L144" i="15"/>
  <c r="L518" i="15"/>
  <c r="L575" i="15"/>
  <c r="L505" i="15"/>
  <c r="L501" i="15"/>
  <c r="L190" i="15"/>
  <c r="L158" i="15"/>
  <c r="L405" i="15"/>
  <c r="L273" i="15"/>
  <c r="L146" i="15"/>
  <c r="L384" i="15"/>
  <c r="L175" i="15"/>
  <c r="L401" i="15"/>
  <c r="L417" i="15"/>
  <c r="L115" i="15"/>
  <c r="L469" i="15"/>
  <c r="L174" i="15"/>
  <c r="L435" i="15"/>
  <c r="L522" i="15"/>
  <c r="L353" i="15"/>
  <c r="L534" i="15"/>
  <c r="L320" i="15"/>
  <c r="L206" i="15"/>
  <c r="L125" i="15"/>
  <c r="L207" i="15"/>
  <c r="L211" i="15"/>
  <c r="L368" i="15"/>
  <c r="L472" i="15"/>
  <c r="L352" i="15"/>
  <c r="L552" i="15"/>
  <c r="L619" i="15"/>
  <c r="L272" i="15"/>
  <c r="L321" i="15"/>
  <c r="L116" i="15"/>
  <c r="L517" i="15"/>
  <c r="L324" i="15"/>
  <c r="L226" i="15"/>
  <c r="L237" i="15"/>
  <c r="L569" i="15"/>
  <c r="L456" i="15"/>
  <c r="L485" i="15"/>
  <c r="L570" i="15"/>
  <c r="L607" i="15"/>
  <c r="L604" i="15"/>
  <c r="L223" i="15"/>
  <c r="L468" i="15"/>
  <c r="L131" i="15"/>
  <c r="L372" i="15"/>
  <c r="L641" i="15"/>
  <c r="L336" i="15"/>
  <c r="L276" i="15"/>
  <c r="L637" i="15"/>
  <c r="L340" i="15"/>
  <c r="L451" i="15"/>
  <c r="L502" i="15"/>
  <c r="L418" i="15"/>
  <c r="L288" i="15"/>
  <c r="L422" i="15"/>
  <c r="L452" i="15"/>
  <c r="L256" i="15"/>
  <c r="L289" i="15"/>
  <c r="L163" i="15"/>
  <c r="L292" i="15"/>
  <c r="L538" i="15"/>
  <c r="L242" i="15"/>
  <c r="L222" i="15"/>
  <c r="L587" i="15"/>
  <c r="L143" i="15"/>
  <c r="L434" i="15"/>
  <c r="L636" i="15"/>
  <c r="L260" i="15"/>
  <c r="L402" i="15"/>
  <c r="L304" i="15"/>
  <c r="L385" i="15"/>
  <c r="L484" i="15"/>
  <c r="E93" i="15" l="1"/>
  <c r="E92" i="15"/>
  <c r="E91" i="15"/>
  <c r="E85" i="15"/>
  <c r="E84" i="15"/>
  <c r="E83" i="15"/>
  <c r="E82" i="15"/>
  <c r="E80" i="15"/>
  <c r="E79" i="15"/>
  <c r="E78" i="15"/>
  <c r="E77" i="15"/>
  <c r="E76" i="15"/>
  <c r="L83" i="15" l="1"/>
  <c r="E48" i="15"/>
  <c r="L85" i="15" l="1"/>
  <c r="L80" i="15"/>
  <c r="L76" i="15"/>
  <c r="L93" i="15"/>
  <c r="L82" i="15"/>
  <c r="L92" i="15"/>
  <c r="L78" i="15"/>
  <c r="L79" i="15"/>
  <c r="L84" i="15"/>
  <c r="L91" i="15"/>
  <c r="L77" i="15"/>
  <c r="L48" i="15" l="1"/>
  <c r="D66" i="15"/>
  <c r="E66" i="15" s="1"/>
  <c r="E65" i="15"/>
  <c r="E63" i="15"/>
  <c r="E62" i="15"/>
  <c r="E61" i="15"/>
  <c r="E60" i="15"/>
  <c r="E58" i="15"/>
  <c r="E57" i="15"/>
  <c r="E56" i="15"/>
  <c r="E55" i="15"/>
  <c r="E49" i="15"/>
  <c r="L47" i="15"/>
  <c r="E46" i="15"/>
  <c r="E45" i="15"/>
  <c r="E44" i="15"/>
  <c r="E39" i="15"/>
  <c r="E38" i="15"/>
  <c r="E36" i="15"/>
  <c r="E31" i="15"/>
  <c r="E30" i="15"/>
  <c r="L56" i="15" l="1"/>
  <c r="L66" i="15"/>
  <c r="L38" i="15"/>
  <c r="E64" i="15"/>
  <c r="E51" i="15"/>
  <c r="E52" i="15"/>
  <c r="E50" i="15"/>
  <c r="L36" i="15" l="1"/>
  <c r="L46" i="15"/>
  <c r="L65" i="15"/>
  <c r="L58" i="15"/>
  <c r="L31" i="15"/>
  <c r="L62" i="15"/>
  <c r="L49" i="15"/>
  <c r="L63" i="15"/>
  <c r="L45" i="15"/>
  <c r="L57" i="15"/>
  <c r="L61" i="15"/>
  <c r="L60" i="15"/>
  <c r="L55" i="15"/>
  <c r="L39" i="15"/>
  <c r="L44" i="15"/>
  <c r="L30" i="15"/>
  <c r="I750" i="15" l="1"/>
  <c r="K750" i="15"/>
  <c r="L50" i="15"/>
  <c r="L51" i="15"/>
  <c r="L52" i="15"/>
  <c r="L64" i="15"/>
  <c r="L750" i="15" l="1"/>
  <c r="L752" i="15" s="1"/>
  <c r="L753" i="15" s="1"/>
  <c r="L754" i="15" s="1"/>
  <c r="L755" i="15" s="1"/>
  <c r="L756" i="15" s="1"/>
  <c r="L757" i="15" s="1"/>
  <c r="L758" i="15" s="1"/>
  <c r="D9" i="9" s="1"/>
  <c r="L759" i="15" l="1"/>
  <c r="L760" i="15" s="1"/>
  <c r="J6" i="15" s="1"/>
  <c r="E9" i="9"/>
  <c r="F9" i="9" s="1"/>
  <c r="D10" i="9" l="1"/>
  <c r="E10" i="9" l="1"/>
  <c r="F10" i="9" l="1"/>
</calcChain>
</file>

<file path=xl/sharedStrings.xml><?xml version="1.0" encoding="utf-8"?>
<sst xmlns="http://schemas.openxmlformats.org/spreadsheetml/2006/main" count="1609" uniqueCount="284">
  <si>
    <t>სამუშაოების დასახელება</t>
  </si>
  <si>
    <t>განზ</t>
  </si>
  <si>
    <t>რაოდენობა</t>
  </si>
  <si>
    <t>ხელფასი</t>
  </si>
  <si>
    <t>ჯამი</t>
  </si>
  <si>
    <t>ტნ</t>
  </si>
  <si>
    <t>ლარი</t>
  </si>
  <si>
    <t>კგ</t>
  </si>
  <si>
    <t>სატრანსპორტო ხარჯი</t>
  </si>
  <si>
    <t>ზედნადები ხარჯი</t>
  </si>
  <si>
    <t>გეგმიური დაგროვება</t>
  </si>
  <si>
    <t>სულ ჯამი</t>
  </si>
  <si>
    <t>გაუთვალისწინებელი ხარჯები</t>
  </si>
  <si>
    <t xml:space="preserve">სახარჯთაღრიცხვო  ღირ-ბა              </t>
  </si>
  <si>
    <t xml:space="preserve">სხვა მასალები    </t>
  </si>
  <si>
    <r>
      <t>მ</t>
    </r>
    <r>
      <rPr>
        <b/>
        <sz val="9"/>
        <color theme="1"/>
        <rFont val="Cambria"/>
        <family val="1"/>
        <charset val="204"/>
      </rPr>
      <t>³</t>
    </r>
  </si>
  <si>
    <r>
      <t>მ</t>
    </r>
    <r>
      <rPr>
        <sz val="10"/>
        <color theme="1"/>
        <rFont val="Cambria"/>
        <family val="1"/>
        <charset val="204"/>
      </rPr>
      <t>³</t>
    </r>
  </si>
  <si>
    <r>
      <t>მ</t>
    </r>
    <r>
      <rPr>
        <sz val="10"/>
        <color theme="1"/>
        <rFont val="Arial"/>
        <family val="2"/>
        <charset val="204"/>
      </rPr>
      <t>²</t>
    </r>
  </si>
  <si>
    <t>ცალი</t>
  </si>
  <si>
    <t>კომპლ</t>
  </si>
  <si>
    <t>მასალები</t>
  </si>
  <si>
    <r>
      <t>მ</t>
    </r>
    <r>
      <rPr>
        <sz val="10"/>
        <color theme="1"/>
        <rFont val="Calibri"/>
        <family val="2"/>
        <charset val="204"/>
      </rPr>
      <t>²</t>
    </r>
  </si>
  <si>
    <t>სხვა მასალები</t>
  </si>
  <si>
    <r>
      <t>მ</t>
    </r>
    <r>
      <rPr>
        <b/>
        <sz val="10"/>
        <color theme="1"/>
        <rFont val="Arial"/>
        <family val="2"/>
        <charset val="204"/>
      </rPr>
      <t>²</t>
    </r>
  </si>
  <si>
    <t>მ³</t>
  </si>
  <si>
    <t xml:space="preserve">მანქანები      </t>
  </si>
  <si>
    <t xml:space="preserve">ერთ ფასი </t>
  </si>
  <si>
    <t xml:space="preserve">მანქანა-მექანიზმები </t>
  </si>
  <si>
    <t>ნორმატიული რესურსი</t>
  </si>
  <si>
    <t>პროექტ</t>
  </si>
  <si>
    <t xml:space="preserve">სხვა მასალები   </t>
  </si>
  <si>
    <r>
      <t>მ</t>
    </r>
    <r>
      <rPr>
        <sz val="10"/>
        <color theme="1"/>
        <rFont val="Calibri"/>
        <family val="2"/>
        <charset val="204"/>
      </rPr>
      <t>³</t>
    </r>
  </si>
  <si>
    <t>გრძ.მ.</t>
  </si>
  <si>
    <t>მანქანები</t>
  </si>
  <si>
    <t>მ²</t>
  </si>
  <si>
    <t xml:space="preserve">დახერხილი ხის მასალა   ფიცარი 40მმ და მეტი   </t>
  </si>
  <si>
    <t>დღგ</t>
  </si>
  <si>
    <t>N</t>
  </si>
  <si>
    <t>გრძ.მ</t>
  </si>
  <si>
    <t>შრომის დანახარჯები</t>
  </si>
  <si>
    <r>
      <t>მ</t>
    </r>
    <r>
      <rPr>
        <sz val="10"/>
        <rFont val="Calibri"/>
        <family val="2"/>
        <charset val="204"/>
      </rPr>
      <t>²</t>
    </r>
  </si>
  <si>
    <t>წყალი</t>
  </si>
  <si>
    <t>№</t>
  </si>
  <si>
    <t>ხარჯ-ის №</t>
  </si>
  <si>
    <t>ღირებულება დღგ-ს გარეშე</t>
  </si>
  <si>
    <t>ღირებულება დღგ-ს ჩათვლით</t>
  </si>
  <si>
    <t>მანქ/სთ</t>
  </si>
  <si>
    <t>№2-1</t>
  </si>
  <si>
    <t>მოსამზადებელი სამუშაოები</t>
  </si>
  <si>
    <t>შრომითი დანახარჯები</t>
  </si>
  <si>
    <t>სხვა მანქანები  0.09</t>
  </si>
  <si>
    <t xml:space="preserve">მილკვადრატი 40X40X2      </t>
  </si>
  <si>
    <t>ბეტონი B15</t>
  </si>
  <si>
    <r>
      <t>მ</t>
    </r>
    <r>
      <rPr>
        <sz val="10"/>
        <rFont val="Calibri"/>
        <family val="2"/>
        <charset val="204"/>
      </rPr>
      <t>³</t>
    </r>
  </si>
  <si>
    <t>ლითონის საჭრელი დისკი დ230</t>
  </si>
  <si>
    <t>1. მიწის სამუშაოები</t>
  </si>
  <si>
    <r>
      <t>მ</t>
    </r>
    <r>
      <rPr>
        <b/>
        <sz val="10"/>
        <color theme="1"/>
        <rFont val="Cambria"/>
        <family val="1"/>
        <charset val="204"/>
      </rPr>
      <t>³</t>
    </r>
  </si>
  <si>
    <t>სხვა მანქანები</t>
  </si>
  <si>
    <t>გრუნტის დამუშავება ხელით, მოსწორება, ზედმეტი გრუნტის დატვირთვა ა/თვითმცლელზე</t>
  </si>
  <si>
    <t>გრუნტის მოსწორება ნაყარში ბულდოზერით</t>
  </si>
  <si>
    <t>1000მ³</t>
  </si>
  <si>
    <t>ჰიდროიზოლაცია და  გრუნტის უკუჩაყრა</t>
  </si>
  <si>
    <t xml:space="preserve">სხვა მანქანები        </t>
  </si>
  <si>
    <t xml:space="preserve">ჰიდროსაიზოლაზიო პრაიმერი ბიტუმის მასტიკა      </t>
  </si>
  <si>
    <t xml:space="preserve">სხვა მასალები      </t>
  </si>
  <si>
    <t>პნევმატური დამტკეპნი კომპრესორზე მომუშავე</t>
  </si>
  <si>
    <r>
      <t>კომპრესორი 5მ</t>
    </r>
    <r>
      <rPr>
        <sz val="10"/>
        <color theme="1"/>
        <rFont val="Calibri"/>
        <family val="2"/>
        <charset val="204"/>
      </rPr>
      <t>³</t>
    </r>
    <r>
      <rPr>
        <sz val="8.5"/>
        <color theme="1"/>
        <rFont val="Sylfaen"/>
        <family val="1"/>
        <charset val="204"/>
      </rPr>
      <t xml:space="preserve">/სთ </t>
    </r>
    <r>
      <rPr>
        <sz val="10"/>
        <color theme="1"/>
        <rFont val="Sylfaen"/>
        <family val="1"/>
        <charset val="204"/>
      </rPr>
      <t xml:space="preserve">  7ატმ (ორ პოსტზე)</t>
    </r>
  </si>
  <si>
    <t>2. რკ/ბეტონის კონსტრუქციული ელემენტები</t>
  </si>
  <si>
    <t xml:space="preserve">ა/ბეტონტუმბოს მომსახურება   </t>
  </si>
  <si>
    <t xml:space="preserve">საყალიბე ფარები 18მმ    </t>
  </si>
  <si>
    <t>არმატურის ღეროების დამუშავება და ჩაწყობა</t>
  </si>
  <si>
    <t xml:space="preserve">მანქანები     </t>
  </si>
  <si>
    <t>დახერხილი ხის მასალა ფიცარი 40მმ,  II ხარისხის</t>
  </si>
  <si>
    <t>ღორღი</t>
  </si>
  <si>
    <t xml:space="preserve">საყალიბე ფარები 18მმ  </t>
  </si>
  <si>
    <r>
      <t xml:space="preserve">დახერხილი ხის მასალა </t>
    </r>
    <r>
      <rPr>
        <sz val="10"/>
        <color theme="1"/>
        <rFont val="Sylfaen"/>
        <family val="1"/>
        <charset val="204"/>
      </rPr>
      <t>II</t>
    </r>
    <r>
      <rPr>
        <sz val="10"/>
        <color theme="1"/>
        <rFont val="Sylfaen"/>
        <family val="1"/>
      </rPr>
      <t xml:space="preserve"> ხარისხ.   </t>
    </r>
  </si>
  <si>
    <t xml:space="preserve">ჰიდროსაიზოლაციო მემბრანა </t>
  </si>
  <si>
    <t xml:space="preserve">ბეტონი  B25            </t>
  </si>
  <si>
    <r>
      <t xml:space="preserve">ლითონის ტელესკოპური დგარების   დაქირავება   (12 დღე </t>
    </r>
    <r>
      <rPr>
        <sz val="10"/>
        <color theme="1"/>
        <rFont val="Calibri"/>
        <family val="2"/>
        <charset val="204"/>
      </rPr>
      <t>x</t>
    </r>
    <r>
      <rPr>
        <sz val="10"/>
        <color theme="1"/>
        <rFont val="Sylfaen"/>
        <family val="1"/>
      </rPr>
      <t xml:space="preserve"> 0.25ლ)</t>
    </r>
  </si>
  <si>
    <t xml:space="preserve">ელექტროდი 4მმ  </t>
  </si>
  <si>
    <t xml:space="preserve">ბეტონი  B25             </t>
  </si>
  <si>
    <r>
      <t xml:space="preserve">დახერხილი ხის მასალა  </t>
    </r>
    <r>
      <rPr>
        <sz val="10"/>
        <color theme="1"/>
        <rFont val="Sylfaen"/>
        <family val="1"/>
        <charset val="204"/>
      </rPr>
      <t>II</t>
    </r>
    <r>
      <rPr>
        <sz val="10"/>
        <color theme="1"/>
        <rFont val="Sylfaen"/>
        <family val="1"/>
      </rPr>
      <t xml:space="preserve"> ხარისხ.   </t>
    </r>
  </si>
  <si>
    <t>სამშენებლო სამუშაოები (კონსტრუქციული ნაწილი)</t>
  </si>
  <si>
    <t xml:space="preserve">სამშენებლო სამუშაოები  (კონსტრუქციული ნაწილი)                              </t>
  </si>
  <si>
    <t>პროფილირებული  მოთუთიებული თუნუქის ფურცელი 0.45მმ</t>
  </si>
  <si>
    <t xml:space="preserve">სამონტაჟო ლითონის დეტალები     </t>
  </si>
  <si>
    <t xml:space="preserve">ელექტროდი  </t>
  </si>
  <si>
    <t xml:space="preserve">სხვა მასალა   </t>
  </si>
  <si>
    <r>
      <rPr>
        <b/>
        <i/>
        <sz val="11"/>
        <color theme="1"/>
        <rFont val="Sylfaen"/>
        <family val="1"/>
      </rPr>
      <t xml:space="preserve">მშენებლობის სახარჯთაღრიცხვო ანგარიში   </t>
    </r>
    <r>
      <rPr>
        <i/>
        <sz val="11"/>
        <color theme="1"/>
        <rFont val="Sylfaen"/>
        <family val="1"/>
        <charset val="204"/>
      </rPr>
      <t xml:space="preserve"> </t>
    </r>
    <r>
      <rPr>
        <b/>
        <i/>
        <sz val="11"/>
        <color theme="1"/>
        <rFont val="Sylfaen"/>
        <family val="1"/>
      </rPr>
      <t xml:space="preserve"> </t>
    </r>
  </si>
  <si>
    <t xml:space="preserve">მონოლითური არმირებული იატაკის ფილა                         </t>
  </si>
  <si>
    <r>
      <t>არმირებული იატაკის  ფილის ქვეშ ღორღის  საფუძვლის მოწყობა სისქით 100 სმ  დატკეპნით</t>
    </r>
    <r>
      <rPr>
        <sz val="10"/>
        <color theme="1"/>
        <rFont val="Sylfaen"/>
        <family val="1"/>
      </rPr>
      <t xml:space="preserve"> </t>
    </r>
  </si>
  <si>
    <t>ბალასტის ტრანსპორტირება 20 კმ-დან</t>
  </si>
  <si>
    <t>ღორღის ტრანსპორტირება 20 კმ-დან</t>
  </si>
  <si>
    <t>ჭანჭიკი, ქანჩი, საყელური</t>
  </si>
  <si>
    <t xml:space="preserve"> მონოლითური რკ/ ბეტონის კედლები </t>
  </si>
  <si>
    <t>მონოლითური რკ/ ბეტონის სვეტები</t>
  </si>
  <si>
    <t xml:space="preserve">ბეტონი  B25              </t>
  </si>
  <si>
    <r>
      <t>ბეტონი  B25</t>
    </r>
    <r>
      <rPr>
        <sz val="10"/>
        <color rgb="FFFF0000"/>
        <rFont val="Sylfaen"/>
        <family val="1"/>
      </rPr>
      <t xml:space="preserve">  </t>
    </r>
    <r>
      <rPr>
        <sz val="10"/>
        <color theme="1"/>
        <rFont val="Sylfaen"/>
        <family val="1"/>
        <charset val="204"/>
      </rPr>
      <t xml:space="preserve">          </t>
    </r>
  </si>
  <si>
    <t xml:space="preserve"> მონოლითური რკ.ბეტონის რიგელები</t>
  </si>
  <si>
    <t xml:space="preserve"> მონოლითური რკ/ ბეტონის გადახურვის ფილები                    </t>
  </si>
  <si>
    <t>პანდუსი</t>
  </si>
  <si>
    <t>რკ/ბეტონის კიბეები</t>
  </si>
  <si>
    <t xml:space="preserve">მონოლითური რკ/ ბეტონის პარაპეტის და სარტყელის მოწყობა   </t>
  </si>
  <si>
    <t xml:space="preserve">ლოკალური ხარჯთაღრიცხვა №2-1   </t>
  </si>
  <si>
    <t>მონოლითური რკ/ ბეტონის ლენტური  საძირკვლები</t>
  </si>
  <si>
    <t xml:space="preserve">ქ. ქუთაისში იოსებ ოცხელის ქ. №2-ში ამბულატორიული კლინიკის   </t>
  </si>
  <si>
    <t>ობიექტი: ქ. ქუთაისი იოსებ ოცხელის ქ. №2. (ს/კ. 03.05.26.023)</t>
  </si>
  <si>
    <r>
      <t>მ</t>
    </r>
    <r>
      <rPr>
        <b/>
        <sz val="10"/>
        <color theme="1"/>
        <rFont val="Arial"/>
        <family val="2"/>
      </rPr>
      <t>³</t>
    </r>
  </si>
  <si>
    <t>არსებული ლითონის ღობის დემონტაჟი</t>
  </si>
  <si>
    <t>არსებული ბეტონის გზის საფარის დაშლა- დემონტაჟი სანგრევი ჩაქუჩებით</t>
  </si>
  <si>
    <t>არსებული პანდუსების დაშლა- დემონტაჟი სანგრევი ჩაქუჩებით</t>
  </si>
  <si>
    <t>არსებული ღობის ბეტონის ცოკოლის დაშლა- დემონტაჟი  სანგრევი ჩაქუჩებით</t>
  </si>
  <si>
    <r>
      <rPr>
        <b/>
        <sz val="10"/>
        <color theme="1"/>
        <rFont val="Cambria"/>
        <family val="1"/>
        <charset val="204"/>
      </rPr>
      <t>III</t>
    </r>
    <r>
      <rPr>
        <b/>
        <sz val="10"/>
        <color theme="1"/>
        <rFont val="Sylfaen"/>
        <family val="1"/>
        <charset val="204"/>
      </rPr>
      <t xml:space="preserve"> კატეგორიის  გრუნტის დამუშვება ქვაბულში ექსკავატორით  0.65 მ³ ციცხვით, ა/თვითმცლელზე  დატვირთვით  </t>
    </r>
  </si>
  <si>
    <r>
      <t>ლენტურ საძირკვლების  ქვეშ ღორღის  ბალიშის  მოწყობა   დატკეპნით</t>
    </r>
    <r>
      <rPr>
        <sz val="10"/>
        <color theme="1"/>
        <rFont val="Sylfaen"/>
        <family val="1"/>
      </rPr>
      <t xml:space="preserve"> </t>
    </r>
  </si>
  <si>
    <t xml:space="preserve">ლენტურ საძირკვლების  ქვეშ ბეტონის მომზადების მოწყობა სისქით 70მმ,   B7.5 მარკის ბეტონით </t>
  </si>
  <si>
    <t xml:space="preserve">ბეტონი  B7.5            </t>
  </si>
  <si>
    <t xml:space="preserve">მონოლითური რკ/ ბეტონის ლენტურ საძირკვლების  მოწყობა B25 მარკის ბეტონით </t>
  </si>
  <si>
    <t xml:space="preserve">ზედმეტი გრუნტის გატანა ა/თვითმცლელით 15 კმ მანძილზე  </t>
  </si>
  <si>
    <r>
      <t>ესკავატორი პნევმო სვლაზე  0.65 მ</t>
    </r>
    <r>
      <rPr>
        <sz val="10"/>
        <rFont val="Cambria"/>
        <family val="1"/>
        <charset val="204"/>
      </rPr>
      <t>³</t>
    </r>
    <r>
      <rPr>
        <sz val="10"/>
        <rFont val="Sylfaen"/>
        <family val="1"/>
        <charset val="204"/>
      </rPr>
      <t xml:space="preserve"> ციცხვით                </t>
    </r>
  </si>
  <si>
    <t>ბულდოზერი  79კვტ (108ცხ.ძ.)</t>
  </si>
  <si>
    <t xml:space="preserve">მონოლითური რკ/ ბეტონის კედლების მოწყობა                      -1.70მ ნიშნულზე. სისქე  20 სმ ბეტონი  B25 </t>
  </si>
  <si>
    <t>მონოლითური რკ/ბეტონის  კედლების   ჰიდროიზოლაციის მოწყობა პრაიმერი ბიტუმის მასტიკთ</t>
  </si>
  <si>
    <t xml:space="preserve">მონოლითური  რკ/ბეტონის სვეტების ნაშვერების მოწყობა (23 სვეტის)        </t>
  </si>
  <si>
    <t>არმატურა Ф12 A500c           0.810 *1.05</t>
  </si>
  <si>
    <t>არმატურა Ф8 A240            0.052*1.05</t>
  </si>
  <si>
    <t>არმატურა Ф16 A500c          2.447*კ=5%</t>
  </si>
  <si>
    <t>არმატურა Ф14 A500c         0.1812 *კ=5%</t>
  </si>
  <si>
    <t>არმატურა Ф12 A500c        1.366 *კ=5%</t>
  </si>
  <si>
    <t>არმატურა Ф10 A500c        1.161*კ=5%</t>
  </si>
  <si>
    <t>არმატურა Ф8 A240             1.526*1.05</t>
  </si>
  <si>
    <t>არმატურა Ф22 A500c           1.020*კ=5%</t>
  </si>
  <si>
    <t>არმატურა Ф20 A500c           0.7711*კ=5%</t>
  </si>
  <si>
    <t>არმატურა Ф8 A240              0.299*1.05</t>
  </si>
  <si>
    <t>არმატურა Ф8 A500c          1.13*კ=5%</t>
  </si>
  <si>
    <t xml:space="preserve">მონ. არმირებული იატაკის ფილის  მოწყობა B25   ბეტონით სისქე 12 სმ,     ნიშნ   -0.000მ,   </t>
  </si>
  <si>
    <t>არმატურა Ф22 A500c           0.666*კ=5%</t>
  </si>
  <si>
    <t>არმატურა Ф20 A500c           0.54*კ=5%</t>
  </si>
  <si>
    <t>არმატურა Ф8 A240            0.512*1.05</t>
  </si>
  <si>
    <t xml:space="preserve">მონოლითური  რკ/ბეტონის სვეტების  სვ -1 მოწყობა (6 ცალი)        </t>
  </si>
  <si>
    <t xml:space="preserve">მონოლითური  რკ/ბეტონის სვეტების  სვ -2 მოწყობა (2 ცალი)        </t>
  </si>
  <si>
    <t>არმატურა Ф22 A500c           0.222*კ=5%</t>
  </si>
  <si>
    <t>არმატურა Ф20 A500c           0.301 *კ=5%</t>
  </si>
  <si>
    <t>არმატურა Ф8 A240           0.210 *1.05</t>
  </si>
  <si>
    <r>
      <t>მონოლითური  რკ/ბეტონის სვეტების  სვ -3 მოწყობა (1 ცალი);  სვ -3</t>
    </r>
    <r>
      <rPr>
        <b/>
        <sz val="10"/>
        <color theme="1"/>
        <rFont val="Arial"/>
        <family val="2"/>
      </rPr>
      <t>¹</t>
    </r>
    <r>
      <rPr>
        <b/>
        <sz val="10"/>
        <color theme="1"/>
        <rFont val="Sylfaen"/>
        <family val="1"/>
        <charset val="204"/>
      </rPr>
      <t xml:space="preserve"> მოწყობა (1 ცალი)        </t>
    </r>
  </si>
  <si>
    <t>არმატურა Ф22 A500c           0.444*კ=5%</t>
  </si>
  <si>
    <t>არმატურა Ф20 A500c           0.242 *კ=5%</t>
  </si>
  <si>
    <t xml:space="preserve">მონოლითური  რკ/ბეტონის სვეტების  სვ -4 მოწყობა (11 ცალი)    </t>
  </si>
  <si>
    <t>არმატურა Ф20 A500c           2.404 *კ=5%</t>
  </si>
  <si>
    <t>არმატურა Ф8 A240          0.946 *1.05</t>
  </si>
  <si>
    <t xml:space="preserve">მონოლითური  რკ/ბეტონის სვეტების  სვ -5 მოწყობა (2 ცალი)    </t>
  </si>
  <si>
    <t>არმატურა Ф20 A500c         0.180 *კ=5%</t>
  </si>
  <si>
    <t>არმატურა Ф8 A240         0.171 *1.05</t>
  </si>
  <si>
    <t>არმატურა Ф20 A500c           0.426 *კ=5%</t>
  </si>
  <si>
    <t>არმატურა Ф18 A500c         0.876 *კ=5%</t>
  </si>
  <si>
    <t>არმატურა Ф8 A240         0.510 *1.05</t>
  </si>
  <si>
    <t xml:space="preserve">მონ. რკ/ბეტონის რიგელების მრ-1 და მრ-2 -ის მოწყობა  B25   ბეტონით      +0.000 მ ნიშნ. </t>
  </si>
  <si>
    <t xml:space="preserve">მონ. რკ/ბეტონის რიგელების მრ-3 -ის მოწყობა  B25   ბეტონით      +0.000 მ ნიშნ.  ბ ღერძზე </t>
  </si>
  <si>
    <t>არმატურა Ф18 A500c         0.0888 *კ=5%</t>
  </si>
  <si>
    <t>არმატურა Ф8 A240        0.0332 *1.05</t>
  </si>
  <si>
    <t>მონ. რკ/ბეტონის რიგელების მრ-4 (1 ღერძზე); მრ-5 (2 ღერძზე);  მოწყობა  B25   ბეტონით      +0.000 მ ნიშნ.</t>
  </si>
  <si>
    <t>არმატურა Ф18 A500c         1.107 *კ=5%</t>
  </si>
  <si>
    <t>არმატურა Ф8 A240        0.476 *1.05</t>
  </si>
  <si>
    <t>მონ. რკ/ბეტონის რიგელების მრ-6 (3 ღერძზე) მოწყობა  B25   ბეტონით      +0.000 მ ნიშნ.</t>
  </si>
  <si>
    <t>არმატურა Ф18 A500c         1.242 *კ=5%</t>
  </si>
  <si>
    <t>მონ. რკ/ბეტონის რიგელების მრ-7 (ა ღერძზე) მოწყობა  B25   ბეტონით      +3.30 და +6.60 მ ნიშნ.</t>
  </si>
  <si>
    <t>არმატურა Ф20 A500c         0.251*2 *კ=5%</t>
  </si>
  <si>
    <t>არმატურა Ф8 A240        0.085*2 *1.05</t>
  </si>
  <si>
    <t>მონ. რკ/ბეტონის რიგელების მრ-8 (გ;დ; ე; ზ ღერძებზე) მოწყობა  B25   ბეტონით      +3.30 და +6.60 მ ნიშნ.</t>
  </si>
  <si>
    <t>არმატურა Ф20 A500c         1.004*2 *კ=5%</t>
  </si>
  <si>
    <t>არმატურა Ф8 A240        0.340 *2 *1.05</t>
  </si>
  <si>
    <t>მონ. რკ/ბეტონის რიგელების მრ-9 (ბ ღერძზე) მოწყობა  B25   ბეტონით      +3.30 და +6.60 მ ნიშნ.</t>
  </si>
  <si>
    <t>არმატურა Ф8 A240        0.0332 *2 *1.05</t>
  </si>
  <si>
    <t>მონ. რკ/ბეტონის რიგელების მრ-10 (ი და თ ღერძებზე) მოწყობა  B25   ბეტონით      +3.30 და +6.60 მ ნიშნ.</t>
  </si>
  <si>
    <t>არმატურა Ф8 A240       0.17 *2 *1.05</t>
  </si>
  <si>
    <t>მონ. რკ/ბეტონის რიგელების მრ-11 (1 ღერძზე) მოწყობა  B25   ბეტონით      +3.30 და +6.60 მ ნიშნ.</t>
  </si>
  <si>
    <t>არმატურა Ф20 A500c         0.502*2 *კ=5%</t>
  </si>
  <si>
    <t>არმატურა Ф20 A500c         0.1095*2 *კ=5%</t>
  </si>
  <si>
    <t>არმატურა Ф18 A500c       0.0672*2 *კ=5%</t>
  </si>
  <si>
    <t>არმატურა Ф8 A240      0.238 *2 *1.05</t>
  </si>
  <si>
    <t>მონ. რკ/ბეტონის რიგელების მრ-12 (2 ღერძზე) მოწყობა  B25   ბეტონით      +3.30 და +6.60 მ ნიშნ.</t>
  </si>
  <si>
    <t>არმატურა Ф20 A500c      0.6343*2 *კ=5%</t>
  </si>
  <si>
    <t>არმატურა Ф20 A500c     0.7023 *2 *კ=5%</t>
  </si>
  <si>
    <t>მონ. რკ/ბეტონის რიგელების მრ-13 (3 ღერძზე) მოწყობა  B25   ბეტონით      +3.30 და +6.60 მ ნიშნ.</t>
  </si>
  <si>
    <t>არმატურა Ф20 A500c     0.596 *2 *კ=5%</t>
  </si>
  <si>
    <t>არმატურა Ф18 A500c     0.0672 *2 *კ=5%</t>
  </si>
  <si>
    <t>არმატურა Ф8 A240      0.230 *2 *1.05</t>
  </si>
  <si>
    <t>მონ. რკ/ბეტონის გადახურვის ფილის  მოწყობა B25   ბეტონით სისქე 16 სმ,       +3.30 და +6.60 მ ნიშნ.</t>
  </si>
  <si>
    <t>არმატურა Ф18 A500c     0.368 *2 *კ=5%</t>
  </si>
  <si>
    <t>არმატურა Ф16 A500c    0.410 *2 *კ=5%</t>
  </si>
  <si>
    <t>არმატურა Ф12 A500c     10.464 *2 *კ=5%</t>
  </si>
  <si>
    <t>არმატურა Ф8 A240      0.250 *2 *1.05</t>
  </si>
  <si>
    <t>მონ. რკ/ბეტონის გადახურვის ფილის  მოწყობა B25   ბეტონით სისქე 16 სმ,      +9.90 მ ნიშნ.</t>
  </si>
  <si>
    <t>არმატურა Ф18 A500c     0.184 *კ=5%</t>
  </si>
  <si>
    <t>არმატურა Ф16 A500c   0.192 *კ=5%</t>
  </si>
  <si>
    <t>არმატურა Ф12 A500c     5.361 *კ=5%</t>
  </si>
  <si>
    <t>არმატურა Ф8 A240      0.133 *1.05</t>
  </si>
  <si>
    <t>მონ. რკ/ბეტონის გადახურვის ფილის  მოწყობა B25   ბეტონით სისქე 16 სმ,      +12.10 მ ნიშნ.</t>
  </si>
  <si>
    <t>არმატურა Ф16 A500c    0.311 *კ=5%</t>
  </si>
  <si>
    <t>არმატურა Ф10 A500c   0.414 *კ=5%</t>
  </si>
  <si>
    <t>არმატურა Ф8 A240      0.104 *1.05</t>
  </si>
  <si>
    <t>მონ. რკ/ბეტონის რიგელების მრ-14 (ა ღერძზე) მოწყობა  B25   ბეტონით      +9.90 მ ნიშნ.</t>
  </si>
  <si>
    <t>არმატურა Ф20 A500c    0.071 *კ=5%</t>
  </si>
  <si>
    <t>არმატურა Ф8 A240      0.085 *1.05</t>
  </si>
  <si>
    <t>მონ. რკ/ბეტონის რიგელების მრ-15 (გ; დ; ე; ზ ღერძებზე) მოწყობა  B25   ბეტონით      +9.90 მ ნიშნ.</t>
  </si>
  <si>
    <t>არმატურა Ф20 A500c    0.284 *კ=5%</t>
  </si>
  <si>
    <t>არმატურა Ф8 A240      0.340 *1.05</t>
  </si>
  <si>
    <t>არმატურა Ф18 A500c     0.584  *კ=5%</t>
  </si>
  <si>
    <t>არმატურა Ф18 A500c     0.146  *კ=5%</t>
  </si>
  <si>
    <t>მონ. რკ/ბეტონის რიგელების მრ-16 (ბ ღერძზე) მოწყობა  B25   ბეტონით      +9.90 მ ნიშნ.</t>
  </si>
  <si>
    <t>არმატურა Ф18 A500c     0.0888  *კ=5%</t>
  </si>
  <si>
    <t>არმატურა Ф8 A240      0.0332 *1.05</t>
  </si>
  <si>
    <t>მონ. რკ/ბეტონის რიგელების მრ-17 (ი; თ ღერძებზე) მოწყობა  B25   ბეტონით      +9.90 მ ნიშნ.</t>
  </si>
  <si>
    <t>არმატურა Ф20 A500c    0.142 *კ=5%</t>
  </si>
  <si>
    <t>არმატურა Ф18 A500c     0.292  *კ=5%</t>
  </si>
  <si>
    <t>არმატურა Ф8 A240      0.170 *1.05</t>
  </si>
  <si>
    <t>მონ. რკ/ბეტონის რიგელების მრ-18 (1 ღერძზე) მოწყობა  B25   ბეტონით      +9.90 მ ნიშნ.</t>
  </si>
  <si>
    <t>არმატურა Ф18 A500c     0.570  *კ=5%</t>
  </si>
  <si>
    <t>არმატურა Ф8 A240      0.238 *1.05</t>
  </si>
  <si>
    <t>მონ. რკ/ბეტონის რიგელების მრ-19 (2 ღერძზე) მოწყობა  B25   ბეტონით      +9.90 მ ნიშნ.</t>
  </si>
  <si>
    <t>არმატურა Ф20 A500c    0.229 *კ=5%</t>
  </si>
  <si>
    <t>არმატურა Ф18 A500c     0.387  *კ=5%</t>
  </si>
  <si>
    <t>მონ. რკ/ბეტონის რიგელების მრ-20 (3 ღერძზე) მოწყობა  B25   ბეტონით      +9.90 მ ნიშნ.</t>
  </si>
  <si>
    <t>არმატურა Ф18 A500c     621  *კ=5%</t>
  </si>
  <si>
    <t>არმატურა Ф8 A240      0.08*1.05</t>
  </si>
  <si>
    <t xml:space="preserve"> მონოლითური რკ/ ბეტონის პარაპეტი                    </t>
  </si>
  <si>
    <t>არმატურა Ф14 A500c     0.618 *კ=5%</t>
  </si>
  <si>
    <t>არმატურა Ф18 A500c     0.192 *კ=5%</t>
  </si>
  <si>
    <t>არმატურა Ф10 A500c   0.231*კ=5%</t>
  </si>
  <si>
    <t>არმატურა Ф8 A240      0.2336 *1.05</t>
  </si>
  <si>
    <t>მონოლითური რკ/ბეტონის კიბე №1-ის  მოწყობა B25   ბეტონით,  (მმ-1; მმ-2,  მმ-3 და მონ. კოჭი)</t>
  </si>
  <si>
    <t>მონოლითური რკ/ბეტონის კიბე №2-ის  მოწყობა B25   ბეტონით   (მმ-4; მმ-5)</t>
  </si>
  <si>
    <t>არმატურა Ф14 A500c     420.4 *კ=5%</t>
  </si>
  <si>
    <t>არმატურა Ф10 A500c   0.1736*კ=5%</t>
  </si>
  <si>
    <t>არმატურა Ф8 A240      0.126 *1.05</t>
  </si>
  <si>
    <r>
      <t>სამშენებლო ნაგვის დატვირთვა ა/მანქანაზე ექსრავატორით პნევმოცვლაზე 0.65მ</t>
    </r>
    <r>
      <rPr>
        <b/>
        <sz val="10"/>
        <color theme="1"/>
        <rFont val="Calibri"/>
        <family val="2"/>
      </rPr>
      <t>³</t>
    </r>
    <r>
      <rPr>
        <b/>
        <sz val="10"/>
        <color theme="1"/>
        <rFont val="Sylfaen"/>
        <family val="1"/>
      </rPr>
      <t xml:space="preserve"> კოვშით</t>
    </r>
  </si>
  <si>
    <t>სამშენებლო ნაგვის ტრანსპორტირება  ნაგავსაყრელზე  12კმ-ზე</t>
  </si>
  <si>
    <t>ექსრავატორით პნევმოცვლაზე 0.65მ³ კოვშით</t>
  </si>
  <si>
    <t>სანგრევი ჩაქუჩები</t>
  </si>
  <si>
    <t>სამშენებლო მოედნის დროებითი შემოღობვის მოწყობა პროფილირებული თუნუქის ფურცლით (2 ცალი 5.05x2.0)მ კარით</t>
  </si>
  <si>
    <t xml:space="preserve">მილკვადრატი 50X50X2    L=2.5მ,   40 ცალი  </t>
  </si>
  <si>
    <t>სამშენებლო მოედნის მოწყობა (არმატურის საამქროს ფარდული, სან/კვანძი, დროებითი წყლგაყვანილობა, ელ.მომარაგება და ტერიტორიის განათება)</t>
  </si>
  <si>
    <r>
      <t>მ</t>
    </r>
    <r>
      <rPr>
        <b/>
        <sz val="10"/>
        <color theme="1"/>
        <rFont val="Arial"/>
        <family val="2"/>
      </rPr>
      <t>²</t>
    </r>
  </si>
  <si>
    <t>სამშენებლო მოედნის,  დროებითი გზების  და შენობის საძირკვლების დაკვალვა, ნიშნულების დატანა</t>
  </si>
  <si>
    <t>გარე კიბეები</t>
  </si>
  <si>
    <t>არმატურა Ф8 A240            0.008*1.05</t>
  </si>
  <si>
    <t xml:space="preserve">ქვიშა-ხრეშოვანი ნარევის (მდინარეული ბალასტი) შემოტანა და უკუჩაყრა  ექსკავატორით,  ნიშნ -0.370მ-მდე,  ფენებად დატკეპნით.   </t>
  </si>
  <si>
    <t>ქვიშა-ხრეშოვანი   ნარევი  (მდინარეული ბალასტი)</t>
  </si>
  <si>
    <t>ბალასტის   ნარევის ტრანსპორტირება 20 კმ-დან</t>
  </si>
  <si>
    <t>ქვიშა-ხრეშოვანი ნარევი (მდინარელი ბალასტი)</t>
  </si>
  <si>
    <r>
      <t>ქვიშა-ხრეშოვანი ნარევის (მდინარეული ბალასტი) ჩაყრა დატკეპნით</t>
    </r>
    <r>
      <rPr>
        <sz val="10"/>
        <color theme="1"/>
        <rFont val="Sylfaen"/>
        <family val="1"/>
      </rPr>
      <t xml:space="preserve"> </t>
    </r>
  </si>
  <si>
    <t xml:space="preserve">მონოლითური რკ/ბეტონის კიბის საფეხურებისა და ბაქნის  მოწყობა B25   ბეტონით, </t>
  </si>
  <si>
    <t xml:space="preserve">მონოლითური რკ/ ბეტონის კიბის კედლების მოწყობა სისქით 15 სმ,   ბეტონი  B25 </t>
  </si>
  <si>
    <t>არმატურა Ф12 B500B           0.16 *კ=5%</t>
  </si>
  <si>
    <t>არმატურა Ф8 B500B              0.02*1.05</t>
  </si>
  <si>
    <t xml:space="preserve">პანდუსის მონოლითური რკ/ ბეტონის კედლების მოწყობა სისქით 15 სმ,   ბეტონი  B25 </t>
  </si>
  <si>
    <t>არმატურა Ф12 A500c           0.032 *1.05</t>
  </si>
  <si>
    <t>არმატურა Ф8 A240            0.004*1.05</t>
  </si>
  <si>
    <t>არმატურა Ф12 A500c           0.070 *1.05</t>
  </si>
  <si>
    <t xml:space="preserve">მონოლითური რკ/ ბეტონის პანდუსის მოწყობა ბეტონი  B25 სისქე 8.0 სმ </t>
  </si>
  <si>
    <t xml:space="preserve">არმატურა Ф8 A500c         </t>
  </si>
  <si>
    <t>ავტოსადგომი</t>
  </si>
  <si>
    <r>
      <rPr>
        <b/>
        <sz val="10"/>
        <color theme="1"/>
        <rFont val="Cambria"/>
        <family val="1"/>
        <charset val="204"/>
      </rPr>
      <t>ტერიტორიაზე III</t>
    </r>
    <r>
      <rPr>
        <b/>
        <sz val="10"/>
        <color theme="1"/>
        <rFont val="Sylfaen"/>
        <family val="1"/>
        <charset val="204"/>
      </rPr>
      <t xml:space="preserve"> კატეგორიის  გრუნტის დამუშვება ექსკავატორით  0.65 მ³ ციცხვით, ა/თვითმცლელზე  დატვირთვით  </t>
    </r>
  </si>
  <si>
    <t>ავტოგრეიდერი 79კვტ (108ცხ.ძ.</t>
  </si>
  <si>
    <t>სარწყავ-სარეცხი მანქანა</t>
  </si>
  <si>
    <t>კუბ.მ.</t>
  </si>
  <si>
    <t>საგზაო კატოკი 18 ტნ</t>
  </si>
  <si>
    <t xml:space="preserve">ქვიშა-ხრეშოვანი ნარევის (მდინარეული ბალასტი) საფუძვლის მოწყობა,   სისქე 250მმ </t>
  </si>
  <si>
    <r>
      <t xml:space="preserve">შემასწორებელი  ღორღის  ფენის მოწყობა სისქით 5სმ </t>
    </r>
    <r>
      <rPr>
        <sz val="10"/>
        <color theme="1"/>
        <rFont val="Sylfaen"/>
        <family val="1"/>
      </rPr>
      <t xml:space="preserve"> </t>
    </r>
  </si>
  <si>
    <r>
      <t>მ</t>
    </r>
    <r>
      <rPr>
        <b/>
        <sz val="10"/>
        <color theme="1"/>
        <rFont val="Calibri"/>
        <family val="2"/>
      </rPr>
      <t>²</t>
    </r>
  </si>
  <si>
    <t xml:space="preserve"> ქ. ქუთაისი, იოსებ ოცხელის ქ. №2, ამბულატორიული კლინიკის მშენებლობის </t>
  </si>
  <si>
    <r>
      <t>არმირებული იატაკის  ფილის ქვეშ ქვიშა-ხრეშოვანი ნარევის (მდინარეული ბალასტი) საფუძვლის მოწყობა სისქე 40 სმ  დატკეპნით</t>
    </r>
    <r>
      <rPr>
        <sz val="10"/>
        <color theme="1"/>
        <rFont val="Sylfaen"/>
        <family val="1"/>
      </rPr>
      <t xml:space="preserve"> </t>
    </r>
  </si>
  <si>
    <t>ქვიშა</t>
  </si>
  <si>
    <t>კაც/სთ</t>
  </si>
  <si>
    <t>ბიტუმი</t>
  </si>
  <si>
    <t>საგზაო კატოკი 5 ტნ</t>
  </si>
  <si>
    <t>ავტოსადგომზე ბეტონის ფილის მოწყობა  სისქით 16.0 სმ</t>
  </si>
  <si>
    <t>ბეტონი   B25</t>
  </si>
  <si>
    <t>ფარი ყალიბის</t>
  </si>
  <si>
    <t xml:space="preserve">ობიექტი: ქ. ქუთაისი, იოსებ ოცხელის ქ. №2-ში ამბულატორიული კლინიკა                                                      </t>
  </si>
  <si>
    <r>
      <t>შდგენილია СНиП I</t>
    </r>
    <r>
      <rPr>
        <sz val="10"/>
        <color theme="1"/>
        <rFont val="AcadNusx"/>
      </rPr>
      <t>V</t>
    </r>
    <r>
      <rPr>
        <sz val="10"/>
        <color theme="1"/>
        <rFont val="Sylfaen"/>
        <family val="1"/>
        <charset val="204"/>
      </rPr>
      <t>-2-82 სამშენებლო ნორმებისა და სამშენებლო რესურსების  საბაზრო ფასების საფუძველზე</t>
    </r>
  </si>
  <si>
    <t>დღე</t>
  </si>
  <si>
    <t>შრომის დანახარჯები (1დღე-2კაცი)</t>
  </si>
  <si>
    <t>ამწის მომსახურება - მასალების მიწოდება სამუშაო ადგილზე,  ავტოამწე   25ტნ</t>
  </si>
  <si>
    <t>არაკვალიფიციური მუშახელი (სამშენებლო მასალების გადმოცლა-ატანა სამუშაო ადგილზე, შრომის უსაფრთხოებისათვის საჭირო სამუშაოები და სხვა)  (34 კვირა x 6 დღე)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</si>
</sst>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0.000"/>
    <numFmt numFmtId="165" formatCode="0.0000"/>
    <numFmt numFmtId="166" formatCode="#,##0.0000_ ;[Red]\-#,##0.0000\ "/>
    <numFmt numFmtId="167" formatCode="#,##0.000"/>
  </numFmts>
  <fonts count="46" x14ac:knownFonts="1">
    <font>
      <sz val="11"/>
      <color theme="1"/>
      <name val="Calibri"/>
      <family val="2"/>
      <scheme val="minor"/>
    </font>
    <font>
      <sz val="11"/>
      <color theme="1"/>
      <name val="Sylfaen"/>
      <family val="1"/>
      <charset val="204"/>
    </font>
    <font>
      <sz val="10"/>
      <color theme="1"/>
      <name val="Sylfaen"/>
      <family val="1"/>
      <charset val="204"/>
    </font>
    <font>
      <b/>
      <sz val="10"/>
      <color theme="1"/>
      <name val="Sylfaen"/>
      <family val="1"/>
      <charset val="204"/>
    </font>
    <font>
      <sz val="12"/>
      <color theme="1"/>
      <name val="Sylfaen"/>
      <family val="1"/>
      <charset val="204"/>
    </font>
    <font>
      <sz val="10"/>
      <color theme="1"/>
      <name val="Cambria"/>
      <family val="1"/>
      <charset val="204"/>
    </font>
    <font>
      <sz val="10"/>
      <color theme="1"/>
      <name val="Sylfaen"/>
      <family val="1"/>
    </font>
    <font>
      <sz val="9"/>
      <color theme="1"/>
      <name val="Sylfaen"/>
      <family val="1"/>
      <charset val="204"/>
    </font>
    <font>
      <b/>
      <sz val="10"/>
      <color theme="1"/>
      <name val="Sylfaen"/>
      <family val="1"/>
    </font>
    <font>
      <b/>
      <sz val="9"/>
      <color theme="1"/>
      <name val="Sylfaen"/>
      <family val="1"/>
      <charset val="204"/>
    </font>
    <font>
      <b/>
      <sz val="9"/>
      <color theme="1"/>
      <name val="Cambria"/>
      <family val="1"/>
      <charset val="204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name val="Sylfaen"/>
      <family val="1"/>
      <charset val="204"/>
    </font>
    <font>
      <sz val="10"/>
      <color theme="1"/>
      <name val="Calibri"/>
      <family val="2"/>
      <charset val="204"/>
    </font>
    <font>
      <b/>
      <sz val="10"/>
      <name val="Sylfaen"/>
      <family val="1"/>
      <charset val="204"/>
    </font>
    <font>
      <b/>
      <sz val="11"/>
      <color theme="1"/>
      <name val="Sylfaen"/>
      <family val="1"/>
      <charset val="204"/>
    </font>
    <font>
      <sz val="10"/>
      <name val="Arial"/>
      <family val="2"/>
    </font>
    <font>
      <b/>
      <i/>
      <sz val="11"/>
      <color theme="1"/>
      <name val="Sylfaen"/>
      <family val="1"/>
      <charset val="204"/>
    </font>
    <font>
      <sz val="10"/>
      <name val="Arial"/>
      <family val="2"/>
      <charset val="204"/>
    </font>
    <font>
      <b/>
      <sz val="12"/>
      <color theme="1"/>
      <name val="Sylfaen"/>
      <family val="1"/>
      <charset val="204"/>
    </font>
    <font>
      <sz val="10"/>
      <name val="Sylfaen"/>
      <family val="1"/>
    </font>
    <font>
      <sz val="10"/>
      <name val="Arial Cyr"/>
      <charset val="204"/>
    </font>
    <font>
      <sz val="10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2"/>
      <name val="Sylfaen"/>
      <family val="1"/>
      <charset val="204"/>
    </font>
    <font>
      <sz val="8"/>
      <name val="Calibri"/>
      <family val="2"/>
      <scheme val="minor"/>
    </font>
    <font>
      <sz val="8.5"/>
      <color theme="1"/>
      <name val="Sylfaen"/>
      <family val="1"/>
      <charset val="204"/>
    </font>
    <font>
      <sz val="8"/>
      <color theme="1"/>
      <name val="Sylfaen"/>
      <family val="1"/>
      <charset val="204"/>
    </font>
    <font>
      <b/>
      <sz val="10"/>
      <color theme="1"/>
      <name val="Cambria"/>
      <family val="1"/>
      <charset val="204"/>
    </font>
    <font>
      <sz val="10"/>
      <name val="Cambria"/>
      <family val="1"/>
      <charset val="204"/>
    </font>
    <font>
      <sz val="10"/>
      <name val="Arial Tur"/>
      <charset val="162"/>
    </font>
    <font>
      <i/>
      <sz val="11"/>
      <color theme="1"/>
      <name val="Sylfaen"/>
      <family val="1"/>
      <charset val="204"/>
    </font>
    <font>
      <b/>
      <sz val="11"/>
      <color theme="1"/>
      <name val="AcadNusx"/>
    </font>
    <font>
      <b/>
      <sz val="10"/>
      <name val="Sylfaen"/>
      <family val="1"/>
    </font>
    <font>
      <b/>
      <sz val="10"/>
      <color theme="1"/>
      <name val="Calibri"/>
      <family val="2"/>
    </font>
    <font>
      <b/>
      <i/>
      <sz val="11"/>
      <color theme="1"/>
      <name val="Sylfaen"/>
      <family val="1"/>
    </font>
    <font>
      <i/>
      <sz val="11"/>
      <color theme="1"/>
      <name val="Sylfaen"/>
      <family val="1"/>
    </font>
    <font>
      <sz val="10"/>
      <color rgb="FFFF0000"/>
      <name val="Sylfaen"/>
      <family val="1"/>
    </font>
    <font>
      <sz val="10"/>
      <color theme="1"/>
      <name val="AcadNusx"/>
    </font>
    <font>
      <b/>
      <sz val="10"/>
      <color theme="1"/>
      <name val="Arial"/>
      <family val="2"/>
    </font>
    <font>
      <sz val="9"/>
      <name val="Tahoma"/>
      <family val="2"/>
      <charset val="162"/>
    </font>
    <font>
      <sz val="11"/>
      <color theme="1"/>
      <name val="Calibri"/>
      <family val="1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0"/>
      <name val="Arial Cyr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7">
    <xf numFmtId="0" fontId="0" fillId="0" borderId="0"/>
    <xf numFmtId="0" fontId="17" fillId="0" borderId="0"/>
    <xf numFmtId="0" fontId="19" fillId="0" borderId="0"/>
    <xf numFmtId="0" fontId="22" fillId="0" borderId="0"/>
    <xf numFmtId="0" fontId="24" fillId="0" borderId="0"/>
    <xf numFmtId="0" fontId="25" fillId="0" borderId="0"/>
    <xf numFmtId="0" fontId="17" fillId="0" borderId="0"/>
    <xf numFmtId="0" fontId="31" fillId="0" borderId="0"/>
    <xf numFmtId="0" fontId="41" fillId="0" borderId="0"/>
    <xf numFmtId="0" fontId="42" fillId="0" borderId="0"/>
    <xf numFmtId="0" fontId="44" fillId="0" borderId="0"/>
    <xf numFmtId="0" fontId="17" fillId="0" borderId="0"/>
    <xf numFmtId="43" fontId="43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45" fillId="0" borderId="0"/>
  </cellStyleXfs>
  <cellXfs count="16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49" fontId="2" fillId="2" borderId="1" xfId="0" applyNumberFormat="1" applyFont="1" applyFill="1" applyBorder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/>
    </xf>
    <xf numFmtId="49" fontId="2" fillId="2" borderId="1" xfId="0" applyNumberFormat="1" applyFont="1" applyFill="1" applyBorder="1" applyAlignment="1">
      <alignment horizontal="center" wrapText="1"/>
    </xf>
    <xf numFmtId="164" fontId="2" fillId="2" borderId="1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 wrapText="1"/>
    </xf>
    <xf numFmtId="4" fontId="2" fillId="2" borderId="0" xfId="0" applyNumberFormat="1" applyFont="1" applyFill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9" fontId="7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/>
    </xf>
    <xf numFmtId="2" fontId="6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/>
    </xf>
    <xf numFmtId="0" fontId="1" fillId="0" borderId="0" xfId="0" applyFont="1" applyAlignment="1">
      <alignment vertical="center" wrapText="1"/>
    </xf>
    <xf numFmtId="2" fontId="1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top"/>
    </xf>
    <xf numFmtId="0" fontId="6" fillId="2" borderId="1" xfId="0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 wrapText="1"/>
    </xf>
    <xf numFmtId="2" fontId="2" fillId="5" borderId="1" xfId="0" applyNumberFormat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/>
    </xf>
    <xf numFmtId="0" fontId="8" fillId="5" borderId="1" xfId="0" applyFont="1" applyFill="1" applyBorder="1" applyAlignment="1">
      <alignment vertical="center"/>
    </xf>
    <xf numFmtId="0" fontId="18" fillId="5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/>
    </xf>
    <xf numFmtId="2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 vertical="center"/>
    </xf>
    <xf numFmtId="2" fontId="8" fillId="3" borderId="1" xfId="0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left" vertical="center" wrapText="1"/>
    </xf>
    <xf numFmtId="0" fontId="13" fillId="0" borderId="1" xfId="3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/>
    </xf>
    <xf numFmtId="0" fontId="13" fillId="2" borderId="1" xfId="0" applyFont="1" applyFill="1" applyBorder="1" applyAlignment="1">
      <alignment horizontal="left" vertical="center" wrapText="1"/>
    </xf>
    <xf numFmtId="164" fontId="6" fillId="2" borderId="1" xfId="0" applyNumberFormat="1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5" xfId="0" applyFont="1" applyBorder="1" applyAlignment="1">
      <alignment horizontal="center" vertical="center"/>
    </xf>
    <xf numFmtId="0" fontId="1" fillId="4" borderId="1" xfId="0" applyFont="1" applyFill="1" applyBorder="1" applyAlignment="1">
      <alignment vertical="center"/>
    </xf>
    <xf numFmtId="4" fontId="16" fillId="4" borderId="1" xfId="0" applyNumberFormat="1" applyFont="1" applyFill="1" applyBorder="1" applyAlignment="1">
      <alignment horizontal="center" vertical="center"/>
    </xf>
    <xf numFmtId="165" fontId="6" fillId="2" borderId="1" xfId="0" applyNumberFormat="1" applyFont="1" applyFill="1" applyBorder="1" applyAlignment="1">
      <alignment horizontal="center" vertical="center"/>
    </xf>
    <xf numFmtId="4" fontId="1" fillId="0" borderId="0" xfId="0" applyNumberFormat="1" applyFont="1"/>
    <xf numFmtId="0" fontId="1" fillId="0" borderId="0" xfId="0" applyFont="1" applyAlignment="1">
      <alignment horizontal="center"/>
    </xf>
    <xf numFmtId="0" fontId="3" fillId="2" borderId="6" xfId="0" applyFont="1" applyFill="1" applyBorder="1" applyAlignment="1">
      <alignment horizontal="center" vertical="top"/>
    </xf>
    <xf numFmtId="0" fontId="28" fillId="2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28" fillId="2" borderId="1" xfId="0" applyFont="1" applyFill="1" applyBorder="1" applyAlignment="1">
      <alignment horizontal="center"/>
    </xf>
    <xf numFmtId="0" fontId="15" fillId="3" borderId="1" xfId="0" applyFont="1" applyFill="1" applyBorder="1" applyAlignment="1">
      <alignment horizontal="left" vertical="center" wrapText="1"/>
    </xf>
    <xf numFmtId="0" fontId="15" fillId="3" borderId="1" xfId="3" applyFont="1" applyFill="1" applyBorder="1" applyAlignment="1">
      <alignment horizontal="center" vertical="center"/>
    </xf>
    <xf numFmtId="0" fontId="13" fillId="2" borderId="1" xfId="3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2" fontId="13" fillId="0" borderId="1" xfId="3" applyNumberFormat="1" applyFont="1" applyBorder="1" applyAlignment="1">
      <alignment horizontal="center" vertical="center"/>
    </xf>
    <xf numFmtId="0" fontId="13" fillId="2" borderId="1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horizontal="center" vertical="center"/>
    </xf>
    <xf numFmtId="164" fontId="13" fillId="0" borderId="1" xfId="3" applyNumberFormat="1" applyFont="1" applyBorder="1" applyAlignment="1">
      <alignment horizontal="center" vertical="center"/>
    </xf>
    <xf numFmtId="0" fontId="8" fillId="3" borderId="1" xfId="0" applyFont="1" applyFill="1" applyBorder="1" applyAlignment="1">
      <alignment horizontal="left" vertical="center"/>
    </xf>
    <xf numFmtId="164" fontId="3" fillId="3" borderId="1" xfId="0" applyNumberFormat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left" vertical="center"/>
    </xf>
    <xf numFmtId="2" fontId="2" fillId="2" borderId="4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top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43" fontId="3" fillId="2" borderId="1" xfId="0" applyNumberFormat="1" applyFont="1" applyFill="1" applyBorder="1" applyAlignment="1">
      <alignment horizontal="center" vertical="center"/>
    </xf>
    <xf numFmtId="43" fontId="2" fillId="2" borderId="1" xfId="0" applyNumberFormat="1" applyFont="1" applyFill="1" applyBorder="1" applyAlignment="1">
      <alignment horizontal="center" vertical="center" wrapText="1"/>
    </xf>
    <xf numFmtId="0" fontId="20" fillId="2" borderId="0" xfId="0" applyFont="1" applyFill="1" applyAlignment="1">
      <alignment horizontal="center" vertical="center" wrapText="1"/>
    </xf>
    <xf numFmtId="43" fontId="2" fillId="5" borderId="1" xfId="0" applyNumberFormat="1" applyFont="1" applyFill="1" applyBorder="1" applyAlignment="1">
      <alignment horizontal="center" vertical="center" wrapText="1"/>
    </xf>
    <xf numFmtId="43" fontId="16" fillId="5" borderId="1" xfId="0" applyNumberFormat="1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2" fillId="0" borderId="5" xfId="0" applyFont="1" applyBorder="1" applyAlignment="1">
      <alignment horizontal="left" vertical="center"/>
    </xf>
    <xf numFmtId="4" fontId="2" fillId="0" borderId="5" xfId="0" applyNumberFormat="1" applyFont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/>
    </xf>
    <xf numFmtId="4" fontId="2" fillId="2" borderId="5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8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2" fontId="6" fillId="2" borderId="1" xfId="0" applyNumberFormat="1" applyFont="1" applyFill="1" applyBorder="1" applyAlignment="1">
      <alignment horizontal="center" vertical="center" wrapText="1"/>
    </xf>
    <xf numFmtId="2" fontId="8" fillId="3" borderId="1" xfId="0" applyNumberFormat="1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43" fontId="2" fillId="2" borderId="1" xfId="0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 vertical="center"/>
    </xf>
    <xf numFmtId="2" fontId="2" fillId="2" borderId="4" xfId="0" applyNumberFormat="1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horizontal="center"/>
    </xf>
    <xf numFmtId="2" fontId="2" fillId="0" borderId="5" xfId="0" applyNumberFormat="1" applyFont="1" applyBorder="1" applyAlignment="1">
      <alignment horizontal="center" vertical="center" wrapText="1"/>
    </xf>
    <xf numFmtId="2" fontId="3" fillId="3" borderId="4" xfId="0" applyNumberFormat="1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165" fontId="2" fillId="2" borderId="1" xfId="0" applyNumberFormat="1" applyFont="1" applyFill="1" applyBorder="1" applyAlignment="1">
      <alignment horizontal="center"/>
    </xf>
    <xf numFmtId="2" fontId="3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left" vertical="center" wrapText="1"/>
    </xf>
    <xf numFmtId="0" fontId="2" fillId="3" borderId="0" xfId="0" applyFont="1" applyFill="1" applyAlignment="1">
      <alignment horizontal="center"/>
    </xf>
    <xf numFmtId="0" fontId="34" fillId="3" borderId="1" xfId="4" applyFont="1" applyFill="1" applyBorder="1" applyAlignment="1">
      <alignment horizontal="center" vertical="center" wrapText="1"/>
    </xf>
    <xf numFmtId="167" fontId="34" fillId="3" borderId="1" xfId="4" applyNumberFormat="1" applyFont="1" applyFill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/>
    </xf>
    <xf numFmtId="0" fontId="21" fillId="2" borderId="2" xfId="5" applyFont="1" applyFill="1" applyBorder="1"/>
    <xf numFmtId="0" fontId="21" fillId="2" borderId="1" xfId="5" applyFont="1" applyFill="1" applyBorder="1" applyAlignment="1">
      <alignment horizontal="center" vertical="center"/>
    </xf>
    <xf numFmtId="166" fontId="21" fillId="2" borderId="3" xfId="5" applyNumberFormat="1" applyFont="1" applyFill="1" applyBorder="1" applyAlignment="1">
      <alignment horizontal="center" vertical="center"/>
    </xf>
    <xf numFmtId="4" fontId="21" fillId="2" borderId="1" xfId="5" applyNumberFormat="1" applyFont="1" applyFill="1" applyBorder="1" applyAlignment="1">
      <alignment horizontal="center" vertical="center"/>
    </xf>
    <xf numFmtId="164" fontId="8" fillId="3" borderId="1" xfId="0" applyNumberFormat="1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2" fontId="2" fillId="3" borderId="1" xfId="0" applyNumberFormat="1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left" vertical="center" wrapText="1"/>
    </xf>
    <xf numFmtId="43" fontId="8" fillId="2" borderId="1" xfId="0" applyNumberFormat="1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left" vertical="center"/>
    </xf>
    <xf numFmtId="0" fontId="2" fillId="7" borderId="1" xfId="0" applyFont="1" applyFill="1" applyBorder="1" applyAlignment="1">
      <alignment horizontal="center" vertical="center"/>
    </xf>
    <xf numFmtId="2" fontId="2" fillId="7" borderId="1" xfId="0" applyNumberFormat="1" applyFont="1" applyFill="1" applyBorder="1" applyAlignment="1">
      <alignment horizontal="center" vertical="center"/>
    </xf>
    <xf numFmtId="0" fontId="13" fillId="7" borderId="1" xfId="0" applyFont="1" applyFill="1" applyBorder="1" applyAlignment="1">
      <alignment horizontal="left" vertical="center" wrapText="1"/>
    </xf>
    <xf numFmtId="0" fontId="2" fillId="7" borderId="1" xfId="0" applyFont="1" applyFill="1" applyBorder="1" applyAlignment="1">
      <alignment horizontal="left" vertical="center"/>
    </xf>
    <xf numFmtId="164" fontId="2" fillId="7" borderId="1" xfId="0" applyNumberFormat="1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left" vertical="center" wrapText="1"/>
    </xf>
    <xf numFmtId="0" fontId="21" fillId="7" borderId="1" xfId="5" applyFont="1" applyFill="1" applyBorder="1" applyAlignment="1">
      <alignment horizontal="center" vertical="center"/>
    </xf>
    <xf numFmtId="166" fontId="21" fillId="7" borderId="3" xfId="5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3" fillId="2" borderId="0" xfId="0" applyFont="1" applyFill="1" applyAlignment="1">
      <alignment horizontal="center" vertical="center" wrapText="1"/>
    </xf>
    <xf numFmtId="0" fontId="16" fillId="2" borderId="0" xfId="0" applyFont="1" applyFill="1" applyAlignment="1">
      <alignment horizontal="center" vertical="center" wrapText="1"/>
    </xf>
    <xf numFmtId="0" fontId="2" fillId="2" borderId="7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right" vertical="center" wrapText="1"/>
    </xf>
    <xf numFmtId="4" fontId="3" fillId="2" borderId="7" xfId="0" applyNumberFormat="1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left" vertical="center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36" fillId="0" borderId="0" xfId="0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32" fillId="0" borderId="0" xfId="0" applyFont="1" applyAlignment="1">
      <alignment horizontal="center" vertical="center"/>
    </xf>
  </cellXfs>
  <cellStyles count="17">
    <cellStyle name="Comma 2" xfId="12" xr:uid="{00000000-0005-0000-0000-000001000000}"/>
    <cellStyle name="Normal" xfId="0" builtinId="0"/>
    <cellStyle name="Normal 10 2" xfId="9" xr:uid="{00000000-0005-0000-0000-000003000000}"/>
    <cellStyle name="Normal 11 2" xfId="13" xr:uid="{9582AD35-9C99-4788-80FE-1EF00FD4AA3D}"/>
    <cellStyle name="Normal 16 2" xfId="2" xr:uid="{00000000-0005-0000-0000-000004000000}"/>
    <cellStyle name="Normal 2 3" xfId="6" xr:uid="{00000000-0005-0000-0000-000005000000}"/>
    <cellStyle name="Normal 29" xfId="15" xr:uid="{08CC267D-C8CD-4034-805F-AA49F045A4B4}"/>
    <cellStyle name="Normal 3" xfId="4" xr:uid="{00000000-0005-0000-0000-000006000000}"/>
    <cellStyle name="Normal 3 2" xfId="1" xr:uid="{00000000-0005-0000-0000-000007000000}"/>
    <cellStyle name="Normal 3 3" xfId="10" xr:uid="{00000000-0005-0000-0000-000008000000}"/>
    <cellStyle name="Normal 4" xfId="8" xr:uid="{00000000-0005-0000-0000-000009000000}"/>
    <cellStyle name="Normal 4 3" xfId="14" xr:uid="{62710769-46BE-40E9-B0CC-D080DAA0388F}"/>
    <cellStyle name="Normal 43" xfId="11" xr:uid="{00000000-0005-0000-0000-00000A000000}"/>
    <cellStyle name="Normal 6" xfId="7" xr:uid="{00000000-0005-0000-0000-00000B000000}"/>
    <cellStyle name="Normal 68" xfId="16" xr:uid="{B038D9D7-B3C4-4166-B2E2-2A688A605FA3}"/>
    <cellStyle name="silfain" xfId="5" xr:uid="{00000000-0005-0000-0000-00000C000000}"/>
    <cellStyle name="Обычный_Лист1" xfId="3" xr:uid="{00000000-0005-0000-0000-00000D000000}"/>
  </cellStyles>
  <dxfs count="126"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2:F13"/>
  <sheetViews>
    <sheetView tabSelected="1" topLeftCell="A3" zoomScale="85" zoomScaleNormal="85" workbookViewId="0">
      <selection activeCell="E18" sqref="E18"/>
    </sheetView>
  </sheetViews>
  <sheetFormatPr defaultColWidth="9.08984375" defaultRowHeight="14.5" x14ac:dyDescent="0.35"/>
  <cols>
    <col min="1" max="1" width="5" style="1" customWidth="1"/>
    <col min="2" max="2" width="51.6328125" style="1" customWidth="1"/>
    <col min="3" max="3" width="10" style="1" customWidth="1"/>
    <col min="4" max="4" width="19.453125" style="1" customWidth="1"/>
    <col min="5" max="5" width="16.36328125" style="1" customWidth="1"/>
    <col min="6" max="6" width="21.08984375" style="1" customWidth="1"/>
    <col min="7" max="16384" width="9.08984375" style="1"/>
  </cols>
  <sheetData>
    <row r="2" spans="1:6" s="53" customFormat="1" ht="13.5" x14ac:dyDescent="0.35">
      <c r="A2" s="155" t="s">
        <v>278</v>
      </c>
      <c r="B2" s="155"/>
      <c r="C2" s="155"/>
      <c r="D2" s="155"/>
      <c r="E2" s="155"/>
      <c r="F2" s="155"/>
    </row>
    <row r="3" spans="1:6" x14ac:dyDescent="0.35">
      <c r="A3" s="54"/>
      <c r="B3" s="156"/>
      <c r="C3" s="156"/>
      <c r="D3" s="156"/>
      <c r="E3" s="156"/>
      <c r="F3" s="156"/>
    </row>
    <row r="4" spans="1:6" x14ac:dyDescent="0.35">
      <c r="A4" s="54"/>
      <c r="B4" s="53"/>
      <c r="C4" s="53"/>
      <c r="D4" s="53"/>
      <c r="E4" s="53"/>
      <c r="F4" s="53"/>
    </row>
    <row r="5" spans="1:6" s="94" customFormat="1" ht="20.149999999999999" customHeight="1" x14ac:dyDescent="0.35">
      <c r="A5" s="157" t="s">
        <v>105</v>
      </c>
      <c r="B5" s="157"/>
      <c r="C5" s="157"/>
      <c r="D5" s="157"/>
      <c r="E5" s="157"/>
      <c r="F5" s="157"/>
    </row>
    <row r="6" spans="1:6" s="94" customFormat="1" ht="20.149999999999999" customHeight="1" x14ac:dyDescent="0.35">
      <c r="A6" s="158" t="s">
        <v>88</v>
      </c>
      <c r="B6" s="159"/>
      <c r="C6" s="159"/>
      <c r="D6" s="159"/>
      <c r="E6" s="159"/>
      <c r="F6" s="159"/>
    </row>
    <row r="8" spans="1:6" ht="35" customHeight="1" thickBot="1" x14ac:dyDescent="0.4">
      <c r="A8" s="52" t="s">
        <v>42</v>
      </c>
      <c r="B8" s="52" t="s">
        <v>0</v>
      </c>
      <c r="C8" s="52" t="s">
        <v>43</v>
      </c>
      <c r="D8" s="52" t="s">
        <v>44</v>
      </c>
      <c r="E8" s="52" t="s">
        <v>36</v>
      </c>
      <c r="F8" s="52" t="s">
        <v>45</v>
      </c>
    </row>
    <row r="9" spans="1:6" ht="30" customHeight="1" x14ac:dyDescent="0.35">
      <c r="A9" s="55">
        <v>1</v>
      </c>
      <c r="B9" s="90" t="s">
        <v>82</v>
      </c>
      <c r="C9" s="99" t="s">
        <v>47</v>
      </c>
      <c r="D9" s="91">
        <f>'№2-1'!L758</f>
        <v>0</v>
      </c>
      <c r="E9" s="106">
        <f t="shared" ref="E9" si="0">D9*18%</f>
        <v>0</v>
      </c>
      <c r="F9" s="93">
        <f t="shared" ref="F9" si="1">D9+E9</f>
        <v>0</v>
      </c>
    </row>
    <row r="10" spans="1:6" ht="20.149999999999999" customHeight="1" x14ac:dyDescent="0.35">
      <c r="A10" s="56"/>
      <c r="B10" s="50" t="s">
        <v>11</v>
      </c>
      <c r="C10" s="50"/>
      <c r="D10" s="57">
        <f>SUM(D9:D9)</f>
        <v>0</v>
      </c>
      <c r="E10" s="57">
        <f>SUM(E9:E9)</f>
        <v>0</v>
      </c>
      <c r="F10" s="57">
        <f>SUM(F9:F9)</f>
        <v>0</v>
      </c>
    </row>
    <row r="12" spans="1:6" x14ac:dyDescent="0.35">
      <c r="F12" s="59"/>
    </row>
    <row r="13" spans="1:6" x14ac:dyDescent="0.35">
      <c r="F13" s="59"/>
    </row>
  </sheetData>
  <mergeCells count="4">
    <mergeCell ref="A2:F2"/>
    <mergeCell ref="B3:F3"/>
    <mergeCell ref="A5:F5"/>
    <mergeCell ref="A6:F6"/>
  </mergeCells>
  <phoneticPr fontId="26" type="noConversion"/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/>
  </sheetPr>
  <dimension ref="A1:N800"/>
  <sheetViews>
    <sheetView topLeftCell="A784" zoomScale="86" zoomScaleNormal="86" workbookViewId="0">
      <selection activeCell="J10" sqref="J10:J749"/>
    </sheetView>
  </sheetViews>
  <sheetFormatPr defaultColWidth="9.08984375" defaultRowHeight="14.5" x14ac:dyDescent="0.35"/>
  <cols>
    <col min="1" max="1" width="4.36328125" style="2" customWidth="1"/>
    <col min="2" max="2" width="58.54296875" style="1" customWidth="1"/>
    <col min="3" max="3" width="8" style="60" customWidth="1"/>
    <col min="4" max="4" width="9.453125" style="60" customWidth="1"/>
    <col min="5" max="5" width="10.453125" style="60" customWidth="1"/>
    <col min="6" max="6" width="9.08984375" style="60" customWidth="1"/>
    <col min="7" max="7" width="13.54296875" style="60" customWidth="1"/>
    <col min="8" max="8" width="7.453125" style="60" customWidth="1"/>
    <col min="9" max="9" width="13.6328125" style="60" customWidth="1"/>
    <col min="10" max="10" width="7.36328125" style="60" customWidth="1"/>
    <col min="11" max="11" width="14.6328125" style="60" customWidth="1"/>
    <col min="12" max="12" width="15.54296875" style="60" customWidth="1"/>
    <col min="13" max="16384" width="9.08984375" style="1"/>
  </cols>
  <sheetData>
    <row r="1" spans="1:12" x14ac:dyDescent="0.35">
      <c r="A1" s="147" t="s">
        <v>106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</row>
    <row r="2" spans="1:12" ht="16" x14ac:dyDescent="0.35">
      <c r="A2" s="13"/>
      <c r="B2" s="148" t="s">
        <v>269</v>
      </c>
      <c r="C2" s="148"/>
      <c r="D2" s="148"/>
      <c r="E2" s="148"/>
      <c r="F2" s="148"/>
      <c r="G2" s="148"/>
      <c r="H2" s="148"/>
      <c r="I2" s="148"/>
      <c r="J2" s="148"/>
      <c r="K2" s="148"/>
      <c r="L2" s="148"/>
    </row>
    <row r="3" spans="1:12" ht="16" x14ac:dyDescent="0.35">
      <c r="A3" s="13"/>
      <c r="B3" s="148" t="s">
        <v>103</v>
      </c>
      <c r="C3" s="148"/>
      <c r="D3" s="148"/>
      <c r="E3" s="148"/>
      <c r="F3" s="148"/>
      <c r="G3" s="148"/>
      <c r="H3" s="148"/>
      <c r="I3" s="148"/>
      <c r="J3" s="148"/>
      <c r="K3" s="148"/>
      <c r="L3" s="148"/>
    </row>
    <row r="4" spans="1:12" ht="16" x14ac:dyDescent="0.35">
      <c r="A4" s="13"/>
      <c r="B4" s="149" t="s">
        <v>83</v>
      </c>
      <c r="C4" s="149"/>
      <c r="D4" s="149"/>
      <c r="E4" s="149"/>
      <c r="F4" s="149"/>
      <c r="G4" s="149"/>
      <c r="H4" s="149"/>
      <c r="I4" s="149"/>
      <c r="J4" s="149"/>
      <c r="K4" s="149"/>
      <c r="L4" s="149"/>
    </row>
    <row r="5" spans="1:12" ht="16" x14ac:dyDescent="0.35">
      <c r="A5" s="154"/>
      <c r="B5" s="154"/>
      <c r="C5" s="89"/>
      <c r="D5" s="89"/>
      <c r="E5" s="89"/>
      <c r="F5" s="89"/>
      <c r="G5" s="86"/>
      <c r="H5" s="86"/>
      <c r="I5" s="86"/>
      <c r="J5" s="86"/>
      <c r="K5" s="86"/>
      <c r="L5" s="86"/>
    </row>
    <row r="6" spans="1:12" x14ac:dyDescent="0.35">
      <c r="A6" s="150" t="s">
        <v>279</v>
      </c>
      <c r="B6" s="150"/>
      <c r="C6" s="150"/>
      <c r="D6" s="150"/>
      <c r="E6" s="150"/>
      <c r="F6" s="150"/>
      <c r="G6" s="151" t="s">
        <v>13</v>
      </c>
      <c r="H6" s="151"/>
      <c r="I6" s="151"/>
      <c r="J6" s="152">
        <f>L760</f>
        <v>0</v>
      </c>
      <c r="K6" s="153"/>
      <c r="L6" s="14" t="s">
        <v>6</v>
      </c>
    </row>
    <row r="7" spans="1:12" s="2" customFormat="1" ht="20.149999999999999" customHeight="1" x14ac:dyDescent="0.35">
      <c r="A7" s="140" t="s">
        <v>37</v>
      </c>
      <c r="B7" s="140" t="s">
        <v>0</v>
      </c>
      <c r="C7" s="140" t="s">
        <v>1</v>
      </c>
      <c r="D7" s="142" t="s">
        <v>28</v>
      </c>
      <c r="E7" s="142" t="s">
        <v>2</v>
      </c>
      <c r="F7" s="144" t="s">
        <v>20</v>
      </c>
      <c r="G7" s="145"/>
      <c r="H7" s="146" t="s">
        <v>3</v>
      </c>
      <c r="I7" s="145"/>
      <c r="J7" s="138" t="s">
        <v>27</v>
      </c>
      <c r="K7" s="139"/>
      <c r="L7" s="140" t="s">
        <v>4</v>
      </c>
    </row>
    <row r="8" spans="1:12" s="24" customFormat="1" ht="27" x14ac:dyDescent="0.35">
      <c r="A8" s="141"/>
      <c r="B8" s="141"/>
      <c r="C8" s="141"/>
      <c r="D8" s="143"/>
      <c r="E8" s="143"/>
      <c r="F8" s="8" t="s">
        <v>26</v>
      </c>
      <c r="G8" s="8" t="s">
        <v>4</v>
      </c>
      <c r="H8" s="8" t="s">
        <v>26</v>
      </c>
      <c r="I8" s="8" t="s">
        <v>4</v>
      </c>
      <c r="J8" s="8" t="s">
        <v>26</v>
      </c>
      <c r="K8" s="8" t="s">
        <v>4</v>
      </c>
      <c r="L8" s="141"/>
    </row>
    <row r="9" spans="1:12" s="60" customFormat="1" x14ac:dyDescent="0.35">
      <c r="A9" s="21">
        <v>1</v>
      </c>
      <c r="B9" s="21">
        <v>2</v>
      </c>
      <c r="C9" s="21">
        <v>3</v>
      </c>
      <c r="D9" s="21">
        <v>4</v>
      </c>
      <c r="E9" s="21">
        <v>5</v>
      </c>
      <c r="F9" s="21">
        <v>6</v>
      </c>
      <c r="G9" s="21">
        <v>7</v>
      </c>
      <c r="H9" s="21">
        <v>8</v>
      </c>
      <c r="I9" s="21">
        <v>9</v>
      </c>
      <c r="J9" s="21">
        <v>10</v>
      </c>
      <c r="K9" s="21">
        <v>11</v>
      </c>
      <c r="L9" s="21">
        <v>12</v>
      </c>
    </row>
    <row r="10" spans="1:12" s="60" customFormat="1" ht="20.149999999999999" customHeight="1" x14ac:dyDescent="0.35">
      <c r="A10" s="62"/>
      <c r="B10" s="63" t="s">
        <v>48</v>
      </c>
      <c r="C10" s="64"/>
      <c r="D10" s="64"/>
      <c r="E10" s="64"/>
      <c r="F10" s="64"/>
      <c r="G10" s="64"/>
      <c r="H10" s="64"/>
      <c r="I10" s="64"/>
      <c r="J10" s="64"/>
      <c r="K10" s="64"/>
      <c r="L10" s="64"/>
    </row>
    <row r="11" spans="1:12" s="60" customFormat="1" ht="27" x14ac:dyDescent="0.35">
      <c r="A11" s="68">
        <v>1</v>
      </c>
      <c r="B11" s="42" t="s">
        <v>109</v>
      </c>
      <c r="C11" s="37" t="s">
        <v>107</v>
      </c>
      <c r="D11" s="39"/>
      <c r="E11" s="37">
        <v>88.1</v>
      </c>
      <c r="F11" s="3"/>
      <c r="G11" s="3"/>
      <c r="H11" s="3"/>
      <c r="I11" s="3"/>
      <c r="J11" s="3"/>
      <c r="K11" s="3"/>
      <c r="L11" s="3"/>
    </row>
    <row r="12" spans="1:12" s="60" customFormat="1" ht="20.149999999999999" customHeight="1" x14ac:dyDescent="0.35">
      <c r="A12" s="68"/>
      <c r="B12" s="48" t="s">
        <v>49</v>
      </c>
      <c r="C12" s="67" t="s">
        <v>24</v>
      </c>
      <c r="D12" s="23">
        <v>1</v>
      </c>
      <c r="E12" s="9">
        <f>E11*D12</f>
        <v>88.1</v>
      </c>
      <c r="F12" s="9"/>
      <c r="G12" s="85">
        <f t="shared" ref="G12:G75" si="0">F12*E12</f>
        <v>0</v>
      </c>
      <c r="H12" s="9"/>
      <c r="I12" s="85">
        <f t="shared" ref="I12:I75" si="1">H12*E12</f>
        <v>0</v>
      </c>
      <c r="J12" s="9"/>
      <c r="K12" s="100">
        <f t="shared" ref="K12:K75" si="2">J12*E12</f>
        <v>0</v>
      </c>
      <c r="L12" s="85">
        <f t="shared" ref="L12:L75" si="3">K12+I12+G12</f>
        <v>0</v>
      </c>
    </row>
    <row r="13" spans="1:12" s="60" customFormat="1" ht="20.149999999999999" customHeight="1" x14ac:dyDescent="0.35">
      <c r="A13" s="68"/>
      <c r="B13" s="17" t="s">
        <v>237</v>
      </c>
      <c r="C13" s="22" t="s">
        <v>6</v>
      </c>
      <c r="D13" s="18">
        <v>2</v>
      </c>
      <c r="E13" s="22">
        <f>D13*E11</f>
        <v>176.2</v>
      </c>
      <c r="F13" s="22"/>
      <c r="G13" s="85">
        <f t="shared" si="0"/>
        <v>0</v>
      </c>
      <c r="H13" s="22"/>
      <c r="I13" s="85">
        <f t="shared" si="1"/>
        <v>0</v>
      </c>
      <c r="J13" s="22"/>
      <c r="K13" s="100">
        <f t="shared" si="2"/>
        <v>0</v>
      </c>
      <c r="L13" s="85">
        <f t="shared" si="3"/>
        <v>0</v>
      </c>
    </row>
    <row r="14" spans="1:12" s="60" customFormat="1" ht="27" x14ac:dyDescent="0.35">
      <c r="A14" s="68">
        <v>2</v>
      </c>
      <c r="B14" s="42" t="s">
        <v>110</v>
      </c>
      <c r="C14" s="37" t="s">
        <v>107</v>
      </c>
      <c r="D14" s="3"/>
      <c r="E14" s="41">
        <v>56</v>
      </c>
      <c r="F14" s="3"/>
      <c r="G14" s="85">
        <f t="shared" si="0"/>
        <v>0</v>
      </c>
      <c r="H14" s="3"/>
      <c r="I14" s="85">
        <f t="shared" si="1"/>
        <v>0</v>
      </c>
      <c r="J14" s="3"/>
      <c r="K14" s="100">
        <f t="shared" si="2"/>
        <v>0</v>
      </c>
      <c r="L14" s="85">
        <f t="shared" si="3"/>
        <v>0</v>
      </c>
    </row>
    <row r="15" spans="1:12" s="60" customFormat="1" ht="20.149999999999999" customHeight="1" x14ac:dyDescent="0.35">
      <c r="A15" s="68"/>
      <c r="B15" s="48" t="s">
        <v>49</v>
      </c>
      <c r="C15" s="67" t="s">
        <v>24</v>
      </c>
      <c r="D15" s="23">
        <v>1</v>
      </c>
      <c r="E15" s="4">
        <f>D15*E14</f>
        <v>56</v>
      </c>
      <c r="F15" s="3"/>
      <c r="G15" s="85">
        <f t="shared" si="0"/>
        <v>0</v>
      </c>
      <c r="H15" s="9"/>
      <c r="I15" s="85">
        <f t="shared" si="1"/>
        <v>0</v>
      </c>
      <c r="J15" s="22"/>
      <c r="K15" s="100">
        <f t="shared" si="2"/>
        <v>0</v>
      </c>
      <c r="L15" s="85">
        <f t="shared" si="3"/>
        <v>0</v>
      </c>
    </row>
    <row r="16" spans="1:12" s="60" customFormat="1" ht="20.149999999999999" customHeight="1" x14ac:dyDescent="0.35">
      <c r="A16" s="68"/>
      <c r="B16" s="17" t="s">
        <v>237</v>
      </c>
      <c r="C16" s="22" t="s">
        <v>6</v>
      </c>
      <c r="D16" s="18">
        <v>4.0999999999999996</v>
      </c>
      <c r="E16" s="4">
        <f>D16*E14</f>
        <v>229.59999999999997</v>
      </c>
      <c r="F16" s="3"/>
      <c r="G16" s="85">
        <f t="shared" si="0"/>
        <v>0</v>
      </c>
      <c r="H16" s="3"/>
      <c r="I16" s="85">
        <f t="shared" si="1"/>
        <v>0</v>
      </c>
      <c r="J16" s="22"/>
      <c r="K16" s="100">
        <f t="shared" si="2"/>
        <v>0</v>
      </c>
      <c r="L16" s="85">
        <f t="shared" si="3"/>
        <v>0</v>
      </c>
    </row>
    <row r="17" spans="1:12" s="60" customFormat="1" ht="20.149999999999999" customHeight="1" x14ac:dyDescent="0.35">
      <c r="A17" s="68">
        <v>3</v>
      </c>
      <c r="B17" s="74" t="s">
        <v>108</v>
      </c>
      <c r="C17" s="101" t="s">
        <v>5</v>
      </c>
      <c r="D17" s="101"/>
      <c r="E17" s="41">
        <v>1.5</v>
      </c>
      <c r="F17" s="3"/>
      <c r="G17" s="85">
        <f t="shared" si="0"/>
        <v>0</v>
      </c>
      <c r="H17" s="3"/>
      <c r="I17" s="85">
        <f t="shared" si="1"/>
        <v>0</v>
      </c>
      <c r="J17" s="3"/>
      <c r="K17" s="100">
        <f t="shared" si="2"/>
        <v>0</v>
      </c>
      <c r="L17" s="85">
        <f t="shared" si="3"/>
        <v>0</v>
      </c>
    </row>
    <row r="18" spans="1:12" s="60" customFormat="1" ht="20.149999999999999" customHeight="1" x14ac:dyDescent="0.35">
      <c r="A18" s="68"/>
      <c r="B18" s="48" t="s">
        <v>49</v>
      </c>
      <c r="C18" s="67" t="s">
        <v>5</v>
      </c>
      <c r="D18" s="4">
        <v>1</v>
      </c>
      <c r="E18" s="4">
        <f>D18*E17</f>
        <v>1.5</v>
      </c>
      <c r="F18" s="3"/>
      <c r="G18" s="85">
        <f t="shared" si="0"/>
        <v>0</v>
      </c>
      <c r="H18" s="9"/>
      <c r="I18" s="85">
        <f t="shared" si="1"/>
        <v>0</v>
      </c>
      <c r="J18" s="22"/>
      <c r="K18" s="100">
        <f t="shared" si="2"/>
        <v>0</v>
      </c>
      <c r="L18" s="85">
        <f t="shared" si="3"/>
        <v>0</v>
      </c>
    </row>
    <row r="19" spans="1:12" s="60" customFormat="1" ht="20.149999999999999" customHeight="1" x14ac:dyDescent="0.35">
      <c r="A19" s="68"/>
      <c r="B19" s="17" t="s">
        <v>33</v>
      </c>
      <c r="C19" s="22" t="s">
        <v>6</v>
      </c>
      <c r="D19" s="18">
        <f>4.07*0.7</f>
        <v>2.8490000000000002</v>
      </c>
      <c r="E19" s="4">
        <f>D19*E17</f>
        <v>4.2735000000000003</v>
      </c>
      <c r="F19" s="3"/>
      <c r="G19" s="85">
        <f t="shared" si="0"/>
        <v>0</v>
      </c>
      <c r="H19" s="3"/>
      <c r="I19" s="85">
        <f t="shared" si="1"/>
        <v>0</v>
      </c>
      <c r="J19" s="18"/>
      <c r="K19" s="100">
        <f t="shared" si="2"/>
        <v>0</v>
      </c>
      <c r="L19" s="85">
        <f t="shared" si="3"/>
        <v>0</v>
      </c>
    </row>
    <row r="20" spans="1:12" s="60" customFormat="1" ht="20.149999999999999" customHeight="1" x14ac:dyDescent="0.35">
      <c r="A20" s="68"/>
      <c r="B20" s="17" t="s">
        <v>22</v>
      </c>
      <c r="C20" s="22" t="s">
        <v>6</v>
      </c>
      <c r="D20" s="5">
        <f>2.78*0.5</f>
        <v>1.39</v>
      </c>
      <c r="E20" s="4">
        <f>D20*E17</f>
        <v>2.085</v>
      </c>
      <c r="F20" s="4"/>
      <c r="G20" s="85">
        <f t="shared" si="0"/>
        <v>0</v>
      </c>
      <c r="H20" s="3"/>
      <c r="I20" s="85">
        <f t="shared" si="1"/>
        <v>0</v>
      </c>
      <c r="J20" s="3"/>
      <c r="K20" s="100">
        <f t="shared" si="2"/>
        <v>0</v>
      </c>
      <c r="L20" s="85">
        <f t="shared" si="3"/>
        <v>0</v>
      </c>
    </row>
    <row r="21" spans="1:12" s="60" customFormat="1" ht="27" x14ac:dyDescent="0.35">
      <c r="A21" s="68">
        <v>4</v>
      </c>
      <c r="B21" s="42" t="s">
        <v>111</v>
      </c>
      <c r="C21" s="37" t="s">
        <v>107</v>
      </c>
      <c r="D21" s="101"/>
      <c r="E21" s="41">
        <v>3.2</v>
      </c>
      <c r="F21" s="3"/>
      <c r="G21" s="85">
        <f t="shared" si="0"/>
        <v>0</v>
      </c>
      <c r="H21" s="3"/>
      <c r="I21" s="85">
        <f t="shared" si="1"/>
        <v>0</v>
      </c>
      <c r="J21" s="3"/>
      <c r="K21" s="100">
        <f t="shared" si="2"/>
        <v>0</v>
      </c>
      <c r="L21" s="85">
        <f t="shared" si="3"/>
        <v>0</v>
      </c>
    </row>
    <row r="22" spans="1:12" s="60" customFormat="1" ht="20.149999999999999" customHeight="1" x14ac:dyDescent="0.35">
      <c r="A22" s="68"/>
      <c r="B22" s="48" t="s">
        <v>49</v>
      </c>
      <c r="C22" s="67" t="s">
        <v>24</v>
      </c>
      <c r="D22" s="23">
        <v>1</v>
      </c>
      <c r="E22" s="4">
        <f>D22*E21</f>
        <v>3.2</v>
      </c>
      <c r="F22" s="3"/>
      <c r="G22" s="85">
        <f t="shared" si="0"/>
        <v>0</v>
      </c>
      <c r="H22" s="9"/>
      <c r="I22" s="85">
        <f t="shared" si="1"/>
        <v>0</v>
      </c>
      <c r="J22" s="22"/>
      <c r="K22" s="100">
        <f t="shared" si="2"/>
        <v>0</v>
      </c>
      <c r="L22" s="85">
        <f t="shared" si="3"/>
        <v>0</v>
      </c>
    </row>
    <row r="23" spans="1:12" s="60" customFormat="1" ht="20.149999999999999" customHeight="1" x14ac:dyDescent="0.35">
      <c r="A23" s="68"/>
      <c r="B23" s="17" t="s">
        <v>237</v>
      </c>
      <c r="C23" s="22" t="s">
        <v>6</v>
      </c>
      <c r="D23" s="18">
        <v>4.0999999999999996</v>
      </c>
      <c r="E23" s="4">
        <f>D23*E21</f>
        <v>13.12</v>
      </c>
      <c r="F23" s="3"/>
      <c r="G23" s="85">
        <f t="shared" si="0"/>
        <v>0</v>
      </c>
      <c r="H23" s="3"/>
      <c r="I23" s="85">
        <f t="shared" si="1"/>
        <v>0</v>
      </c>
      <c r="J23" s="22"/>
      <c r="K23" s="100">
        <f t="shared" si="2"/>
        <v>0</v>
      </c>
      <c r="L23" s="85">
        <f t="shared" si="3"/>
        <v>0</v>
      </c>
    </row>
    <row r="24" spans="1:12" s="60" customFormat="1" ht="27" x14ac:dyDescent="0.35">
      <c r="A24" s="68">
        <v>5</v>
      </c>
      <c r="B24" s="42" t="s">
        <v>234</v>
      </c>
      <c r="C24" s="37" t="s">
        <v>107</v>
      </c>
      <c r="D24" s="101"/>
      <c r="E24" s="41">
        <v>148.19999999999999</v>
      </c>
      <c r="F24" s="3"/>
      <c r="G24" s="85">
        <f t="shared" si="0"/>
        <v>0</v>
      </c>
      <c r="H24" s="3"/>
      <c r="I24" s="85">
        <f t="shared" si="1"/>
        <v>0</v>
      </c>
      <c r="J24" s="3"/>
      <c r="K24" s="100">
        <f t="shared" si="2"/>
        <v>0</v>
      </c>
      <c r="L24" s="85">
        <f t="shared" si="3"/>
        <v>0</v>
      </c>
    </row>
    <row r="25" spans="1:12" s="60" customFormat="1" ht="20.149999999999999" customHeight="1" x14ac:dyDescent="0.35">
      <c r="A25" s="68"/>
      <c r="B25" s="48" t="s">
        <v>49</v>
      </c>
      <c r="C25" s="67" t="s">
        <v>24</v>
      </c>
      <c r="D25" s="23">
        <v>1</v>
      </c>
      <c r="E25" s="4">
        <f>D25*E24</f>
        <v>148.19999999999999</v>
      </c>
      <c r="F25" s="3"/>
      <c r="G25" s="85">
        <f t="shared" si="0"/>
        <v>0</v>
      </c>
      <c r="H25" s="9"/>
      <c r="I25" s="85">
        <f t="shared" si="1"/>
        <v>0</v>
      </c>
      <c r="J25" s="22"/>
      <c r="K25" s="100">
        <f t="shared" si="2"/>
        <v>0</v>
      </c>
      <c r="L25" s="85">
        <f t="shared" si="3"/>
        <v>0</v>
      </c>
    </row>
    <row r="26" spans="1:12" s="60" customFormat="1" ht="20.149999999999999" customHeight="1" x14ac:dyDescent="0.35">
      <c r="A26" s="68"/>
      <c r="B26" s="48" t="s">
        <v>236</v>
      </c>
      <c r="C26" s="67" t="s">
        <v>46</v>
      </c>
      <c r="D26" s="110">
        <v>2.9499999999999998E-2</v>
      </c>
      <c r="E26" s="4">
        <f>D26*E24</f>
        <v>4.3718999999999992</v>
      </c>
      <c r="F26" s="3"/>
      <c r="G26" s="85">
        <f t="shared" si="0"/>
        <v>0</v>
      </c>
      <c r="H26" s="9"/>
      <c r="I26" s="85">
        <f t="shared" si="1"/>
        <v>0</v>
      </c>
      <c r="J26" s="22"/>
      <c r="K26" s="100">
        <f t="shared" si="2"/>
        <v>0</v>
      </c>
      <c r="L26" s="85">
        <f t="shared" si="3"/>
        <v>0</v>
      </c>
    </row>
    <row r="27" spans="1:12" s="60" customFormat="1" ht="20.149999999999999" customHeight="1" x14ac:dyDescent="0.35">
      <c r="A27" s="68"/>
      <c r="B27" s="17" t="s">
        <v>33</v>
      </c>
      <c r="C27" s="22" t="s">
        <v>6</v>
      </c>
      <c r="D27" s="58">
        <v>2.0999999999999999E-3</v>
      </c>
      <c r="E27" s="4">
        <f>D27*E24</f>
        <v>0.31121999999999994</v>
      </c>
      <c r="F27" s="3"/>
      <c r="G27" s="85">
        <f t="shared" si="0"/>
        <v>0</v>
      </c>
      <c r="H27" s="3"/>
      <c r="I27" s="85">
        <f t="shared" si="1"/>
        <v>0</v>
      </c>
      <c r="J27" s="18"/>
      <c r="K27" s="100">
        <f t="shared" si="2"/>
        <v>0</v>
      </c>
      <c r="L27" s="85">
        <f t="shared" si="3"/>
        <v>0</v>
      </c>
    </row>
    <row r="28" spans="1:12" s="60" customFormat="1" ht="27" x14ac:dyDescent="0.35">
      <c r="A28" s="68">
        <v>6</v>
      </c>
      <c r="B28" s="42" t="s">
        <v>235</v>
      </c>
      <c r="C28" s="37" t="s">
        <v>5</v>
      </c>
      <c r="D28" s="28">
        <v>2.4</v>
      </c>
      <c r="E28" s="41">
        <f>D28*E24</f>
        <v>355.67999999999995</v>
      </c>
      <c r="F28" s="3"/>
      <c r="G28" s="85">
        <f t="shared" si="0"/>
        <v>0</v>
      </c>
      <c r="H28" s="3"/>
      <c r="I28" s="85">
        <f t="shared" si="1"/>
        <v>0</v>
      </c>
      <c r="J28" s="5"/>
      <c r="K28" s="100">
        <f t="shared" si="2"/>
        <v>0</v>
      </c>
      <c r="L28" s="85">
        <f t="shared" si="3"/>
        <v>0</v>
      </c>
    </row>
    <row r="29" spans="1:12" s="60" customFormat="1" ht="40.5" x14ac:dyDescent="0.35">
      <c r="A29" s="21">
        <v>7</v>
      </c>
      <c r="B29" s="65" t="s">
        <v>238</v>
      </c>
      <c r="C29" s="66" t="s">
        <v>32</v>
      </c>
      <c r="D29" s="47"/>
      <c r="E29" s="111">
        <v>95</v>
      </c>
      <c r="F29" s="9"/>
      <c r="G29" s="85">
        <f t="shared" si="0"/>
        <v>0</v>
      </c>
      <c r="H29" s="9"/>
      <c r="I29" s="85">
        <f t="shared" si="1"/>
        <v>0</v>
      </c>
      <c r="J29" s="9"/>
      <c r="K29" s="100">
        <f t="shared" si="2"/>
        <v>0</v>
      </c>
      <c r="L29" s="85">
        <f t="shared" si="3"/>
        <v>0</v>
      </c>
    </row>
    <row r="30" spans="1:12" s="60" customFormat="1" x14ac:dyDescent="0.35">
      <c r="A30" s="21"/>
      <c r="B30" s="48" t="s">
        <v>49</v>
      </c>
      <c r="C30" s="67" t="s">
        <v>32</v>
      </c>
      <c r="D30" s="23">
        <v>1</v>
      </c>
      <c r="E30" s="9">
        <f>E29*D30</f>
        <v>95</v>
      </c>
      <c r="F30" s="9"/>
      <c r="G30" s="85">
        <f t="shared" si="0"/>
        <v>0</v>
      </c>
      <c r="H30" s="9"/>
      <c r="I30" s="85">
        <f t="shared" si="1"/>
        <v>0</v>
      </c>
      <c r="J30" s="9"/>
      <c r="K30" s="100">
        <f t="shared" si="2"/>
        <v>0</v>
      </c>
      <c r="L30" s="85">
        <f t="shared" si="3"/>
        <v>0</v>
      </c>
    </row>
    <row r="31" spans="1:12" s="60" customFormat="1" x14ac:dyDescent="0.35">
      <c r="A31" s="21"/>
      <c r="B31" s="48" t="s">
        <v>50</v>
      </c>
      <c r="C31" s="67" t="s">
        <v>6</v>
      </c>
      <c r="D31" s="3">
        <v>0.09</v>
      </c>
      <c r="E31" s="9">
        <f>E29*0.09</f>
        <v>8.5499999999999989</v>
      </c>
      <c r="F31" s="9"/>
      <c r="G31" s="85">
        <f t="shared" si="0"/>
        <v>0</v>
      </c>
      <c r="H31" s="9"/>
      <c r="I31" s="85">
        <f t="shared" si="1"/>
        <v>0</v>
      </c>
      <c r="J31" s="9"/>
      <c r="K31" s="100">
        <f t="shared" si="2"/>
        <v>0</v>
      </c>
      <c r="L31" s="85">
        <f t="shared" si="3"/>
        <v>0</v>
      </c>
    </row>
    <row r="32" spans="1:12" s="60" customFormat="1" x14ac:dyDescent="0.35">
      <c r="A32" s="21"/>
      <c r="B32" s="45" t="s">
        <v>239</v>
      </c>
      <c r="C32" s="46" t="s">
        <v>38</v>
      </c>
      <c r="D32" s="51"/>
      <c r="E32" s="9">
        <f>2.5*40*1.1</f>
        <v>110.00000000000001</v>
      </c>
      <c r="F32" s="9"/>
      <c r="G32" s="85">
        <f t="shared" si="0"/>
        <v>0</v>
      </c>
      <c r="H32" s="9"/>
      <c r="I32" s="85">
        <f t="shared" si="1"/>
        <v>0</v>
      </c>
      <c r="J32" s="9"/>
      <c r="K32" s="100">
        <f t="shared" si="2"/>
        <v>0</v>
      </c>
      <c r="L32" s="85">
        <f t="shared" si="3"/>
        <v>0</v>
      </c>
    </row>
    <row r="33" spans="1:12" s="60" customFormat="1" x14ac:dyDescent="0.35">
      <c r="A33" s="21"/>
      <c r="B33" s="45" t="s">
        <v>51</v>
      </c>
      <c r="C33" s="46" t="s">
        <v>38</v>
      </c>
      <c r="D33" s="51"/>
      <c r="E33" s="9">
        <v>208</v>
      </c>
      <c r="F33" s="9"/>
      <c r="G33" s="85">
        <f t="shared" si="0"/>
        <v>0</v>
      </c>
      <c r="H33" s="9"/>
      <c r="I33" s="85">
        <f t="shared" si="1"/>
        <v>0</v>
      </c>
      <c r="J33" s="9"/>
      <c r="K33" s="100">
        <f t="shared" si="2"/>
        <v>0</v>
      </c>
      <c r="L33" s="85">
        <f t="shared" si="3"/>
        <v>0</v>
      </c>
    </row>
    <row r="34" spans="1:12" s="60" customFormat="1" x14ac:dyDescent="0.35">
      <c r="A34" s="21"/>
      <c r="B34" s="45" t="s">
        <v>52</v>
      </c>
      <c r="C34" s="46" t="s">
        <v>53</v>
      </c>
      <c r="D34" s="51"/>
      <c r="E34" s="9">
        <f>0.4*0.5*0.5*40</f>
        <v>4</v>
      </c>
      <c r="F34" s="9"/>
      <c r="G34" s="85">
        <f t="shared" si="0"/>
        <v>0</v>
      </c>
      <c r="H34" s="9"/>
      <c r="I34" s="85">
        <f t="shared" si="1"/>
        <v>0</v>
      </c>
      <c r="J34" s="9"/>
      <c r="K34" s="100">
        <f t="shared" si="2"/>
        <v>0</v>
      </c>
      <c r="L34" s="85">
        <f t="shared" si="3"/>
        <v>0</v>
      </c>
    </row>
    <row r="35" spans="1:12" s="60" customFormat="1" x14ac:dyDescent="0.35">
      <c r="A35" s="21"/>
      <c r="B35" s="45" t="s">
        <v>84</v>
      </c>
      <c r="C35" s="46" t="s">
        <v>34</v>
      </c>
      <c r="D35" s="51"/>
      <c r="E35" s="9">
        <f>95*2*1.1</f>
        <v>209.00000000000003</v>
      </c>
      <c r="F35" s="9"/>
      <c r="G35" s="85">
        <f t="shared" si="0"/>
        <v>0</v>
      </c>
      <c r="H35" s="9"/>
      <c r="I35" s="85">
        <f t="shared" si="1"/>
        <v>0</v>
      </c>
      <c r="J35" s="9"/>
      <c r="K35" s="100">
        <f t="shared" si="2"/>
        <v>0</v>
      </c>
      <c r="L35" s="85">
        <f t="shared" si="3"/>
        <v>0</v>
      </c>
    </row>
    <row r="36" spans="1:12" s="60" customFormat="1" x14ac:dyDescent="0.35">
      <c r="A36" s="21"/>
      <c r="B36" s="45" t="s">
        <v>85</v>
      </c>
      <c r="C36" s="46" t="s">
        <v>7</v>
      </c>
      <c r="D36" s="51">
        <v>0.2</v>
      </c>
      <c r="E36" s="9">
        <f>E29*0.2</f>
        <v>19</v>
      </c>
      <c r="F36" s="9"/>
      <c r="G36" s="85">
        <f t="shared" si="0"/>
        <v>0</v>
      </c>
      <c r="H36" s="9"/>
      <c r="I36" s="85">
        <f t="shared" si="1"/>
        <v>0</v>
      </c>
      <c r="J36" s="9"/>
      <c r="K36" s="100">
        <f t="shared" si="2"/>
        <v>0</v>
      </c>
      <c r="L36" s="85">
        <f t="shared" si="3"/>
        <v>0</v>
      </c>
    </row>
    <row r="37" spans="1:12" s="60" customFormat="1" x14ac:dyDescent="0.35">
      <c r="A37" s="21"/>
      <c r="B37" s="45" t="s">
        <v>54</v>
      </c>
      <c r="C37" s="46" t="s">
        <v>18</v>
      </c>
      <c r="D37" s="51"/>
      <c r="E37" s="9">
        <v>9</v>
      </c>
      <c r="F37" s="9"/>
      <c r="G37" s="85">
        <f t="shared" si="0"/>
        <v>0</v>
      </c>
      <c r="H37" s="9"/>
      <c r="I37" s="85">
        <f t="shared" si="1"/>
        <v>0</v>
      </c>
      <c r="J37" s="9"/>
      <c r="K37" s="100">
        <f t="shared" si="2"/>
        <v>0</v>
      </c>
      <c r="L37" s="85">
        <f t="shared" si="3"/>
        <v>0</v>
      </c>
    </row>
    <row r="38" spans="1:12" s="60" customFormat="1" x14ac:dyDescent="0.35">
      <c r="A38" s="21"/>
      <c r="B38" s="45" t="s">
        <v>86</v>
      </c>
      <c r="C38" s="46" t="s">
        <v>7</v>
      </c>
      <c r="D38" s="51">
        <v>0.1</v>
      </c>
      <c r="E38" s="9">
        <f>E29*0.1</f>
        <v>9.5</v>
      </c>
      <c r="F38" s="9"/>
      <c r="G38" s="85">
        <f t="shared" si="0"/>
        <v>0</v>
      </c>
      <c r="H38" s="9"/>
      <c r="I38" s="85">
        <f t="shared" si="1"/>
        <v>0</v>
      </c>
      <c r="J38" s="9"/>
      <c r="K38" s="100">
        <f t="shared" si="2"/>
        <v>0</v>
      </c>
      <c r="L38" s="85">
        <f t="shared" si="3"/>
        <v>0</v>
      </c>
    </row>
    <row r="39" spans="1:12" s="60" customFormat="1" x14ac:dyDescent="0.35">
      <c r="A39" s="21"/>
      <c r="B39" s="45" t="s">
        <v>87</v>
      </c>
      <c r="C39" s="46" t="s">
        <v>6</v>
      </c>
      <c r="D39" s="51">
        <v>7.1999999999999995E-2</v>
      </c>
      <c r="E39" s="9">
        <f>0.072*E29</f>
        <v>6.84</v>
      </c>
      <c r="F39" s="9"/>
      <c r="G39" s="85">
        <f t="shared" si="0"/>
        <v>0</v>
      </c>
      <c r="H39" s="9"/>
      <c r="I39" s="85">
        <f t="shared" si="1"/>
        <v>0</v>
      </c>
      <c r="J39" s="9"/>
      <c r="K39" s="100">
        <f t="shared" si="2"/>
        <v>0</v>
      </c>
      <c r="L39" s="85">
        <f t="shared" si="3"/>
        <v>0</v>
      </c>
    </row>
    <row r="40" spans="1:12" s="60" customFormat="1" ht="40.5" x14ac:dyDescent="0.35">
      <c r="A40" s="21">
        <v>8</v>
      </c>
      <c r="B40" s="36" t="s">
        <v>240</v>
      </c>
      <c r="C40" s="112" t="s">
        <v>19</v>
      </c>
      <c r="D40" s="105"/>
      <c r="E40" s="111">
        <v>1</v>
      </c>
      <c r="F40" s="9"/>
      <c r="G40" s="85">
        <f t="shared" si="0"/>
        <v>0</v>
      </c>
      <c r="H40" s="9"/>
      <c r="I40" s="85">
        <f t="shared" si="1"/>
        <v>0</v>
      </c>
      <c r="J40" s="9"/>
      <c r="K40" s="100">
        <f t="shared" si="2"/>
        <v>0</v>
      </c>
      <c r="L40" s="85">
        <f t="shared" si="3"/>
        <v>0</v>
      </c>
    </row>
    <row r="41" spans="1:12" s="60" customFormat="1" ht="27" x14ac:dyDescent="0.35">
      <c r="A41" s="109">
        <v>9</v>
      </c>
      <c r="B41" s="113" t="s">
        <v>242</v>
      </c>
      <c r="C41" s="108" t="s">
        <v>241</v>
      </c>
      <c r="D41" s="114"/>
      <c r="E41" s="107">
        <v>1000</v>
      </c>
      <c r="F41" s="77"/>
      <c r="G41" s="85">
        <f t="shared" si="0"/>
        <v>0</v>
      </c>
      <c r="H41" s="103"/>
      <c r="I41" s="85">
        <f t="shared" si="1"/>
        <v>0</v>
      </c>
      <c r="J41" s="103"/>
      <c r="K41" s="100">
        <f t="shared" si="2"/>
        <v>0</v>
      </c>
      <c r="L41" s="85">
        <f t="shared" si="3"/>
        <v>0</v>
      </c>
    </row>
    <row r="42" spans="1:12" s="60" customFormat="1" ht="20.149999999999999" customHeight="1" x14ac:dyDescent="0.35">
      <c r="A42" s="68"/>
      <c r="B42" s="44" t="s">
        <v>55</v>
      </c>
      <c r="C42" s="29"/>
      <c r="D42" s="29"/>
      <c r="E42" s="4"/>
      <c r="F42" s="9"/>
      <c r="G42" s="85">
        <f t="shared" si="0"/>
        <v>0</v>
      </c>
      <c r="H42" s="4"/>
      <c r="I42" s="85">
        <f t="shared" si="1"/>
        <v>0</v>
      </c>
      <c r="J42" s="4"/>
      <c r="K42" s="100">
        <f t="shared" si="2"/>
        <v>0</v>
      </c>
      <c r="L42" s="85">
        <f t="shared" si="3"/>
        <v>0</v>
      </c>
    </row>
    <row r="43" spans="1:12" s="60" customFormat="1" ht="45" customHeight="1" x14ac:dyDescent="0.35">
      <c r="A43" s="68">
        <v>10</v>
      </c>
      <c r="B43" s="36" t="s">
        <v>112</v>
      </c>
      <c r="C43" s="37" t="s">
        <v>56</v>
      </c>
      <c r="D43" s="37"/>
      <c r="E43" s="38">
        <v>475</v>
      </c>
      <c r="F43" s="9"/>
      <c r="G43" s="85">
        <f t="shared" si="0"/>
        <v>0</v>
      </c>
      <c r="H43" s="4"/>
      <c r="I43" s="85">
        <f t="shared" si="1"/>
        <v>0</v>
      </c>
      <c r="J43" s="4"/>
      <c r="K43" s="100">
        <f t="shared" si="2"/>
        <v>0</v>
      </c>
      <c r="L43" s="85">
        <f t="shared" si="3"/>
        <v>0</v>
      </c>
    </row>
    <row r="44" spans="1:12" s="60" customFormat="1" x14ac:dyDescent="0.35">
      <c r="A44" s="68"/>
      <c r="B44" s="45" t="s">
        <v>49</v>
      </c>
      <c r="C44" s="46" t="s">
        <v>24</v>
      </c>
      <c r="D44" s="69">
        <v>1</v>
      </c>
      <c r="E44" s="4">
        <f>E43*D44</f>
        <v>475</v>
      </c>
      <c r="F44" s="9"/>
      <c r="G44" s="85">
        <f t="shared" si="0"/>
        <v>0</v>
      </c>
      <c r="H44" s="4"/>
      <c r="I44" s="85">
        <f t="shared" si="1"/>
        <v>0</v>
      </c>
      <c r="J44" s="4"/>
      <c r="K44" s="100">
        <f t="shared" si="2"/>
        <v>0</v>
      </c>
      <c r="L44" s="85">
        <f t="shared" si="3"/>
        <v>0</v>
      </c>
    </row>
    <row r="45" spans="1:12" s="60" customFormat="1" x14ac:dyDescent="0.35">
      <c r="A45" s="68"/>
      <c r="B45" s="70" t="s">
        <v>118</v>
      </c>
      <c r="C45" s="5" t="s">
        <v>46</v>
      </c>
      <c r="D45" s="5">
        <v>2.9499999999999998E-2</v>
      </c>
      <c r="E45" s="25">
        <f>E43*D45</f>
        <v>14.012499999999999</v>
      </c>
      <c r="F45" s="9"/>
      <c r="G45" s="85">
        <f t="shared" si="0"/>
        <v>0</v>
      </c>
      <c r="H45" s="4"/>
      <c r="I45" s="85">
        <f t="shared" si="1"/>
        <v>0</v>
      </c>
      <c r="J45" s="4"/>
      <c r="K45" s="100">
        <f t="shared" si="2"/>
        <v>0</v>
      </c>
      <c r="L45" s="85">
        <f t="shared" si="3"/>
        <v>0</v>
      </c>
    </row>
    <row r="46" spans="1:12" s="60" customFormat="1" x14ac:dyDescent="0.35">
      <c r="A46" s="68"/>
      <c r="B46" s="70" t="s">
        <v>57</v>
      </c>
      <c r="C46" s="5" t="s">
        <v>6</v>
      </c>
      <c r="D46" s="5">
        <v>2.0999999999999999E-3</v>
      </c>
      <c r="E46" s="25">
        <f>E43*D46</f>
        <v>0.99749999999999994</v>
      </c>
      <c r="F46" s="9"/>
      <c r="G46" s="85">
        <f t="shared" si="0"/>
        <v>0</v>
      </c>
      <c r="H46" s="4"/>
      <c r="I46" s="85">
        <f t="shared" si="1"/>
        <v>0</v>
      </c>
      <c r="J46" s="4"/>
      <c r="K46" s="100">
        <f t="shared" si="2"/>
        <v>0</v>
      </c>
      <c r="L46" s="85">
        <f t="shared" si="3"/>
        <v>0</v>
      </c>
    </row>
    <row r="47" spans="1:12" s="60" customFormat="1" ht="27" x14ac:dyDescent="0.35">
      <c r="A47" s="71">
        <v>11</v>
      </c>
      <c r="B47" s="36" t="s">
        <v>58</v>
      </c>
      <c r="C47" s="37" t="s">
        <v>56</v>
      </c>
      <c r="D47" s="37"/>
      <c r="E47" s="38">
        <v>25</v>
      </c>
      <c r="F47" s="9"/>
      <c r="G47" s="85">
        <f t="shared" si="0"/>
        <v>0</v>
      </c>
      <c r="H47" s="4"/>
      <c r="I47" s="85">
        <f t="shared" si="1"/>
        <v>0</v>
      </c>
      <c r="J47" s="4"/>
      <c r="K47" s="100">
        <f t="shared" si="2"/>
        <v>0</v>
      </c>
      <c r="L47" s="85">
        <f t="shared" si="3"/>
        <v>0</v>
      </c>
    </row>
    <row r="48" spans="1:12" s="60" customFormat="1" x14ac:dyDescent="0.35">
      <c r="A48" s="71">
        <v>12</v>
      </c>
      <c r="B48" s="6" t="s">
        <v>117</v>
      </c>
      <c r="C48" s="5" t="s">
        <v>5</v>
      </c>
      <c r="D48" s="4">
        <v>1.95</v>
      </c>
      <c r="E48" s="4">
        <f>(E43+E47)*D48</f>
        <v>975</v>
      </c>
      <c r="F48" s="9"/>
      <c r="G48" s="85">
        <f t="shared" si="0"/>
        <v>0</v>
      </c>
      <c r="H48" s="4"/>
      <c r="I48" s="85">
        <f t="shared" si="1"/>
        <v>0</v>
      </c>
      <c r="J48" s="4"/>
      <c r="K48" s="100">
        <f t="shared" si="2"/>
        <v>0</v>
      </c>
      <c r="L48" s="85">
        <f t="shared" si="3"/>
        <v>0</v>
      </c>
    </row>
    <row r="49" spans="1:12" s="60" customFormat="1" x14ac:dyDescent="0.35">
      <c r="A49" s="68">
        <v>13</v>
      </c>
      <c r="B49" s="65" t="s">
        <v>59</v>
      </c>
      <c r="C49" s="66" t="s">
        <v>60</v>
      </c>
      <c r="D49" s="72"/>
      <c r="E49" s="38">
        <f>(E43+E47)/1000</f>
        <v>0.5</v>
      </c>
      <c r="F49" s="9"/>
      <c r="G49" s="85">
        <f t="shared" si="0"/>
        <v>0</v>
      </c>
      <c r="H49" s="4"/>
      <c r="I49" s="85">
        <f t="shared" si="1"/>
        <v>0</v>
      </c>
      <c r="J49" s="4"/>
      <c r="K49" s="100">
        <f t="shared" si="2"/>
        <v>0</v>
      </c>
      <c r="L49" s="85">
        <f t="shared" si="3"/>
        <v>0</v>
      </c>
    </row>
    <row r="50" spans="1:12" s="60" customFormat="1" x14ac:dyDescent="0.35">
      <c r="A50" s="68"/>
      <c r="B50" s="45" t="s">
        <v>49</v>
      </c>
      <c r="C50" s="46" t="s">
        <v>24</v>
      </c>
      <c r="D50" s="69">
        <v>1000</v>
      </c>
      <c r="E50" s="4">
        <f>E49*D50</f>
        <v>500</v>
      </c>
      <c r="F50" s="9"/>
      <c r="G50" s="85">
        <f t="shared" si="0"/>
        <v>0</v>
      </c>
      <c r="H50" s="4"/>
      <c r="I50" s="85">
        <f t="shared" si="1"/>
        <v>0</v>
      </c>
      <c r="J50" s="4"/>
      <c r="K50" s="100">
        <f t="shared" si="2"/>
        <v>0</v>
      </c>
      <c r="L50" s="85">
        <f t="shared" si="3"/>
        <v>0</v>
      </c>
    </row>
    <row r="51" spans="1:12" s="60" customFormat="1" x14ac:dyDescent="0.35">
      <c r="A51" s="68"/>
      <c r="B51" s="45" t="s">
        <v>119</v>
      </c>
      <c r="C51" s="46" t="s">
        <v>46</v>
      </c>
      <c r="D51" s="73">
        <v>3.62</v>
      </c>
      <c r="E51" s="4">
        <f>E49*D51</f>
        <v>1.81</v>
      </c>
      <c r="F51" s="9"/>
      <c r="G51" s="85">
        <f t="shared" si="0"/>
        <v>0</v>
      </c>
      <c r="H51" s="4"/>
      <c r="I51" s="85">
        <f t="shared" si="1"/>
        <v>0</v>
      </c>
      <c r="J51" s="4"/>
      <c r="K51" s="100">
        <f t="shared" si="2"/>
        <v>0</v>
      </c>
      <c r="L51" s="85">
        <f t="shared" si="3"/>
        <v>0</v>
      </c>
    </row>
    <row r="52" spans="1:12" s="60" customFormat="1" x14ac:dyDescent="0.35">
      <c r="A52" s="68"/>
      <c r="B52" s="45" t="s">
        <v>57</v>
      </c>
      <c r="C52" s="46" t="s">
        <v>6</v>
      </c>
      <c r="D52" s="73">
        <v>0.18</v>
      </c>
      <c r="E52" s="4">
        <f>E49*D52</f>
        <v>0.09</v>
      </c>
      <c r="F52" s="9"/>
      <c r="G52" s="85">
        <f t="shared" si="0"/>
        <v>0</v>
      </c>
      <c r="H52" s="4"/>
      <c r="I52" s="85">
        <f t="shared" si="1"/>
        <v>0</v>
      </c>
      <c r="J52" s="4"/>
      <c r="K52" s="100">
        <f t="shared" si="2"/>
        <v>0</v>
      </c>
      <c r="L52" s="85">
        <f t="shared" si="3"/>
        <v>0</v>
      </c>
    </row>
    <row r="53" spans="1:12" s="60" customFormat="1" x14ac:dyDescent="0.35">
      <c r="A53" s="61"/>
      <c r="B53" s="43" t="s">
        <v>61</v>
      </c>
      <c r="C53" s="5"/>
      <c r="D53" s="5"/>
      <c r="E53" s="4"/>
      <c r="F53" s="9"/>
      <c r="G53" s="85">
        <f t="shared" si="0"/>
        <v>0</v>
      </c>
      <c r="H53" s="4"/>
      <c r="I53" s="85">
        <f t="shared" si="1"/>
        <v>0</v>
      </c>
      <c r="J53" s="4"/>
      <c r="K53" s="100">
        <f t="shared" si="2"/>
        <v>0</v>
      </c>
      <c r="L53" s="85">
        <f t="shared" si="3"/>
        <v>0</v>
      </c>
    </row>
    <row r="54" spans="1:12" s="60" customFormat="1" ht="45" customHeight="1" x14ac:dyDescent="0.35">
      <c r="A54" s="68">
        <v>14</v>
      </c>
      <c r="B54" s="36" t="s">
        <v>121</v>
      </c>
      <c r="C54" s="28" t="s">
        <v>23</v>
      </c>
      <c r="D54" s="28"/>
      <c r="E54" s="41">
        <v>430</v>
      </c>
      <c r="F54" s="9"/>
      <c r="G54" s="85">
        <f t="shared" si="0"/>
        <v>0</v>
      </c>
      <c r="H54" s="4"/>
      <c r="I54" s="85">
        <f t="shared" si="1"/>
        <v>0</v>
      </c>
      <c r="J54" s="4"/>
      <c r="K54" s="100">
        <f t="shared" si="2"/>
        <v>0</v>
      </c>
      <c r="L54" s="85">
        <f t="shared" si="3"/>
        <v>0</v>
      </c>
    </row>
    <row r="55" spans="1:12" s="60" customFormat="1" x14ac:dyDescent="0.35">
      <c r="A55" s="68"/>
      <c r="B55" s="45" t="s">
        <v>49</v>
      </c>
      <c r="C55" s="46" t="s">
        <v>40</v>
      </c>
      <c r="D55" s="69">
        <v>1</v>
      </c>
      <c r="E55" s="4">
        <f>E54*D55</f>
        <v>430</v>
      </c>
      <c r="F55" s="9"/>
      <c r="G55" s="85">
        <f t="shared" si="0"/>
        <v>0</v>
      </c>
      <c r="H55" s="4"/>
      <c r="I55" s="85">
        <f t="shared" si="1"/>
        <v>0</v>
      </c>
      <c r="J55" s="4"/>
      <c r="K55" s="100">
        <f t="shared" si="2"/>
        <v>0</v>
      </c>
      <c r="L55" s="85">
        <f t="shared" si="3"/>
        <v>0</v>
      </c>
    </row>
    <row r="56" spans="1:12" s="60" customFormat="1" x14ac:dyDescent="0.35">
      <c r="A56" s="68"/>
      <c r="B56" s="10" t="s">
        <v>62</v>
      </c>
      <c r="C56" s="5" t="s">
        <v>6</v>
      </c>
      <c r="D56" s="5">
        <v>1.4999999999999999E-2</v>
      </c>
      <c r="E56" s="4">
        <f>D56*E54</f>
        <v>6.45</v>
      </c>
      <c r="F56" s="9"/>
      <c r="G56" s="85">
        <f t="shared" si="0"/>
        <v>0</v>
      </c>
      <c r="H56" s="4"/>
      <c r="I56" s="85">
        <f t="shared" si="1"/>
        <v>0</v>
      </c>
      <c r="J56" s="4"/>
      <c r="K56" s="100">
        <f t="shared" si="2"/>
        <v>0</v>
      </c>
      <c r="L56" s="85">
        <f t="shared" si="3"/>
        <v>0</v>
      </c>
    </row>
    <row r="57" spans="1:12" s="60" customFormat="1" x14ac:dyDescent="0.35">
      <c r="A57" s="68"/>
      <c r="B57" s="6" t="s">
        <v>63</v>
      </c>
      <c r="C57" s="15" t="s">
        <v>7</v>
      </c>
      <c r="D57" s="9">
        <v>2.4</v>
      </c>
      <c r="E57" s="9">
        <f>D57*E54</f>
        <v>1032</v>
      </c>
      <c r="F57" s="9"/>
      <c r="G57" s="85">
        <f t="shared" si="0"/>
        <v>0</v>
      </c>
      <c r="H57" s="9"/>
      <c r="I57" s="85">
        <f t="shared" si="1"/>
        <v>0</v>
      </c>
      <c r="J57" s="9"/>
      <c r="K57" s="100">
        <f t="shared" si="2"/>
        <v>0</v>
      </c>
      <c r="L57" s="85">
        <f t="shared" si="3"/>
        <v>0</v>
      </c>
    </row>
    <row r="58" spans="1:12" s="60" customFormat="1" x14ac:dyDescent="0.35">
      <c r="A58" s="68"/>
      <c r="B58" s="10" t="s">
        <v>64</v>
      </c>
      <c r="C58" s="5" t="s">
        <v>6</v>
      </c>
      <c r="D58" s="5">
        <v>2.2800000000000001E-2</v>
      </c>
      <c r="E58" s="4">
        <f>D58*E54</f>
        <v>9.8040000000000003</v>
      </c>
      <c r="F58" s="9"/>
      <c r="G58" s="85">
        <f t="shared" si="0"/>
        <v>0</v>
      </c>
      <c r="H58" s="4"/>
      <c r="I58" s="85">
        <f t="shared" si="1"/>
        <v>0</v>
      </c>
      <c r="J58" s="4"/>
      <c r="K58" s="100">
        <f t="shared" si="2"/>
        <v>0</v>
      </c>
      <c r="L58" s="85">
        <f t="shared" si="3"/>
        <v>0</v>
      </c>
    </row>
    <row r="59" spans="1:12" s="60" customFormat="1" ht="40.5" x14ac:dyDescent="0.35">
      <c r="A59" s="68">
        <v>15</v>
      </c>
      <c r="B59" s="36" t="s">
        <v>245</v>
      </c>
      <c r="C59" s="37" t="s">
        <v>56</v>
      </c>
      <c r="D59" s="37"/>
      <c r="E59" s="38">
        <v>375</v>
      </c>
      <c r="F59" s="9"/>
      <c r="G59" s="85">
        <f t="shared" si="0"/>
        <v>0</v>
      </c>
      <c r="H59" s="4"/>
      <c r="I59" s="85">
        <f t="shared" si="1"/>
        <v>0</v>
      </c>
      <c r="J59" s="4"/>
      <c r="K59" s="100">
        <f t="shared" si="2"/>
        <v>0</v>
      </c>
      <c r="L59" s="85">
        <f t="shared" si="3"/>
        <v>0</v>
      </c>
    </row>
    <row r="60" spans="1:12" s="60" customFormat="1" x14ac:dyDescent="0.35">
      <c r="A60" s="68"/>
      <c r="B60" s="45" t="s">
        <v>49</v>
      </c>
      <c r="C60" s="46" t="s">
        <v>24</v>
      </c>
      <c r="D60" s="69">
        <v>1</v>
      </c>
      <c r="E60" s="4">
        <f>E59*D60</f>
        <v>375</v>
      </c>
      <c r="F60" s="9"/>
      <c r="G60" s="85">
        <f t="shared" si="0"/>
        <v>0</v>
      </c>
      <c r="H60" s="4"/>
      <c r="I60" s="85">
        <f t="shared" si="1"/>
        <v>0</v>
      </c>
      <c r="J60" s="4"/>
      <c r="K60" s="100">
        <f t="shared" si="2"/>
        <v>0</v>
      </c>
      <c r="L60" s="85">
        <f t="shared" si="3"/>
        <v>0</v>
      </c>
    </row>
    <row r="61" spans="1:12" s="60" customFormat="1" x14ac:dyDescent="0.35">
      <c r="A61" s="68"/>
      <c r="B61" s="70" t="s">
        <v>118</v>
      </c>
      <c r="C61" s="5" t="s">
        <v>46</v>
      </c>
      <c r="D61" s="5">
        <v>2.9499999999999998E-2</v>
      </c>
      <c r="E61" s="25">
        <f>E59*D61</f>
        <v>11.0625</v>
      </c>
      <c r="F61" s="9"/>
      <c r="G61" s="85">
        <f t="shared" si="0"/>
        <v>0</v>
      </c>
      <c r="H61" s="4"/>
      <c r="I61" s="85">
        <f t="shared" si="1"/>
        <v>0</v>
      </c>
      <c r="J61" s="4"/>
      <c r="K61" s="100">
        <f t="shared" si="2"/>
        <v>0</v>
      </c>
      <c r="L61" s="85">
        <f t="shared" si="3"/>
        <v>0</v>
      </c>
    </row>
    <row r="62" spans="1:12" s="60" customFormat="1" x14ac:dyDescent="0.35">
      <c r="A62" s="68"/>
      <c r="B62" s="70" t="s">
        <v>57</v>
      </c>
      <c r="C62" s="5" t="s">
        <v>6</v>
      </c>
      <c r="D62" s="5">
        <v>2.0999999999999999E-3</v>
      </c>
      <c r="E62" s="25">
        <f>E59*D62</f>
        <v>0.78749999999999998</v>
      </c>
      <c r="F62" s="9"/>
      <c r="G62" s="85">
        <f t="shared" si="0"/>
        <v>0</v>
      </c>
      <c r="H62" s="4"/>
      <c r="I62" s="85">
        <f t="shared" si="1"/>
        <v>0</v>
      </c>
      <c r="J62" s="4"/>
      <c r="K62" s="100">
        <f t="shared" si="2"/>
        <v>0</v>
      </c>
      <c r="L62" s="85">
        <f t="shared" si="3"/>
        <v>0</v>
      </c>
    </row>
    <row r="63" spans="1:12" s="60" customFormat="1" x14ac:dyDescent="0.35">
      <c r="A63" s="68"/>
      <c r="B63" s="10" t="s">
        <v>246</v>
      </c>
      <c r="C63" s="5" t="s">
        <v>31</v>
      </c>
      <c r="D63" s="5">
        <v>1.22</v>
      </c>
      <c r="E63" s="4">
        <f>E59*D63</f>
        <v>457.5</v>
      </c>
      <c r="F63" s="125"/>
      <c r="G63" s="85">
        <f t="shared" si="0"/>
        <v>0</v>
      </c>
      <c r="H63" s="4"/>
      <c r="I63" s="85">
        <f t="shared" si="1"/>
        <v>0</v>
      </c>
      <c r="J63" s="4"/>
      <c r="K63" s="100">
        <f t="shared" si="2"/>
        <v>0</v>
      </c>
      <c r="L63" s="85">
        <f t="shared" si="3"/>
        <v>0</v>
      </c>
    </row>
    <row r="64" spans="1:12" s="60" customFormat="1" x14ac:dyDescent="0.35">
      <c r="A64" s="68"/>
      <c r="B64" s="10" t="s">
        <v>247</v>
      </c>
      <c r="C64" s="5" t="s">
        <v>5</v>
      </c>
      <c r="D64" s="4">
        <v>1.6</v>
      </c>
      <c r="E64" s="4">
        <f>D64*E63</f>
        <v>732</v>
      </c>
      <c r="F64" s="9"/>
      <c r="G64" s="85">
        <f t="shared" si="0"/>
        <v>0</v>
      </c>
      <c r="H64" s="4"/>
      <c r="I64" s="85">
        <f t="shared" si="1"/>
        <v>0</v>
      </c>
      <c r="J64" s="4"/>
      <c r="K64" s="100">
        <f t="shared" si="2"/>
        <v>0</v>
      </c>
      <c r="L64" s="85">
        <f t="shared" si="3"/>
        <v>0</v>
      </c>
    </row>
    <row r="65" spans="1:12" s="60" customFormat="1" x14ac:dyDescent="0.35">
      <c r="A65" s="68"/>
      <c r="B65" s="10" t="s">
        <v>65</v>
      </c>
      <c r="C65" s="5" t="s">
        <v>46</v>
      </c>
      <c r="D65" s="5">
        <v>0.13</v>
      </c>
      <c r="E65" s="4">
        <f>E59*D65</f>
        <v>48.75</v>
      </c>
      <c r="F65" s="9"/>
      <c r="G65" s="85">
        <f t="shared" si="0"/>
        <v>0</v>
      </c>
      <c r="H65" s="4"/>
      <c r="I65" s="85">
        <f t="shared" si="1"/>
        <v>0</v>
      </c>
      <c r="J65" s="4"/>
      <c r="K65" s="100">
        <f t="shared" si="2"/>
        <v>0</v>
      </c>
      <c r="L65" s="85">
        <f t="shared" si="3"/>
        <v>0</v>
      </c>
    </row>
    <row r="66" spans="1:12" s="60" customFormat="1" ht="15" customHeight="1" x14ac:dyDescent="0.35">
      <c r="A66" s="68"/>
      <c r="B66" s="6" t="s">
        <v>66</v>
      </c>
      <c r="C66" s="8" t="s">
        <v>46</v>
      </c>
      <c r="D66" s="4">
        <f>0.13/2</f>
        <v>6.5000000000000002E-2</v>
      </c>
      <c r="E66" s="4">
        <f>E59*D66</f>
        <v>24.375</v>
      </c>
      <c r="F66" s="4"/>
      <c r="G66" s="85">
        <f t="shared" si="0"/>
        <v>0</v>
      </c>
      <c r="H66" s="4"/>
      <c r="I66" s="85">
        <f t="shared" si="1"/>
        <v>0</v>
      </c>
      <c r="J66" s="4"/>
      <c r="K66" s="100">
        <f t="shared" si="2"/>
        <v>0</v>
      </c>
      <c r="L66" s="85">
        <f t="shared" si="3"/>
        <v>0</v>
      </c>
    </row>
    <row r="67" spans="1:12" s="60" customFormat="1" ht="20.149999999999999" customHeight="1" x14ac:dyDescent="0.35">
      <c r="A67" s="68"/>
      <c r="B67" s="44" t="s">
        <v>67</v>
      </c>
      <c r="C67" s="29"/>
      <c r="D67" s="5"/>
      <c r="E67" s="4"/>
      <c r="F67" s="9"/>
      <c r="G67" s="85">
        <f t="shared" si="0"/>
        <v>0</v>
      </c>
      <c r="H67" s="4"/>
      <c r="I67" s="85">
        <f t="shared" si="1"/>
        <v>0</v>
      </c>
      <c r="J67" s="4"/>
      <c r="K67" s="100">
        <f t="shared" si="2"/>
        <v>0</v>
      </c>
      <c r="L67" s="85">
        <f t="shared" si="3"/>
        <v>0</v>
      </c>
    </row>
    <row r="68" spans="1:12" s="60" customFormat="1" ht="30" customHeight="1" x14ac:dyDescent="0.35">
      <c r="A68" s="26"/>
      <c r="B68" s="43" t="s">
        <v>104</v>
      </c>
      <c r="C68" s="5"/>
      <c r="D68" s="5"/>
      <c r="E68" s="4"/>
      <c r="F68" s="9"/>
      <c r="G68" s="85">
        <f t="shared" si="0"/>
        <v>0</v>
      </c>
      <c r="H68" s="4"/>
      <c r="I68" s="85">
        <f t="shared" si="1"/>
        <v>0</v>
      </c>
      <c r="J68" s="4"/>
      <c r="K68" s="100">
        <f t="shared" si="2"/>
        <v>0</v>
      </c>
      <c r="L68" s="85">
        <f t="shared" si="3"/>
        <v>0</v>
      </c>
    </row>
    <row r="69" spans="1:12" s="60" customFormat="1" ht="27" x14ac:dyDescent="0.35">
      <c r="A69" s="68">
        <v>16</v>
      </c>
      <c r="B69" s="36" t="s">
        <v>113</v>
      </c>
      <c r="C69" s="40" t="s">
        <v>15</v>
      </c>
      <c r="D69" s="40"/>
      <c r="E69" s="38">
        <v>23</v>
      </c>
      <c r="F69" s="9"/>
      <c r="G69" s="85">
        <f t="shared" si="0"/>
        <v>0</v>
      </c>
      <c r="H69" s="4"/>
      <c r="I69" s="85">
        <f t="shared" si="1"/>
        <v>0</v>
      </c>
      <c r="J69" s="4"/>
      <c r="K69" s="100">
        <f t="shared" si="2"/>
        <v>0</v>
      </c>
      <c r="L69" s="85">
        <f t="shared" si="3"/>
        <v>0</v>
      </c>
    </row>
    <row r="70" spans="1:12" s="60" customFormat="1" x14ac:dyDescent="0.35">
      <c r="A70" s="68"/>
      <c r="B70" s="45" t="s">
        <v>39</v>
      </c>
      <c r="C70" s="46" t="s">
        <v>24</v>
      </c>
      <c r="D70" s="4">
        <v>1</v>
      </c>
      <c r="E70" s="4">
        <f>E69*D70</f>
        <v>23</v>
      </c>
      <c r="F70" s="4"/>
      <c r="G70" s="85">
        <f t="shared" si="0"/>
        <v>0</v>
      </c>
      <c r="H70" s="4"/>
      <c r="I70" s="85">
        <f t="shared" si="1"/>
        <v>0</v>
      </c>
      <c r="J70" s="4"/>
      <c r="K70" s="100">
        <f t="shared" si="2"/>
        <v>0</v>
      </c>
      <c r="L70" s="85">
        <f t="shared" si="3"/>
        <v>0</v>
      </c>
    </row>
    <row r="71" spans="1:12" s="60" customFormat="1" x14ac:dyDescent="0.35">
      <c r="A71" s="68"/>
      <c r="B71" s="10" t="s">
        <v>25</v>
      </c>
      <c r="C71" s="5" t="s">
        <v>6</v>
      </c>
      <c r="D71" s="5">
        <v>0.37</v>
      </c>
      <c r="E71" s="4">
        <f>E69*D71</f>
        <v>8.51</v>
      </c>
      <c r="F71" s="9"/>
      <c r="G71" s="85">
        <f t="shared" si="0"/>
        <v>0</v>
      </c>
      <c r="H71" s="4"/>
      <c r="I71" s="85">
        <f t="shared" si="1"/>
        <v>0</v>
      </c>
      <c r="J71" s="4"/>
      <c r="K71" s="100">
        <f t="shared" si="2"/>
        <v>0</v>
      </c>
      <c r="L71" s="85">
        <f t="shared" si="3"/>
        <v>0</v>
      </c>
    </row>
    <row r="72" spans="1:12" s="60" customFormat="1" x14ac:dyDescent="0.35">
      <c r="A72" s="68"/>
      <c r="B72" s="10" t="s">
        <v>73</v>
      </c>
      <c r="C72" s="5" t="s">
        <v>16</v>
      </c>
      <c r="D72" s="5">
        <v>1.22</v>
      </c>
      <c r="E72" s="4">
        <f>E69*D72</f>
        <v>28.06</v>
      </c>
      <c r="F72" s="125"/>
      <c r="G72" s="85">
        <f t="shared" si="0"/>
        <v>0</v>
      </c>
      <c r="H72" s="4"/>
      <c r="I72" s="85">
        <f t="shared" si="1"/>
        <v>0</v>
      </c>
      <c r="J72" s="4"/>
      <c r="K72" s="100">
        <f t="shared" si="2"/>
        <v>0</v>
      </c>
      <c r="L72" s="85">
        <f t="shared" si="3"/>
        <v>0</v>
      </c>
    </row>
    <row r="73" spans="1:12" s="60" customFormat="1" x14ac:dyDescent="0.35">
      <c r="A73" s="68"/>
      <c r="B73" s="10" t="s">
        <v>92</v>
      </c>
      <c r="C73" s="5" t="s">
        <v>5</v>
      </c>
      <c r="D73" s="4">
        <v>1.6</v>
      </c>
      <c r="E73" s="4">
        <f>D73*E72</f>
        <v>44.896000000000001</v>
      </c>
      <c r="F73" s="9"/>
      <c r="G73" s="85">
        <f t="shared" si="0"/>
        <v>0</v>
      </c>
      <c r="H73" s="4"/>
      <c r="I73" s="85">
        <f t="shared" si="1"/>
        <v>0</v>
      </c>
      <c r="J73" s="4"/>
      <c r="K73" s="100">
        <f t="shared" si="2"/>
        <v>0</v>
      </c>
      <c r="L73" s="85">
        <f t="shared" si="3"/>
        <v>0</v>
      </c>
    </row>
    <row r="74" spans="1:12" s="60" customFormat="1" x14ac:dyDescent="0.35">
      <c r="A74" s="68"/>
      <c r="B74" s="10" t="s">
        <v>14</v>
      </c>
      <c r="C74" s="5" t="s">
        <v>6</v>
      </c>
      <c r="D74" s="5">
        <v>0.02</v>
      </c>
      <c r="E74" s="4">
        <f>E69*D74</f>
        <v>0.46</v>
      </c>
      <c r="F74" s="9"/>
      <c r="G74" s="85">
        <f t="shared" si="0"/>
        <v>0</v>
      </c>
      <c r="H74" s="4"/>
      <c r="I74" s="85">
        <f t="shared" si="1"/>
        <v>0</v>
      </c>
      <c r="J74" s="4"/>
      <c r="K74" s="100">
        <f t="shared" si="2"/>
        <v>0</v>
      </c>
      <c r="L74" s="85">
        <f t="shared" si="3"/>
        <v>0</v>
      </c>
    </row>
    <row r="75" spans="1:12" s="60" customFormat="1" ht="27" x14ac:dyDescent="0.35">
      <c r="A75" s="68">
        <v>17</v>
      </c>
      <c r="B75" s="36" t="s">
        <v>114</v>
      </c>
      <c r="C75" s="37" t="s">
        <v>56</v>
      </c>
      <c r="D75" s="72"/>
      <c r="E75" s="38">
        <v>18</v>
      </c>
      <c r="F75" s="9"/>
      <c r="G75" s="85">
        <f t="shared" si="0"/>
        <v>0</v>
      </c>
      <c r="H75" s="4"/>
      <c r="I75" s="85">
        <f t="shared" si="1"/>
        <v>0</v>
      </c>
      <c r="J75" s="4"/>
      <c r="K75" s="100">
        <f t="shared" si="2"/>
        <v>0</v>
      </c>
      <c r="L75" s="85">
        <f t="shared" si="3"/>
        <v>0</v>
      </c>
    </row>
    <row r="76" spans="1:12" s="60" customFormat="1" x14ac:dyDescent="0.35">
      <c r="A76" s="68"/>
      <c r="B76" s="45" t="s">
        <v>39</v>
      </c>
      <c r="C76" s="46" t="s">
        <v>24</v>
      </c>
      <c r="D76" s="4">
        <v>1</v>
      </c>
      <c r="E76" s="4">
        <f>E75*D76</f>
        <v>18</v>
      </c>
      <c r="F76" s="9"/>
      <c r="G76" s="85">
        <f t="shared" ref="G76:G139" si="4">F76*E76</f>
        <v>0</v>
      </c>
      <c r="H76" s="4"/>
      <c r="I76" s="85">
        <f t="shared" ref="I76:I139" si="5">H76*E76</f>
        <v>0</v>
      </c>
      <c r="J76" s="4"/>
      <c r="K76" s="100">
        <f t="shared" ref="K76:K139" si="6">J76*E76</f>
        <v>0</v>
      </c>
      <c r="L76" s="85">
        <f t="shared" ref="L76:L139" si="7">K76+I76+G76</f>
        <v>0</v>
      </c>
    </row>
    <row r="77" spans="1:12" s="60" customFormat="1" x14ac:dyDescent="0.35">
      <c r="A77" s="68"/>
      <c r="B77" s="133" t="s">
        <v>115</v>
      </c>
      <c r="C77" s="130" t="s">
        <v>16</v>
      </c>
      <c r="D77" s="130">
        <v>1.02</v>
      </c>
      <c r="E77" s="4">
        <f>D77*E75</f>
        <v>18.36</v>
      </c>
      <c r="F77" s="9"/>
      <c r="G77" s="85">
        <f t="shared" si="4"/>
        <v>0</v>
      </c>
      <c r="H77" s="4"/>
      <c r="I77" s="85">
        <f t="shared" si="5"/>
        <v>0</v>
      </c>
      <c r="J77" s="4"/>
      <c r="K77" s="100">
        <f t="shared" si="6"/>
        <v>0</v>
      </c>
      <c r="L77" s="85">
        <f t="shared" si="7"/>
        <v>0</v>
      </c>
    </row>
    <row r="78" spans="1:12" s="60" customFormat="1" x14ac:dyDescent="0.35">
      <c r="A78" s="68"/>
      <c r="B78" s="133" t="s">
        <v>68</v>
      </c>
      <c r="C78" s="130" t="s">
        <v>16</v>
      </c>
      <c r="D78" s="131">
        <v>1</v>
      </c>
      <c r="E78" s="4">
        <f>D78*E75</f>
        <v>18</v>
      </c>
      <c r="F78" s="9"/>
      <c r="G78" s="85">
        <f t="shared" si="4"/>
        <v>0</v>
      </c>
      <c r="H78" s="4"/>
      <c r="I78" s="85">
        <f t="shared" si="5"/>
        <v>0</v>
      </c>
      <c r="J78" s="4"/>
      <c r="K78" s="100">
        <f t="shared" si="6"/>
        <v>0</v>
      </c>
      <c r="L78" s="85">
        <f t="shared" si="7"/>
        <v>0</v>
      </c>
    </row>
    <row r="79" spans="1:12" s="60" customFormat="1" x14ac:dyDescent="0.35">
      <c r="A79" s="68"/>
      <c r="B79" s="10" t="s">
        <v>72</v>
      </c>
      <c r="C79" s="5" t="s">
        <v>16</v>
      </c>
      <c r="D79" s="5">
        <v>7.6200000000000004E-2</v>
      </c>
      <c r="E79" s="4">
        <f>D79*E75</f>
        <v>1.3716000000000002</v>
      </c>
      <c r="F79" s="9"/>
      <c r="G79" s="85">
        <f t="shared" si="4"/>
        <v>0</v>
      </c>
      <c r="H79" s="4"/>
      <c r="I79" s="85">
        <f t="shared" si="5"/>
        <v>0</v>
      </c>
      <c r="J79" s="4"/>
      <c r="K79" s="100">
        <f t="shared" si="6"/>
        <v>0</v>
      </c>
      <c r="L79" s="85">
        <f t="shared" si="7"/>
        <v>0</v>
      </c>
    </row>
    <row r="80" spans="1:12" s="60" customFormat="1" x14ac:dyDescent="0.35">
      <c r="A80" s="68"/>
      <c r="B80" s="10" t="s">
        <v>14</v>
      </c>
      <c r="C80" s="5" t="s">
        <v>6</v>
      </c>
      <c r="D80" s="5">
        <v>0.88</v>
      </c>
      <c r="E80" s="4">
        <f>D80*E75</f>
        <v>15.84</v>
      </c>
      <c r="F80" s="9"/>
      <c r="G80" s="85">
        <f t="shared" si="4"/>
        <v>0</v>
      </c>
      <c r="H80" s="4"/>
      <c r="I80" s="85">
        <f t="shared" si="5"/>
        <v>0</v>
      </c>
      <c r="J80" s="4"/>
      <c r="K80" s="100">
        <f t="shared" si="6"/>
        <v>0</v>
      </c>
      <c r="L80" s="85">
        <f t="shared" si="7"/>
        <v>0</v>
      </c>
    </row>
    <row r="81" spans="1:12" s="60" customFormat="1" ht="27" x14ac:dyDescent="0.35">
      <c r="A81" s="68">
        <v>18</v>
      </c>
      <c r="B81" s="36" t="s">
        <v>116</v>
      </c>
      <c r="C81" s="37" t="s">
        <v>56</v>
      </c>
      <c r="D81" s="37"/>
      <c r="E81" s="38">
        <v>80.41</v>
      </c>
      <c r="F81" s="9"/>
      <c r="G81" s="85">
        <f t="shared" si="4"/>
        <v>0</v>
      </c>
      <c r="H81" s="4"/>
      <c r="I81" s="85">
        <f t="shared" si="5"/>
        <v>0</v>
      </c>
      <c r="J81" s="4"/>
      <c r="K81" s="100">
        <f t="shared" si="6"/>
        <v>0</v>
      </c>
      <c r="L81" s="85">
        <f t="shared" si="7"/>
        <v>0</v>
      </c>
    </row>
    <row r="82" spans="1:12" s="60" customFormat="1" x14ac:dyDescent="0.35">
      <c r="A82" s="68"/>
      <c r="B82" s="45" t="s">
        <v>39</v>
      </c>
      <c r="C82" s="46" t="s">
        <v>24</v>
      </c>
      <c r="D82" s="4">
        <v>1</v>
      </c>
      <c r="E82" s="4">
        <f>E81*D82</f>
        <v>80.41</v>
      </c>
      <c r="F82" s="4"/>
      <c r="G82" s="85">
        <f t="shared" si="4"/>
        <v>0</v>
      </c>
      <c r="H82" s="4"/>
      <c r="I82" s="85">
        <f t="shared" si="5"/>
        <v>0</v>
      </c>
      <c r="J82" s="4"/>
      <c r="K82" s="100">
        <f t="shared" si="6"/>
        <v>0</v>
      </c>
      <c r="L82" s="85">
        <f t="shared" si="7"/>
        <v>0</v>
      </c>
    </row>
    <row r="83" spans="1:12" s="60" customFormat="1" x14ac:dyDescent="0.35">
      <c r="A83" s="68"/>
      <c r="B83" s="10" t="s">
        <v>25</v>
      </c>
      <c r="C83" s="5" t="s">
        <v>6</v>
      </c>
      <c r="D83" s="5">
        <f>0.92</f>
        <v>0.92</v>
      </c>
      <c r="E83" s="4">
        <f>E81*D83</f>
        <v>73.977199999999996</v>
      </c>
      <c r="F83" s="9"/>
      <c r="G83" s="85">
        <f t="shared" si="4"/>
        <v>0</v>
      </c>
      <c r="H83" s="4"/>
      <c r="I83" s="85">
        <f t="shared" si="5"/>
        <v>0</v>
      </c>
      <c r="J83" s="4"/>
      <c r="K83" s="100">
        <f t="shared" si="6"/>
        <v>0</v>
      </c>
      <c r="L83" s="85">
        <f t="shared" si="7"/>
        <v>0</v>
      </c>
    </row>
    <row r="84" spans="1:12" s="60" customFormat="1" x14ac:dyDescent="0.35">
      <c r="A84" s="68"/>
      <c r="B84" s="133" t="s">
        <v>80</v>
      </c>
      <c r="C84" s="130" t="s">
        <v>16</v>
      </c>
      <c r="D84" s="130">
        <v>1.0149999999999999</v>
      </c>
      <c r="E84" s="4">
        <f>D84*E81</f>
        <v>81.61614999999999</v>
      </c>
      <c r="F84" s="9"/>
      <c r="G84" s="85">
        <f t="shared" si="4"/>
        <v>0</v>
      </c>
      <c r="H84" s="4"/>
      <c r="I84" s="85">
        <f t="shared" si="5"/>
        <v>0</v>
      </c>
      <c r="J84" s="4"/>
      <c r="K84" s="100">
        <f t="shared" si="6"/>
        <v>0</v>
      </c>
      <c r="L84" s="85">
        <f t="shared" si="7"/>
        <v>0</v>
      </c>
    </row>
    <row r="85" spans="1:12" s="60" customFormat="1" x14ac:dyDescent="0.35">
      <c r="A85" s="68"/>
      <c r="B85" s="133" t="s">
        <v>68</v>
      </c>
      <c r="C85" s="130" t="s">
        <v>16</v>
      </c>
      <c r="D85" s="131">
        <v>1</v>
      </c>
      <c r="E85" s="4">
        <f>D85*E81</f>
        <v>80.41</v>
      </c>
      <c r="F85" s="9"/>
      <c r="G85" s="85">
        <f t="shared" si="4"/>
        <v>0</v>
      </c>
      <c r="H85" s="4"/>
      <c r="I85" s="85">
        <f t="shared" si="5"/>
        <v>0</v>
      </c>
      <c r="J85" s="4"/>
      <c r="K85" s="100">
        <f t="shared" si="6"/>
        <v>0</v>
      </c>
      <c r="L85" s="85">
        <f t="shared" si="7"/>
        <v>0</v>
      </c>
    </row>
    <row r="86" spans="1:12" s="60" customFormat="1" x14ac:dyDescent="0.35">
      <c r="A86" s="68"/>
      <c r="B86" s="129" t="s">
        <v>128</v>
      </c>
      <c r="C86" s="130" t="s">
        <v>5</v>
      </c>
      <c r="D86" s="131" t="s">
        <v>29</v>
      </c>
      <c r="E86" s="12">
        <f>1.161*1.05</f>
        <v>1.2190500000000002</v>
      </c>
      <c r="F86" s="4"/>
      <c r="G86" s="85">
        <f t="shared" si="4"/>
        <v>0</v>
      </c>
      <c r="H86" s="4"/>
      <c r="I86" s="85">
        <f t="shared" si="5"/>
        <v>0</v>
      </c>
      <c r="J86" s="4"/>
      <c r="K86" s="100">
        <f t="shared" si="6"/>
        <v>0</v>
      </c>
      <c r="L86" s="85">
        <f t="shared" si="7"/>
        <v>0</v>
      </c>
    </row>
    <row r="87" spans="1:12" s="60" customFormat="1" x14ac:dyDescent="0.35">
      <c r="A87" s="68"/>
      <c r="B87" s="129" t="s">
        <v>127</v>
      </c>
      <c r="C87" s="130" t="s">
        <v>5</v>
      </c>
      <c r="D87" s="131" t="s">
        <v>29</v>
      </c>
      <c r="E87" s="12">
        <f>1.366*1.05</f>
        <v>1.4343000000000001</v>
      </c>
      <c r="F87" s="4"/>
      <c r="G87" s="85">
        <f t="shared" si="4"/>
        <v>0</v>
      </c>
      <c r="H87" s="4"/>
      <c r="I87" s="85">
        <f t="shared" si="5"/>
        <v>0</v>
      </c>
      <c r="J87" s="4"/>
      <c r="K87" s="100">
        <f t="shared" si="6"/>
        <v>0</v>
      </c>
      <c r="L87" s="85">
        <f t="shared" si="7"/>
        <v>0</v>
      </c>
    </row>
    <row r="88" spans="1:12" s="60" customFormat="1" x14ac:dyDescent="0.35">
      <c r="A88" s="68"/>
      <c r="B88" s="129" t="s">
        <v>126</v>
      </c>
      <c r="C88" s="130" t="s">
        <v>5</v>
      </c>
      <c r="D88" s="131" t="s">
        <v>29</v>
      </c>
      <c r="E88" s="12">
        <f>0.1812*1.05</f>
        <v>0.19026000000000001</v>
      </c>
      <c r="F88" s="4"/>
      <c r="G88" s="85">
        <f t="shared" si="4"/>
        <v>0</v>
      </c>
      <c r="H88" s="4"/>
      <c r="I88" s="85">
        <f t="shared" si="5"/>
        <v>0</v>
      </c>
      <c r="J88" s="4"/>
      <c r="K88" s="100">
        <f t="shared" si="6"/>
        <v>0</v>
      </c>
      <c r="L88" s="85">
        <f t="shared" si="7"/>
        <v>0</v>
      </c>
    </row>
    <row r="89" spans="1:12" s="60" customFormat="1" x14ac:dyDescent="0.35">
      <c r="A89" s="68"/>
      <c r="B89" s="129" t="s">
        <v>125</v>
      </c>
      <c r="C89" s="130" t="s">
        <v>5</v>
      </c>
      <c r="D89" s="131" t="s">
        <v>29</v>
      </c>
      <c r="E89" s="12">
        <f>2.447*1.05</f>
        <v>2.56935</v>
      </c>
      <c r="F89" s="4"/>
      <c r="G89" s="85">
        <f t="shared" si="4"/>
        <v>0</v>
      </c>
      <c r="H89" s="4"/>
      <c r="I89" s="85">
        <f t="shared" si="5"/>
        <v>0</v>
      </c>
      <c r="J89" s="4"/>
      <c r="K89" s="100">
        <f t="shared" si="6"/>
        <v>0</v>
      </c>
      <c r="L89" s="85">
        <f t="shared" si="7"/>
        <v>0</v>
      </c>
    </row>
    <row r="90" spans="1:12" s="60" customFormat="1" x14ac:dyDescent="0.35">
      <c r="A90" s="68"/>
      <c r="B90" s="132" t="s">
        <v>129</v>
      </c>
      <c r="C90" s="130" t="s">
        <v>5</v>
      </c>
      <c r="D90" s="131" t="s">
        <v>29</v>
      </c>
      <c r="E90" s="12">
        <f>1.526*1.05</f>
        <v>1.6023000000000001</v>
      </c>
      <c r="F90" s="4"/>
      <c r="G90" s="85">
        <f t="shared" si="4"/>
        <v>0</v>
      </c>
      <c r="H90" s="4"/>
      <c r="I90" s="85">
        <f t="shared" si="5"/>
        <v>0</v>
      </c>
      <c r="J90" s="4"/>
      <c r="K90" s="100">
        <f t="shared" si="6"/>
        <v>0</v>
      </c>
      <c r="L90" s="85">
        <f t="shared" si="7"/>
        <v>0</v>
      </c>
    </row>
    <row r="91" spans="1:12" s="60" customFormat="1" x14ac:dyDescent="0.35">
      <c r="A91" s="68"/>
      <c r="B91" s="10" t="s">
        <v>69</v>
      </c>
      <c r="C91" s="5" t="s">
        <v>17</v>
      </c>
      <c r="D91" s="12">
        <v>0.70299999999999996</v>
      </c>
      <c r="E91" s="4">
        <f>D91*E81</f>
        <v>56.528229999999994</v>
      </c>
      <c r="F91" s="9"/>
      <c r="G91" s="85">
        <f t="shared" si="4"/>
        <v>0</v>
      </c>
      <c r="H91" s="4"/>
      <c r="I91" s="85">
        <f t="shared" si="5"/>
        <v>0</v>
      </c>
      <c r="J91" s="4"/>
      <c r="K91" s="100">
        <f t="shared" si="6"/>
        <v>0</v>
      </c>
      <c r="L91" s="85">
        <f t="shared" si="7"/>
        <v>0</v>
      </c>
    </row>
    <row r="92" spans="1:12" s="60" customFormat="1" x14ac:dyDescent="0.35">
      <c r="A92" s="68"/>
      <c r="B92" s="17" t="s">
        <v>35</v>
      </c>
      <c r="C92" s="5" t="s">
        <v>16</v>
      </c>
      <c r="D92" s="5">
        <v>1.14E-2</v>
      </c>
      <c r="E92" s="12">
        <f>D92*E81</f>
        <v>0.91667399999999999</v>
      </c>
      <c r="F92" s="9"/>
      <c r="G92" s="85">
        <f t="shared" si="4"/>
        <v>0</v>
      </c>
      <c r="H92" s="4"/>
      <c r="I92" s="85">
        <f t="shared" si="5"/>
        <v>0</v>
      </c>
      <c r="J92" s="4"/>
      <c r="K92" s="100">
        <f t="shared" si="6"/>
        <v>0</v>
      </c>
      <c r="L92" s="85">
        <f t="shared" si="7"/>
        <v>0</v>
      </c>
    </row>
    <row r="93" spans="1:12" s="60" customFormat="1" x14ac:dyDescent="0.35">
      <c r="A93" s="68"/>
      <c r="B93" s="10" t="s">
        <v>14</v>
      </c>
      <c r="C93" s="5" t="s">
        <v>6</v>
      </c>
      <c r="D93" s="4">
        <f>0.6</f>
        <v>0.6</v>
      </c>
      <c r="E93" s="4">
        <f>D93*E81</f>
        <v>48.245999999999995</v>
      </c>
      <c r="F93" s="9"/>
      <c r="G93" s="85">
        <f t="shared" si="4"/>
        <v>0</v>
      </c>
      <c r="H93" s="4"/>
      <c r="I93" s="85">
        <f t="shared" si="5"/>
        <v>0</v>
      </c>
      <c r="J93" s="4"/>
      <c r="K93" s="100">
        <f t="shared" si="6"/>
        <v>0</v>
      </c>
      <c r="L93" s="85">
        <f t="shared" si="7"/>
        <v>0</v>
      </c>
    </row>
    <row r="94" spans="1:12" s="60" customFormat="1" x14ac:dyDescent="0.35">
      <c r="A94" s="21">
        <v>19</v>
      </c>
      <c r="B94" s="74" t="s">
        <v>70</v>
      </c>
      <c r="C94" s="39" t="s">
        <v>5</v>
      </c>
      <c r="D94" s="39"/>
      <c r="E94" s="75">
        <f>E97+E98+E99+E100+E101</f>
        <v>7.0152599999999996</v>
      </c>
      <c r="F94" s="9"/>
      <c r="G94" s="85">
        <f t="shared" si="4"/>
        <v>0</v>
      </c>
      <c r="H94" s="3"/>
      <c r="I94" s="85">
        <f t="shared" si="5"/>
        <v>0</v>
      </c>
      <c r="J94" s="3"/>
      <c r="K94" s="100">
        <f t="shared" si="6"/>
        <v>0</v>
      </c>
      <c r="L94" s="85">
        <f t="shared" si="7"/>
        <v>0</v>
      </c>
    </row>
    <row r="95" spans="1:12" s="60" customFormat="1" x14ac:dyDescent="0.35">
      <c r="A95" s="21"/>
      <c r="B95" s="45" t="s">
        <v>39</v>
      </c>
      <c r="C95" s="46" t="s">
        <v>5</v>
      </c>
      <c r="D95" s="4">
        <v>1</v>
      </c>
      <c r="E95" s="4">
        <f>E94*D95</f>
        <v>7.0152599999999996</v>
      </c>
      <c r="F95" s="4"/>
      <c r="G95" s="85">
        <f t="shared" si="4"/>
        <v>0</v>
      </c>
      <c r="H95" s="4"/>
      <c r="I95" s="85">
        <f t="shared" si="5"/>
        <v>0</v>
      </c>
      <c r="J95" s="4"/>
      <c r="K95" s="100">
        <f t="shared" si="6"/>
        <v>0</v>
      </c>
      <c r="L95" s="85">
        <f t="shared" si="7"/>
        <v>0</v>
      </c>
    </row>
    <row r="96" spans="1:12" s="60" customFormat="1" x14ac:dyDescent="0.35">
      <c r="A96" s="21"/>
      <c r="B96" s="10" t="s">
        <v>71</v>
      </c>
      <c r="C96" s="5" t="s">
        <v>6</v>
      </c>
      <c r="D96" s="4">
        <v>6.8</v>
      </c>
      <c r="E96" s="4">
        <f>D96*E94</f>
        <v>47.703767999999997</v>
      </c>
      <c r="F96" s="9"/>
      <c r="G96" s="85">
        <f t="shared" si="4"/>
        <v>0</v>
      </c>
      <c r="H96" s="4"/>
      <c r="I96" s="85">
        <f t="shared" si="5"/>
        <v>0</v>
      </c>
      <c r="J96" s="4"/>
      <c r="K96" s="100">
        <f t="shared" si="6"/>
        <v>0</v>
      </c>
      <c r="L96" s="85">
        <f t="shared" si="7"/>
        <v>0</v>
      </c>
    </row>
    <row r="97" spans="1:14" s="60" customFormat="1" x14ac:dyDescent="0.35">
      <c r="A97" s="21"/>
      <c r="B97" s="129" t="s">
        <v>128</v>
      </c>
      <c r="C97" s="130" t="s">
        <v>5</v>
      </c>
      <c r="D97" s="131" t="s">
        <v>29</v>
      </c>
      <c r="E97" s="12">
        <f>1.161*1.05</f>
        <v>1.2190500000000002</v>
      </c>
      <c r="F97" s="4"/>
      <c r="G97" s="85">
        <f t="shared" si="4"/>
        <v>0</v>
      </c>
      <c r="H97" s="4"/>
      <c r="I97" s="85">
        <f t="shared" si="5"/>
        <v>0</v>
      </c>
      <c r="J97" s="4"/>
      <c r="K97" s="100">
        <f t="shared" si="6"/>
        <v>0</v>
      </c>
      <c r="L97" s="85">
        <f t="shared" si="7"/>
        <v>0</v>
      </c>
    </row>
    <row r="98" spans="1:14" s="60" customFormat="1" x14ac:dyDescent="0.35">
      <c r="A98" s="21"/>
      <c r="B98" s="129" t="s">
        <v>127</v>
      </c>
      <c r="C98" s="130" t="s">
        <v>5</v>
      </c>
      <c r="D98" s="131" t="s">
        <v>29</v>
      </c>
      <c r="E98" s="12">
        <f>1.366*1.05</f>
        <v>1.4343000000000001</v>
      </c>
      <c r="F98" s="4"/>
      <c r="G98" s="85">
        <f t="shared" si="4"/>
        <v>0</v>
      </c>
      <c r="H98" s="4"/>
      <c r="I98" s="85">
        <f t="shared" si="5"/>
        <v>0</v>
      </c>
      <c r="J98" s="4"/>
      <c r="K98" s="100">
        <f t="shared" si="6"/>
        <v>0</v>
      </c>
      <c r="L98" s="85">
        <f t="shared" si="7"/>
        <v>0</v>
      </c>
    </row>
    <row r="99" spans="1:14" s="60" customFormat="1" x14ac:dyDescent="0.35">
      <c r="A99" s="21"/>
      <c r="B99" s="129" t="s">
        <v>126</v>
      </c>
      <c r="C99" s="130" t="s">
        <v>5</v>
      </c>
      <c r="D99" s="131" t="s">
        <v>29</v>
      </c>
      <c r="E99" s="12">
        <f>0.1812*1.05</f>
        <v>0.19026000000000001</v>
      </c>
      <c r="F99" s="4"/>
      <c r="G99" s="85">
        <f t="shared" si="4"/>
        <v>0</v>
      </c>
      <c r="H99" s="4"/>
      <c r="I99" s="85">
        <f t="shared" si="5"/>
        <v>0</v>
      </c>
      <c r="J99" s="4"/>
      <c r="K99" s="100">
        <f t="shared" si="6"/>
        <v>0</v>
      </c>
      <c r="L99" s="85">
        <f t="shared" si="7"/>
        <v>0</v>
      </c>
    </row>
    <row r="100" spans="1:14" s="60" customFormat="1" x14ac:dyDescent="0.35">
      <c r="A100" s="21"/>
      <c r="B100" s="129" t="s">
        <v>125</v>
      </c>
      <c r="C100" s="130" t="s">
        <v>5</v>
      </c>
      <c r="D100" s="131" t="s">
        <v>29</v>
      </c>
      <c r="E100" s="12">
        <f>2.447*1.05</f>
        <v>2.56935</v>
      </c>
      <c r="F100" s="4"/>
      <c r="G100" s="85">
        <f t="shared" si="4"/>
        <v>0</v>
      </c>
      <c r="H100" s="4"/>
      <c r="I100" s="85">
        <f t="shared" si="5"/>
        <v>0</v>
      </c>
      <c r="J100" s="4"/>
      <c r="K100" s="100">
        <f t="shared" si="6"/>
        <v>0</v>
      </c>
      <c r="L100" s="85">
        <f t="shared" si="7"/>
        <v>0</v>
      </c>
    </row>
    <row r="101" spans="1:14" s="60" customFormat="1" x14ac:dyDescent="0.35">
      <c r="A101" s="21"/>
      <c r="B101" s="132" t="s">
        <v>129</v>
      </c>
      <c r="C101" s="130" t="s">
        <v>5</v>
      </c>
      <c r="D101" s="131" t="s">
        <v>29</v>
      </c>
      <c r="E101" s="12">
        <f>1.526*1.05</f>
        <v>1.6023000000000001</v>
      </c>
      <c r="F101" s="4"/>
      <c r="G101" s="85">
        <f t="shared" si="4"/>
        <v>0</v>
      </c>
      <c r="H101" s="4"/>
      <c r="I101" s="85">
        <f t="shared" si="5"/>
        <v>0</v>
      </c>
      <c r="J101" s="4"/>
      <c r="K101" s="100">
        <f t="shared" si="6"/>
        <v>0</v>
      </c>
      <c r="L101" s="85">
        <f t="shared" si="7"/>
        <v>0</v>
      </c>
    </row>
    <row r="102" spans="1:14" s="60" customFormat="1" x14ac:dyDescent="0.35">
      <c r="A102" s="21"/>
      <c r="B102" s="10" t="s">
        <v>14</v>
      </c>
      <c r="C102" s="5" t="s">
        <v>6</v>
      </c>
      <c r="D102" s="5">
        <v>12.2</v>
      </c>
      <c r="E102" s="4">
        <f>D102*E94</f>
        <v>85.586171999999991</v>
      </c>
      <c r="F102" s="9"/>
      <c r="G102" s="85">
        <f t="shared" si="4"/>
        <v>0</v>
      </c>
      <c r="H102" s="4"/>
      <c r="I102" s="85">
        <f t="shared" si="5"/>
        <v>0</v>
      </c>
      <c r="J102" s="4"/>
      <c r="K102" s="100">
        <f t="shared" si="6"/>
        <v>0</v>
      </c>
      <c r="L102" s="85">
        <f t="shared" si="7"/>
        <v>0</v>
      </c>
    </row>
    <row r="103" spans="1:14" s="60" customFormat="1" x14ac:dyDescent="0.35">
      <c r="A103" s="104"/>
      <c r="B103" s="43" t="s">
        <v>94</v>
      </c>
      <c r="C103" s="5"/>
      <c r="D103" s="5"/>
      <c r="E103" s="4"/>
      <c r="F103" s="9"/>
      <c r="G103" s="85">
        <f t="shared" si="4"/>
        <v>0</v>
      </c>
      <c r="H103" s="4"/>
      <c r="I103" s="85">
        <f t="shared" si="5"/>
        <v>0</v>
      </c>
      <c r="J103" s="4"/>
      <c r="K103" s="100">
        <f t="shared" si="6"/>
        <v>0</v>
      </c>
      <c r="L103" s="85">
        <f t="shared" si="7"/>
        <v>0</v>
      </c>
    </row>
    <row r="104" spans="1:14" s="60" customFormat="1" ht="27" x14ac:dyDescent="0.35">
      <c r="A104" s="68">
        <v>20</v>
      </c>
      <c r="B104" s="36" t="s">
        <v>120</v>
      </c>
      <c r="C104" s="37" t="s">
        <v>56</v>
      </c>
      <c r="D104" s="37"/>
      <c r="E104" s="38">
        <v>14.11</v>
      </c>
      <c r="F104" s="9"/>
      <c r="G104" s="85">
        <f t="shared" si="4"/>
        <v>0</v>
      </c>
      <c r="H104" s="4"/>
      <c r="I104" s="85">
        <f t="shared" si="5"/>
        <v>0</v>
      </c>
      <c r="J104" s="4"/>
      <c r="K104" s="100">
        <f t="shared" si="6"/>
        <v>0</v>
      </c>
      <c r="L104" s="85">
        <f t="shared" si="7"/>
        <v>0</v>
      </c>
    </row>
    <row r="105" spans="1:14" s="60" customFormat="1" x14ac:dyDescent="0.35">
      <c r="A105" s="68"/>
      <c r="B105" s="45" t="s">
        <v>39</v>
      </c>
      <c r="C105" s="46" t="s">
        <v>24</v>
      </c>
      <c r="D105" s="4">
        <v>1</v>
      </c>
      <c r="E105" s="4">
        <f>E104*D105</f>
        <v>14.11</v>
      </c>
      <c r="F105" s="4"/>
      <c r="G105" s="85">
        <f t="shared" si="4"/>
        <v>0</v>
      </c>
      <c r="H105" s="4"/>
      <c r="I105" s="85">
        <f t="shared" si="5"/>
        <v>0</v>
      </c>
      <c r="J105" s="4"/>
      <c r="K105" s="100">
        <f t="shared" si="6"/>
        <v>0</v>
      </c>
      <c r="L105" s="85">
        <f t="shared" si="7"/>
        <v>0</v>
      </c>
    </row>
    <row r="106" spans="1:14" s="60" customFormat="1" x14ac:dyDescent="0.35">
      <c r="A106" s="68"/>
      <c r="B106" s="10" t="s">
        <v>25</v>
      </c>
      <c r="C106" s="5" t="s">
        <v>6</v>
      </c>
      <c r="D106" s="5">
        <v>1.43</v>
      </c>
      <c r="E106" s="4">
        <f>D106*E104</f>
        <v>20.177299999999999</v>
      </c>
      <c r="F106" s="9"/>
      <c r="G106" s="85">
        <f t="shared" si="4"/>
        <v>0</v>
      </c>
      <c r="H106" s="4"/>
      <c r="I106" s="85">
        <f t="shared" si="5"/>
        <v>0</v>
      </c>
      <c r="J106" s="4"/>
      <c r="K106" s="100">
        <f t="shared" si="6"/>
        <v>0</v>
      </c>
      <c r="L106" s="85">
        <f t="shared" si="7"/>
        <v>0</v>
      </c>
    </row>
    <row r="107" spans="1:14" s="60" customFormat="1" x14ac:dyDescent="0.35">
      <c r="A107" s="68"/>
      <c r="B107" s="133" t="s">
        <v>96</v>
      </c>
      <c r="C107" s="130" t="s">
        <v>16</v>
      </c>
      <c r="D107" s="130">
        <v>1.0149999999999999</v>
      </c>
      <c r="E107" s="131">
        <f>D107*E104</f>
        <v>14.321649999999998</v>
      </c>
      <c r="F107" s="9"/>
      <c r="G107" s="85">
        <f t="shared" si="4"/>
        <v>0</v>
      </c>
      <c r="H107" s="4"/>
      <c r="I107" s="85">
        <f t="shared" si="5"/>
        <v>0</v>
      </c>
      <c r="J107" s="4"/>
      <c r="K107" s="100">
        <f t="shared" si="6"/>
        <v>0</v>
      </c>
      <c r="L107" s="85">
        <f t="shared" si="7"/>
        <v>0</v>
      </c>
    </row>
    <row r="108" spans="1:14" s="60" customFormat="1" x14ac:dyDescent="0.35">
      <c r="A108" s="68"/>
      <c r="B108" s="133" t="s">
        <v>68</v>
      </c>
      <c r="C108" s="130" t="s">
        <v>16</v>
      </c>
      <c r="D108" s="131">
        <v>1</v>
      </c>
      <c r="E108" s="131">
        <f>D108*E104</f>
        <v>14.11</v>
      </c>
      <c r="F108" s="9"/>
      <c r="G108" s="85">
        <f t="shared" si="4"/>
        <v>0</v>
      </c>
      <c r="H108" s="4"/>
      <c r="I108" s="85">
        <f t="shared" si="5"/>
        <v>0</v>
      </c>
      <c r="J108" s="4"/>
      <c r="K108" s="100">
        <f t="shared" si="6"/>
        <v>0</v>
      </c>
      <c r="L108" s="85">
        <f t="shared" si="7"/>
        <v>0</v>
      </c>
    </row>
    <row r="109" spans="1:14" s="60" customFormat="1" x14ac:dyDescent="0.35">
      <c r="A109" s="68"/>
      <c r="B109" s="10" t="s">
        <v>74</v>
      </c>
      <c r="C109" s="5" t="s">
        <v>17</v>
      </c>
      <c r="D109" s="5">
        <v>2.64</v>
      </c>
      <c r="E109" s="4">
        <f>D109*E104</f>
        <v>37.250399999999999</v>
      </c>
      <c r="F109" s="9"/>
      <c r="G109" s="85">
        <f t="shared" si="4"/>
        <v>0</v>
      </c>
      <c r="H109" s="4"/>
      <c r="I109" s="85">
        <f t="shared" si="5"/>
        <v>0</v>
      </c>
      <c r="J109" s="4"/>
      <c r="K109" s="100">
        <f t="shared" si="6"/>
        <v>0</v>
      </c>
      <c r="L109" s="85">
        <f t="shared" si="7"/>
        <v>0</v>
      </c>
    </row>
    <row r="110" spans="1:14" s="60" customFormat="1" x14ac:dyDescent="0.35">
      <c r="A110" s="68"/>
      <c r="B110" s="17" t="s">
        <v>81</v>
      </c>
      <c r="C110" s="5" t="s">
        <v>16</v>
      </c>
      <c r="D110" s="5">
        <v>5.9799999999999999E-2</v>
      </c>
      <c r="E110" s="12">
        <f>D110*E104</f>
        <v>0.84377799999999992</v>
      </c>
      <c r="F110" s="9"/>
      <c r="G110" s="85">
        <f t="shared" si="4"/>
        <v>0</v>
      </c>
      <c r="H110" s="4"/>
      <c r="I110" s="85">
        <f t="shared" si="5"/>
        <v>0</v>
      </c>
      <c r="J110" s="4"/>
      <c r="K110" s="100">
        <f t="shared" si="6"/>
        <v>0</v>
      </c>
      <c r="L110" s="85">
        <f t="shared" si="7"/>
        <v>0</v>
      </c>
    </row>
    <row r="111" spans="1:14" s="60" customFormat="1" x14ac:dyDescent="0.35">
      <c r="A111" s="68"/>
      <c r="B111" s="17" t="s">
        <v>93</v>
      </c>
      <c r="C111" s="5" t="s">
        <v>7</v>
      </c>
      <c r="D111" s="5">
        <v>3.2</v>
      </c>
      <c r="E111" s="12">
        <f>D111*E104</f>
        <v>45.152000000000001</v>
      </c>
      <c r="F111" s="9"/>
      <c r="G111" s="85">
        <f t="shared" si="4"/>
        <v>0</v>
      </c>
      <c r="H111" s="4"/>
      <c r="I111" s="85">
        <f t="shared" si="5"/>
        <v>0</v>
      </c>
      <c r="J111" s="4"/>
      <c r="K111" s="100">
        <f t="shared" si="6"/>
        <v>0</v>
      </c>
      <c r="L111" s="85">
        <f t="shared" si="7"/>
        <v>0</v>
      </c>
    </row>
    <row r="112" spans="1:14" s="60" customFormat="1" x14ac:dyDescent="0.35">
      <c r="A112" s="68"/>
      <c r="B112" s="17" t="s">
        <v>79</v>
      </c>
      <c r="C112" s="5" t="s">
        <v>7</v>
      </c>
      <c r="D112" s="5">
        <v>4.0999999999999996</v>
      </c>
      <c r="E112" s="12">
        <f>D112*E104</f>
        <v>57.850999999999992</v>
      </c>
      <c r="F112" s="9"/>
      <c r="G112" s="85">
        <f t="shared" si="4"/>
        <v>0</v>
      </c>
      <c r="H112" s="4"/>
      <c r="I112" s="85">
        <f t="shared" si="5"/>
        <v>0</v>
      </c>
      <c r="J112" s="4"/>
      <c r="K112" s="100">
        <f t="shared" si="6"/>
        <v>0</v>
      </c>
      <c r="L112" s="85">
        <f t="shared" si="7"/>
        <v>0</v>
      </c>
      <c r="N112" s="83"/>
    </row>
    <row r="113" spans="1:12" s="60" customFormat="1" x14ac:dyDescent="0.35">
      <c r="A113" s="68"/>
      <c r="B113" s="10" t="s">
        <v>30</v>
      </c>
      <c r="C113" s="5" t="s">
        <v>6</v>
      </c>
      <c r="D113" s="5">
        <v>0.49</v>
      </c>
      <c r="E113" s="4">
        <f>E104*D113</f>
        <v>6.9138999999999999</v>
      </c>
      <c r="F113" s="9"/>
      <c r="G113" s="85">
        <f t="shared" si="4"/>
        <v>0</v>
      </c>
      <c r="H113" s="4"/>
      <c r="I113" s="85">
        <f t="shared" si="5"/>
        <v>0</v>
      </c>
      <c r="J113" s="4"/>
      <c r="K113" s="100">
        <f t="shared" si="6"/>
        <v>0</v>
      </c>
      <c r="L113" s="85">
        <f t="shared" si="7"/>
        <v>0</v>
      </c>
    </row>
    <row r="114" spans="1:12" s="60" customFormat="1" x14ac:dyDescent="0.35">
      <c r="A114" s="21">
        <v>21</v>
      </c>
      <c r="B114" s="74" t="s">
        <v>70</v>
      </c>
      <c r="C114" s="39" t="s">
        <v>5</v>
      </c>
      <c r="D114" s="39"/>
      <c r="E114" s="75">
        <f>E117+E118</f>
        <v>0.90510000000000013</v>
      </c>
      <c r="F114" s="9"/>
      <c r="G114" s="85">
        <f t="shared" si="4"/>
        <v>0</v>
      </c>
      <c r="H114" s="3"/>
      <c r="I114" s="85">
        <f t="shared" si="5"/>
        <v>0</v>
      </c>
      <c r="J114" s="3"/>
      <c r="K114" s="100">
        <f t="shared" si="6"/>
        <v>0</v>
      </c>
      <c r="L114" s="85">
        <f t="shared" si="7"/>
        <v>0</v>
      </c>
    </row>
    <row r="115" spans="1:12" s="60" customFormat="1" x14ac:dyDescent="0.35">
      <c r="A115" s="21"/>
      <c r="B115" s="45" t="s">
        <v>39</v>
      </c>
      <c r="C115" s="46" t="s">
        <v>5</v>
      </c>
      <c r="D115" s="4">
        <v>1</v>
      </c>
      <c r="E115" s="4">
        <f>E114*D115</f>
        <v>0.90510000000000013</v>
      </c>
      <c r="F115" s="4"/>
      <c r="G115" s="85">
        <f t="shared" si="4"/>
        <v>0</v>
      </c>
      <c r="H115" s="4"/>
      <c r="I115" s="85">
        <f t="shared" si="5"/>
        <v>0</v>
      </c>
      <c r="J115" s="4"/>
      <c r="K115" s="100">
        <f t="shared" si="6"/>
        <v>0</v>
      </c>
      <c r="L115" s="85">
        <f t="shared" si="7"/>
        <v>0</v>
      </c>
    </row>
    <row r="116" spans="1:12" s="60" customFormat="1" x14ac:dyDescent="0.35">
      <c r="A116" s="21"/>
      <c r="B116" s="10" t="s">
        <v>71</v>
      </c>
      <c r="C116" s="5" t="s">
        <v>6</v>
      </c>
      <c r="D116" s="4">
        <v>6.8</v>
      </c>
      <c r="E116" s="4">
        <f>D116*E114</f>
        <v>6.1546800000000008</v>
      </c>
      <c r="F116" s="9"/>
      <c r="G116" s="85">
        <f t="shared" si="4"/>
        <v>0</v>
      </c>
      <c r="H116" s="4"/>
      <c r="I116" s="85">
        <f t="shared" si="5"/>
        <v>0</v>
      </c>
      <c r="J116" s="4"/>
      <c r="K116" s="100">
        <f t="shared" si="6"/>
        <v>0</v>
      </c>
      <c r="L116" s="85">
        <f t="shared" si="7"/>
        <v>0</v>
      </c>
    </row>
    <row r="117" spans="1:12" s="60" customFormat="1" x14ac:dyDescent="0.35">
      <c r="A117" s="21"/>
      <c r="B117" s="129" t="s">
        <v>123</v>
      </c>
      <c r="C117" s="130" t="s">
        <v>5</v>
      </c>
      <c r="D117" s="131" t="s">
        <v>29</v>
      </c>
      <c r="E117" s="12">
        <f>0.81*1.05</f>
        <v>0.85050000000000014</v>
      </c>
      <c r="F117" s="4"/>
      <c r="G117" s="85">
        <f t="shared" si="4"/>
        <v>0</v>
      </c>
      <c r="H117" s="4"/>
      <c r="I117" s="85">
        <f t="shared" si="5"/>
        <v>0</v>
      </c>
      <c r="J117" s="4"/>
      <c r="K117" s="100">
        <f t="shared" si="6"/>
        <v>0</v>
      </c>
      <c r="L117" s="85">
        <f t="shared" si="7"/>
        <v>0</v>
      </c>
    </row>
    <row r="118" spans="1:12" s="60" customFormat="1" x14ac:dyDescent="0.35">
      <c r="A118" s="21"/>
      <c r="B118" s="132" t="s">
        <v>124</v>
      </c>
      <c r="C118" s="130" t="s">
        <v>5</v>
      </c>
      <c r="D118" s="131" t="s">
        <v>29</v>
      </c>
      <c r="E118" s="12">
        <f>0.052*1.05</f>
        <v>5.4600000000000003E-2</v>
      </c>
      <c r="F118" s="4"/>
      <c r="G118" s="85">
        <f t="shared" si="4"/>
        <v>0</v>
      </c>
      <c r="H118" s="4"/>
      <c r="I118" s="85">
        <f t="shared" si="5"/>
        <v>0</v>
      </c>
      <c r="J118" s="4"/>
      <c r="K118" s="100">
        <f t="shared" si="6"/>
        <v>0</v>
      </c>
      <c r="L118" s="85">
        <f t="shared" si="7"/>
        <v>0</v>
      </c>
    </row>
    <row r="119" spans="1:12" s="60" customFormat="1" x14ac:dyDescent="0.35">
      <c r="A119" s="21"/>
      <c r="B119" s="10" t="s">
        <v>14</v>
      </c>
      <c r="C119" s="5" t="s">
        <v>6</v>
      </c>
      <c r="D119" s="5">
        <v>12.2</v>
      </c>
      <c r="E119" s="4">
        <f>D119*E114</f>
        <v>11.04222</v>
      </c>
      <c r="F119" s="9"/>
      <c r="G119" s="85">
        <f t="shared" si="4"/>
        <v>0</v>
      </c>
      <c r="H119" s="4"/>
      <c r="I119" s="85">
        <f t="shared" si="5"/>
        <v>0</v>
      </c>
      <c r="J119" s="4"/>
      <c r="K119" s="100">
        <f t="shared" si="6"/>
        <v>0</v>
      </c>
      <c r="L119" s="85">
        <f t="shared" si="7"/>
        <v>0</v>
      </c>
    </row>
    <row r="120" spans="1:12" s="60" customFormat="1" x14ac:dyDescent="0.35">
      <c r="A120" s="26"/>
      <c r="B120" s="43" t="s">
        <v>89</v>
      </c>
      <c r="C120" s="5"/>
      <c r="D120" s="5"/>
      <c r="E120" s="4"/>
      <c r="F120" s="9"/>
      <c r="G120" s="85">
        <f t="shared" si="4"/>
        <v>0</v>
      </c>
      <c r="H120" s="4"/>
      <c r="I120" s="85">
        <f t="shared" si="5"/>
        <v>0</v>
      </c>
      <c r="J120" s="4"/>
      <c r="K120" s="100">
        <f t="shared" si="6"/>
        <v>0</v>
      </c>
      <c r="L120" s="85">
        <f t="shared" si="7"/>
        <v>0</v>
      </c>
    </row>
    <row r="121" spans="1:12" s="60" customFormat="1" ht="40.5" x14ac:dyDescent="0.35">
      <c r="A121" s="68">
        <v>22</v>
      </c>
      <c r="B121" s="36" t="s">
        <v>270</v>
      </c>
      <c r="C121" s="40" t="s">
        <v>15</v>
      </c>
      <c r="D121" s="40"/>
      <c r="E121" s="38">
        <v>132.80000000000001</v>
      </c>
      <c r="F121" s="9"/>
      <c r="G121" s="85">
        <f t="shared" si="4"/>
        <v>0</v>
      </c>
      <c r="H121" s="4"/>
      <c r="I121" s="85">
        <f t="shared" si="5"/>
        <v>0</v>
      </c>
      <c r="J121" s="4"/>
      <c r="K121" s="100">
        <f t="shared" si="6"/>
        <v>0</v>
      </c>
      <c r="L121" s="85">
        <f t="shared" si="7"/>
        <v>0</v>
      </c>
    </row>
    <row r="122" spans="1:12" s="60" customFormat="1" x14ac:dyDescent="0.35">
      <c r="A122" s="68"/>
      <c r="B122" s="45" t="s">
        <v>39</v>
      </c>
      <c r="C122" s="46" t="s">
        <v>24</v>
      </c>
      <c r="D122" s="4">
        <v>1</v>
      </c>
      <c r="E122" s="4">
        <f>E121*D122</f>
        <v>132.80000000000001</v>
      </c>
      <c r="F122" s="4"/>
      <c r="G122" s="85">
        <f t="shared" si="4"/>
        <v>0</v>
      </c>
      <c r="H122" s="4"/>
      <c r="I122" s="85">
        <f t="shared" si="5"/>
        <v>0</v>
      </c>
      <c r="J122" s="4"/>
      <c r="K122" s="100">
        <f t="shared" si="6"/>
        <v>0</v>
      </c>
      <c r="L122" s="85">
        <f t="shared" si="7"/>
        <v>0</v>
      </c>
    </row>
    <row r="123" spans="1:12" s="60" customFormat="1" x14ac:dyDescent="0.35">
      <c r="A123" s="68"/>
      <c r="B123" s="10" t="s">
        <v>25</v>
      </c>
      <c r="C123" s="5" t="s">
        <v>6</v>
      </c>
      <c r="D123" s="5">
        <v>0.37</v>
      </c>
      <c r="E123" s="4">
        <f>E121*D123</f>
        <v>49.136000000000003</v>
      </c>
      <c r="F123" s="9"/>
      <c r="G123" s="85">
        <f t="shared" si="4"/>
        <v>0</v>
      </c>
      <c r="H123" s="4"/>
      <c r="I123" s="85">
        <f t="shared" si="5"/>
        <v>0</v>
      </c>
      <c r="J123" s="4"/>
      <c r="K123" s="100">
        <f t="shared" si="6"/>
        <v>0</v>
      </c>
      <c r="L123" s="85">
        <f t="shared" si="7"/>
        <v>0</v>
      </c>
    </row>
    <row r="124" spans="1:12" s="60" customFormat="1" x14ac:dyDescent="0.35">
      <c r="A124" s="68"/>
      <c r="B124" s="10" t="s">
        <v>248</v>
      </c>
      <c r="C124" s="5" t="s">
        <v>16</v>
      </c>
      <c r="D124" s="5">
        <v>1.22</v>
      </c>
      <c r="E124" s="4">
        <f>E121*D124</f>
        <v>162.01600000000002</v>
      </c>
      <c r="F124" s="125"/>
      <c r="G124" s="85">
        <f t="shared" si="4"/>
        <v>0</v>
      </c>
      <c r="H124" s="4"/>
      <c r="I124" s="85">
        <f t="shared" si="5"/>
        <v>0</v>
      </c>
      <c r="J124" s="4"/>
      <c r="K124" s="100">
        <f t="shared" si="6"/>
        <v>0</v>
      </c>
      <c r="L124" s="85">
        <f t="shared" si="7"/>
        <v>0</v>
      </c>
    </row>
    <row r="125" spans="1:12" s="60" customFormat="1" x14ac:dyDescent="0.35">
      <c r="A125" s="68"/>
      <c r="B125" s="10" t="s">
        <v>91</v>
      </c>
      <c r="C125" s="5" t="s">
        <v>5</v>
      </c>
      <c r="D125" s="4">
        <v>1.6</v>
      </c>
      <c r="E125" s="4">
        <f>D125*E124</f>
        <v>259.22560000000004</v>
      </c>
      <c r="F125" s="9"/>
      <c r="G125" s="85">
        <f t="shared" si="4"/>
        <v>0</v>
      </c>
      <c r="H125" s="4"/>
      <c r="I125" s="85">
        <f t="shared" si="5"/>
        <v>0</v>
      </c>
      <c r="J125" s="4"/>
      <c r="K125" s="100">
        <f t="shared" si="6"/>
        <v>0</v>
      </c>
      <c r="L125" s="85">
        <f t="shared" si="7"/>
        <v>0</v>
      </c>
    </row>
    <row r="126" spans="1:12" s="60" customFormat="1" x14ac:dyDescent="0.35">
      <c r="A126" s="68"/>
      <c r="B126" s="10" t="s">
        <v>14</v>
      </c>
      <c r="C126" s="5" t="s">
        <v>6</v>
      </c>
      <c r="D126" s="5">
        <v>0.02</v>
      </c>
      <c r="E126" s="4">
        <f>E121*D126</f>
        <v>2.6560000000000001</v>
      </c>
      <c r="F126" s="9"/>
      <c r="G126" s="85">
        <f t="shared" si="4"/>
        <v>0</v>
      </c>
      <c r="H126" s="4"/>
      <c r="I126" s="85">
        <f t="shared" si="5"/>
        <v>0</v>
      </c>
      <c r="J126" s="4"/>
      <c r="K126" s="100">
        <f t="shared" si="6"/>
        <v>0</v>
      </c>
      <c r="L126" s="85">
        <f t="shared" si="7"/>
        <v>0</v>
      </c>
    </row>
    <row r="127" spans="1:12" s="60" customFormat="1" ht="27" x14ac:dyDescent="0.35">
      <c r="A127" s="68">
        <v>23</v>
      </c>
      <c r="B127" s="36" t="s">
        <v>90</v>
      </c>
      <c r="C127" s="40" t="s">
        <v>15</v>
      </c>
      <c r="D127" s="40"/>
      <c r="E127" s="38">
        <v>49.8</v>
      </c>
      <c r="F127" s="9"/>
      <c r="G127" s="85">
        <f t="shared" si="4"/>
        <v>0</v>
      </c>
      <c r="H127" s="4"/>
      <c r="I127" s="85">
        <f t="shared" si="5"/>
        <v>0</v>
      </c>
      <c r="J127" s="4"/>
      <c r="K127" s="100">
        <f t="shared" si="6"/>
        <v>0</v>
      </c>
      <c r="L127" s="85">
        <f t="shared" si="7"/>
        <v>0</v>
      </c>
    </row>
    <row r="128" spans="1:12" s="60" customFormat="1" x14ac:dyDescent="0.35">
      <c r="A128" s="68"/>
      <c r="B128" s="45" t="s">
        <v>39</v>
      </c>
      <c r="C128" s="46" t="s">
        <v>24</v>
      </c>
      <c r="D128" s="4">
        <v>1</v>
      </c>
      <c r="E128" s="4">
        <f>E127*D128</f>
        <v>49.8</v>
      </c>
      <c r="F128" s="4"/>
      <c r="G128" s="85">
        <f t="shared" si="4"/>
        <v>0</v>
      </c>
      <c r="H128" s="4"/>
      <c r="I128" s="85">
        <f t="shared" si="5"/>
        <v>0</v>
      </c>
      <c r="J128" s="4"/>
      <c r="K128" s="100">
        <f t="shared" si="6"/>
        <v>0</v>
      </c>
      <c r="L128" s="85">
        <f t="shared" si="7"/>
        <v>0</v>
      </c>
    </row>
    <row r="129" spans="1:12" s="60" customFormat="1" x14ac:dyDescent="0.35">
      <c r="A129" s="68"/>
      <c r="B129" s="10" t="s">
        <v>25</v>
      </c>
      <c r="C129" s="5" t="s">
        <v>6</v>
      </c>
      <c r="D129" s="5">
        <v>0.37</v>
      </c>
      <c r="E129" s="4">
        <f>E127*D129</f>
        <v>18.425999999999998</v>
      </c>
      <c r="F129" s="9"/>
      <c r="G129" s="85">
        <f t="shared" si="4"/>
        <v>0</v>
      </c>
      <c r="H129" s="4"/>
      <c r="I129" s="85">
        <f t="shared" si="5"/>
        <v>0</v>
      </c>
      <c r="J129" s="4"/>
      <c r="K129" s="100">
        <f t="shared" si="6"/>
        <v>0</v>
      </c>
      <c r="L129" s="85">
        <f t="shared" si="7"/>
        <v>0</v>
      </c>
    </row>
    <row r="130" spans="1:12" s="60" customFormat="1" x14ac:dyDescent="0.35">
      <c r="A130" s="68"/>
      <c r="B130" s="10" t="s">
        <v>73</v>
      </c>
      <c r="C130" s="5" t="s">
        <v>16</v>
      </c>
      <c r="D130" s="5">
        <v>1.22</v>
      </c>
      <c r="E130" s="4">
        <f>E127*D130</f>
        <v>60.755999999999993</v>
      </c>
      <c r="F130" s="125"/>
      <c r="G130" s="85">
        <f t="shared" si="4"/>
        <v>0</v>
      </c>
      <c r="H130" s="4"/>
      <c r="I130" s="85">
        <f t="shared" si="5"/>
        <v>0</v>
      </c>
      <c r="J130" s="4"/>
      <c r="K130" s="100">
        <f t="shared" si="6"/>
        <v>0</v>
      </c>
      <c r="L130" s="85">
        <f t="shared" si="7"/>
        <v>0</v>
      </c>
    </row>
    <row r="131" spans="1:12" s="60" customFormat="1" x14ac:dyDescent="0.35">
      <c r="A131" s="68"/>
      <c r="B131" s="10" t="s">
        <v>92</v>
      </c>
      <c r="C131" s="5" t="s">
        <v>5</v>
      </c>
      <c r="D131" s="4">
        <v>1.6</v>
      </c>
      <c r="E131" s="4">
        <f>D131*E130</f>
        <v>97.209599999999995</v>
      </c>
      <c r="F131" s="9"/>
      <c r="G131" s="85">
        <f t="shared" si="4"/>
        <v>0</v>
      </c>
      <c r="H131" s="4"/>
      <c r="I131" s="85">
        <f t="shared" si="5"/>
        <v>0</v>
      </c>
      <c r="J131" s="4"/>
      <c r="K131" s="100">
        <f t="shared" si="6"/>
        <v>0</v>
      </c>
      <c r="L131" s="85">
        <f t="shared" si="7"/>
        <v>0</v>
      </c>
    </row>
    <row r="132" spans="1:12" s="60" customFormat="1" x14ac:dyDescent="0.35">
      <c r="A132" s="68"/>
      <c r="B132" s="10" t="s">
        <v>14</v>
      </c>
      <c r="C132" s="5" t="s">
        <v>6</v>
      </c>
      <c r="D132" s="5">
        <v>0.02</v>
      </c>
      <c r="E132" s="4">
        <f>E127*D132</f>
        <v>0.996</v>
      </c>
      <c r="F132" s="9"/>
      <c r="G132" s="85">
        <f t="shared" si="4"/>
        <v>0</v>
      </c>
      <c r="H132" s="4"/>
      <c r="I132" s="85">
        <f t="shared" si="5"/>
        <v>0</v>
      </c>
      <c r="J132" s="4"/>
      <c r="K132" s="100">
        <f t="shared" si="6"/>
        <v>0</v>
      </c>
      <c r="L132" s="85">
        <f t="shared" si="7"/>
        <v>0</v>
      </c>
    </row>
    <row r="133" spans="1:12" s="60" customFormat="1" ht="27" x14ac:dyDescent="0.35">
      <c r="A133" s="68">
        <v>24</v>
      </c>
      <c r="B133" s="36" t="s">
        <v>134</v>
      </c>
      <c r="C133" s="37" t="s">
        <v>56</v>
      </c>
      <c r="D133" s="37"/>
      <c r="E133" s="38">
        <v>31.21</v>
      </c>
      <c r="F133" s="9"/>
      <c r="G133" s="85">
        <f t="shared" si="4"/>
        <v>0</v>
      </c>
      <c r="H133" s="4"/>
      <c r="I133" s="85">
        <f t="shared" si="5"/>
        <v>0</v>
      </c>
      <c r="J133" s="4"/>
      <c r="K133" s="100">
        <f t="shared" si="6"/>
        <v>0</v>
      </c>
      <c r="L133" s="85">
        <f t="shared" si="7"/>
        <v>0</v>
      </c>
    </row>
    <row r="134" spans="1:12" s="60" customFormat="1" x14ac:dyDescent="0.35">
      <c r="A134" s="68"/>
      <c r="B134" s="45" t="s">
        <v>39</v>
      </c>
      <c r="C134" s="46" t="s">
        <v>24</v>
      </c>
      <c r="D134" s="4">
        <v>1</v>
      </c>
      <c r="E134" s="4">
        <f>E133*D134</f>
        <v>31.21</v>
      </c>
      <c r="F134" s="4"/>
      <c r="G134" s="85">
        <f t="shared" si="4"/>
        <v>0</v>
      </c>
      <c r="H134" s="4"/>
      <c r="I134" s="85">
        <f t="shared" si="5"/>
        <v>0</v>
      </c>
      <c r="J134" s="4"/>
      <c r="K134" s="100">
        <f t="shared" si="6"/>
        <v>0</v>
      </c>
      <c r="L134" s="85">
        <f t="shared" si="7"/>
        <v>0</v>
      </c>
    </row>
    <row r="135" spans="1:12" s="60" customFormat="1" x14ac:dyDescent="0.35">
      <c r="A135" s="68"/>
      <c r="B135" s="10" t="s">
        <v>25</v>
      </c>
      <c r="C135" s="5" t="s">
        <v>6</v>
      </c>
      <c r="D135" s="5">
        <v>1.08</v>
      </c>
      <c r="E135" s="4">
        <f>D135*E133</f>
        <v>33.706800000000001</v>
      </c>
      <c r="F135" s="9"/>
      <c r="G135" s="85">
        <f t="shared" si="4"/>
        <v>0</v>
      </c>
      <c r="H135" s="4"/>
      <c r="I135" s="85">
        <f t="shared" si="5"/>
        <v>0</v>
      </c>
      <c r="J135" s="4"/>
      <c r="K135" s="100">
        <f t="shared" si="6"/>
        <v>0</v>
      </c>
      <c r="L135" s="85">
        <f t="shared" si="7"/>
        <v>0</v>
      </c>
    </row>
    <row r="136" spans="1:12" s="60" customFormat="1" x14ac:dyDescent="0.35">
      <c r="A136" s="68"/>
      <c r="B136" s="133" t="s">
        <v>77</v>
      </c>
      <c r="C136" s="130" t="s">
        <v>16</v>
      </c>
      <c r="D136" s="130">
        <v>1.0149999999999999</v>
      </c>
      <c r="E136" s="4">
        <f>D136*E133</f>
        <v>31.678149999999999</v>
      </c>
      <c r="F136" s="9"/>
      <c r="G136" s="85">
        <f t="shared" si="4"/>
        <v>0</v>
      </c>
      <c r="H136" s="4"/>
      <c r="I136" s="85">
        <f t="shared" si="5"/>
        <v>0</v>
      </c>
      <c r="J136" s="4"/>
      <c r="K136" s="100">
        <f t="shared" si="6"/>
        <v>0</v>
      </c>
      <c r="L136" s="85">
        <f t="shared" si="7"/>
        <v>0</v>
      </c>
    </row>
    <row r="137" spans="1:12" s="60" customFormat="1" x14ac:dyDescent="0.35">
      <c r="A137" s="68"/>
      <c r="B137" s="133" t="s">
        <v>68</v>
      </c>
      <c r="C137" s="130" t="s">
        <v>16</v>
      </c>
      <c r="D137" s="131">
        <v>1</v>
      </c>
      <c r="E137" s="4">
        <f>D137*E133</f>
        <v>31.21</v>
      </c>
      <c r="F137" s="9"/>
      <c r="G137" s="85">
        <f t="shared" si="4"/>
        <v>0</v>
      </c>
      <c r="H137" s="4"/>
      <c r="I137" s="85">
        <f t="shared" si="5"/>
        <v>0</v>
      </c>
      <c r="J137" s="4"/>
      <c r="K137" s="100">
        <f t="shared" si="6"/>
        <v>0</v>
      </c>
      <c r="L137" s="85">
        <f t="shared" si="7"/>
        <v>0</v>
      </c>
    </row>
    <row r="138" spans="1:12" s="60" customFormat="1" x14ac:dyDescent="0.35">
      <c r="A138" s="68"/>
      <c r="B138" s="10" t="s">
        <v>74</v>
      </c>
      <c r="C138" s="5" t="s">
        <v>17</v>
      </c>
      <c r="D138" s="5">
        <v>0.14000000000000001</v>
      </c>
      <c r="E138" s="4">
        <f>D138*E133</f>
        <v>4.3694000000000006</v>
      </c>
      <c r="F138" s="9"/>
      <c r="G138" s="85">
        <f t="shared" si="4"/>
        <v>0</v>
      </c>
      <c r="H138" s="4"/>
      <c r="I138" s="85">
        <f t="shared" si="5"/>
        <v>0</v>
      </c>
      <c r="J138" s="4"/>
      <c r="K138" s="100">
        <f t="shared" si="6"/>
        <v>0</v>
      </c>
      <c r="L138" s="85">
        <f t="shared" si="7"/>
        <v>0</v>
      </c>
    </row>
    <row r="139" spans="1:12" s="60" customFormat="1" x14ac:dyDescent="0.35">
      <c r="A139" s="68"/>
      <c r="B139" s="17" t="s">
        <v>75</v>
      </c>
      <c r="C139" s="5" t="s">
        <v>16</v>
      </c>
      <c r="D139" s="5">
        <v>1.6999999999999999E-3</v>
      </c>
      <c r="E139" s="12">
        <f>D139*E133</f>
        <v>5.3057E-2</v>
      </c>
      <c r="F139" s="9"/>
      <c r="G139" s="85">
        <f t="shared" si="4"/>
        <v>0</v>
      </c>
      <c r="H139" s="4"/>
      <c r="I139" s="85">
        <f t="shared" si="5"/>
        <v>0</v>
      </c>
      <c r="J139" s="4"/>
      <c r="K139" s="100">
        <f t="shared" si="6"/>
        <v>0</v>
      </c>
      <c r="L139" s="85">
        <f t="shared" si="7"/>
        <v>0</v>
      </c>
    </row>
    <row r="140" spans="1:12" s="60" customFormat="1" x14ac:dyDescent="0.35">
      <c r="A140" s="68"/>
      <c r="B140" s="17" t="s">
        <v>76</v>
      </c>
      <c r="C140" s="5" t="s">
        <v>21</v>
      </c>
      <c r="D140" s="5"/>
      <c r="E140" s="4">
        <v>808</v>
      </c>
      <c r="F140" s="9"/>
      <c r="G140" s="85">
        <f t="shared" ref="G140:G203" si="8">F140*E140</f>
        <v>0</v>
      </c>
      <c r="H140" s="4"/>
      <c r="I140" s="85">
        <f t="shared" ref="I140:I203" si="9">H140*E140</f>
        <v>0</v>
      </c>
      <c r="J140" s="4"/>
      <c r="K140" s="100">
        <f t="shared" ref="K140:K203" si="10">J140*E140</f>
        <v>0</v>
      </c>
      <c r="L140" s="85">
        <f t="shared" ref="L140:L203" si="11">K140+I140+G140</f>
        <v>0</v>
      </c>
    </row>
    <row r="141" spans="1:12" s="60" customFormat="1" x14ac:dyDescent="0.35">
      <c r="A141" s="68"/>
      <c r="B141" s="10" t="s">
        <v>14</v>
      </c>
      <c r="C141" s="5" t="s">
        <v>6</v>
      </c>
      <c r="D141" s="5">
        <v>0.22</v>
      </c>
      <c r="E141" s="4">
        <f>D141*E133</f>
        <v>6.8662000000000001</v>
      </c>
      <c r="F141" s="9"/>
      <c r="G141" s="85">
        <f t="shared" si="8"/>
        <v>0</v>
      </c>
      <c r="H141" s="4"/>
      <c r="I141" s="85">
        <f t="shared" si="9"/>
        <v>0</v>
      </c>
      <c r="J141" s="4"/>
      <c r="K141" s="100">
        <f t="shared" si="10"/>
        <v>0</v>
      </c>
      <c r="L141" s="85">
        <f t="shared" si="11"/>
        <v>0</v>
      </c>
    </row>
    <row r="142" spans="1:12" s="60" customFormat="1" x14ac:dyDescent="0.35">
      <c r="A142" s="21">
        <v>25</v>
      </c>
      <c r="B142" s="74" t="s">
        <v>70</v>
      </c>
      <c r="C142" s="39" t="s">
        <v>5</v>
      </c>
      <c r="D142" s="39"/>
      <c r="E142" s="75">
        <f>E145</f>
        <v>1.1864999999999999</v>
      </c>
      <c r="F142" s="9"/>
      <c r="G142" s="85">
        <f t="shared" si="8"/>
        <v>0</v>
      </c>
      <c r="H142" s="3"/>
      <c r="I142" s="85">
        <f t="shared" si="9"/>
        <v>0</v>
      </c>
      <c r="J142" s="3"/>
      <c r="K142" s="100">
        <f t="shared" si="10"/>
        <v>0</v>
      </c>
      <c r="L142" s="85">
        <f t="shared" si="11"/>
        <v>0</v>
      </c>
    </row>
    <row r="143" spans="1:12" s="60" customFormat="1" x14ac:dyDescent="0.35">
      <c r="A143" s="21"/>
      <c r="B143" s="45" t="s">
        <v>39</v>
      </c>
      <c r="C143" s="46" t="s">
        <v>5</v>
      </c>
      <c r="D143" s="4">
        <v>1</v>
      </c>
      <c r="E143" s="4">
        <f>E142*D143</f>
        <v>1.1864999999999999</v>
      </c>
      <c r="F143" s="4"/>
      <c r="G143" s="85">
        <f t="shared" si="8"/>
        <v>0</v>
      </c>
      <c r="H143" s="4"/>
      <c r="I143" s="85">
        <f t="shared" si="9"/>
        <v>0</v>
      </c>
      <c r="J143" s="4"/>
      <c r="K143" s="100">
        <f t="shared" si="10"/>
        <v>0</v>
      </c>
      <c r="L143" s="85">
        <f t="shared" si="11"/>
        <v>0</v>
      </c>
    </row>
    <row r="144" spans="1:12" s="60" customFormat="1" x14ac:dyDescent="0.35">
      <c r="A144" s="21"/>
      <c r="B144" s="10" t="s">
        <v>71</v>
      </c>
      <c r="C144" s="5" t="s">
        <v>6</v>
      </c>
      <c r="D144" s="4">
        <v>6.8</v>
      </c>
      <c r="E144" s="4">
        <f>D144*E142</f>
        <v>8.0681999999999992</v>
      </c>
      <c r="F144" s="9"/>
      <c r="G144" s="85">
        <f t="shared" si="8"/>
        <v>0</v>
      </c>
      <c r="H144" s="4"/>
      <c r="I144" s="85">
        <f t="shared" si="9"/>
        <v>0</v>
      </c>
      <c r="J144" s="4"/>
      <c r="K144" s="100">
        <f t="shared" si="10"/>
        <v>0</v>
      </c>
      <c r="L144" s="85">
        <f t="shared" si="11"/>
        <v>0</v>
      </c>
    </row>
    <row r="145" spans="1:12" s="60" customFormat="1" x14ac:dyDescent="0.35">
      <c r="A145" s="21"/>
      <c r="B145" s="129" t="s">
        <v>133</v>
      </c>
      <c r="C145" s="130" t="s">
        <v>5</v>
      </c>
      <c r="D145" s="131" t="s">
        <v>29</v>
      </c>
      <c r="E145" s="12">
        <f>1.13*1.05</f>
        <v>1.1864999999999999</v>
      </c>
      <c r="F145" s="4"/>
      <c r="G145" s="85">
        <f t="shared" si="8"/>
        <v>0</v>
      </c>
      <c r="H145" s="4"/>
      <c r="I145" s="85">
        <f t="shared" si="9"/>
        <v>0</v>
      </c>
      <c r="J145" s="4"/>
      <c r="K145" s="100">
        <f t="shared" si="10"/>
        <v>0</v>
      </c>
      <c r="L145" s="85">
        <f t="shared" si="11"/>
        <v>0</v>
      </c>
    </row>
    <row r="146" spans="1:12" s="60" customFormat="1" x14ac:dyDescent="0.35">
      <c r="A146" s="21"/>
      <c r="B146" s="76" t="s">
        <v>14</v>
      </c>
      <c r="C146" s="102" t="s">
        <v>6</v>
      </c>
      <c r="D146" s="102">
        <v>12.2</v>
      </c>
      <c r="E146" s="103">
        <f>D146*E142</f>
        <v>14.475299999999997</v>
      </c>
      <c r="F146" s="77"/>
      <c r="G146" s="85">
        <f t="shared" si="8"/>
        <v>0</v>
      </c>
      <c r="H146" s="103"/>
      <c r="I146" s="85">
        <f t="shared" si="9"/>
        <v>0</v>
      </c>
      <c r="J146" s="103"/>
      <c r="K146" s="100">
        <f t="shared" si="10"/>
        <v>0</v>
      </c>
      <c r="L146" s="85">
        <f t="shared" si="11"/>
        <v>0</v>
      </c>
    </row>
    <row r="147" spans="1:12" s="60" customFormat="1" x14ac:dyDescent="0.35">
      <c r="A147" s="81"/>
      <c r="B147" s="43" t="s">
        <v>95</v>
      </c>
      <c r="C147" s="78"/>
      <c r="D147" s="78"/>
      <c r="E147" s="79"/>
      <c r="F147" s="80"/>
      <c r="G147" s="85">
        <f t="shared" si="8"/>
        <v>0</v>
      </c>
      <c r="H147" s="79"/>
      <c r="I147" s="85">
        <f t="shared" si="9"/>
        <v>0</v>
      </c>
      <c r="J147" s="79"/>
      <c r="K147" s="100">
        <f t="shared" si="10"/>
        <v>0</v>
      </c>
      <c r="L147" s="85">
        <f t="shared" si="11"/>
        <v>0</v>
      </c>
    </row>
    <row r="148" spans="1:12" s="60" customFormat="1" ht="27" x14ac:dyDescent="0.35">
      <c r="A148" s="68">
        <v>26</v>
      </c>
      <c r="B148" s="36" t="s">
        <v>122</v>
      </c>
      <c r="C148" s="37" t="s">
        <v>56</v>
      </c>
      <c r="D148" s="37"/>
      <c r="E148" s="38">
        <v>4.42</v>
      </c>
      <c r="F148" s="9"/>
      <c r="G148" s="85">
        <f t="shared" si="8"/>
        <v>0</v>
      </c>
      <c r="H148" s="4"/>
      <c r="I148" s="85">
        <f t="shared" si="9"/>
        <v>0</v>
      </c>
      <c r="J148" s="4"/>
      <c r="K148" s="100">
        <f t="shared" si="10"/>
        <v>0</v>
      </c>
      <c r="L148" s="85">
        <f t="shared" si="11"/>
        <v>0</v>
      </c>
    </row>
    <row r="149" spans="1:12" s="60" customFormat="1" x14ac:dyDescent="0.35">
      <c r="A149" s="68"/>
      <c r="B149" s="45" t="s">
        <v>39</v>
      </c>
      <c r="C149" s="46" t="s">
        <v>24</v>
      </c>
      <c r="D149" s="4">
        <v>1</v>
      </c>
      <c r="E149" s="4">
        <f>E148*D149</f>
        <v>4.42</v>
      </c>
      <c r="F149" s="4"/>
      <c r="G149" s="85">
        <f t="shared" si="8"/>
        <v>0</v>
      </c>
      <c r="H149" s="4"/>
      <c r="I149" s="85">
        <f t="shared" si="9"/>
        <v>0</v>
      </c>
      <c r="J149" s="4"/>
      <c r="K149" s="100">
        <f t="shared" si="10"/>
        <v>0</v>
      </c>
      <c r="L149" s="85">
        <f t="shared" si="11"/>
        <v>0</v>
      </c>
    </row>
    <row r="150" spans="1:12" s="60" customFormat="1" x14ac:dyDescent="0.35">
      <c r="A150" s="68"/>
      <c r="B150" s="10" t="s">
        <v>25</v>
      </c>
      <c r="C150" s="5" t="s">
        <v>6</v>
      </c>
      <c r="D150" s="5">
        <v>3.36</v>
      </c>
      <c r="E150" s="4">
        <f>D150*E148</f>
        <v>14.851199999999999</v>
      </c>
      <c r="F150" s="9"/>
      <c r="G150" s="85">
        <f t="shared" si="8"/>
        <v>0</v>
      </c>
      <c r="H150" s="4"/>
      <c r="I150" s="85">
        <f t="shared" si="9"/>
        <v>0</v>
      </c>
      <c r="J150" s="4"/>
      <c r="K150" s="100">
        <f t="shared" si="10"/>
        <v>0</v>
      </c>
      <c r="L150" s="85">
        <f t="shared" si="11"/>
        <v>0</v>
      </c>
    </row>
    <row r="151" spans="1:12" s="60" customFormat="1" x14ac:dyDescent="0.35">
      <c r="A151" s="68"/>
      <c r="B151" s="133" t="s">
        <v>97</v>
      </c>
      <c r="C151" s="130" t="s">
        <v>16</v>
      </c>
      <c r="D151" s="130">
        <v>1.0149999999999999</v>
      </c>
      <c r="E151" s="4">
        <f>D151*E148</f>
        <v>4.4862999999999991</v>
      </c>
      <c r="F151" s="9"/>
      <c r="G151" s="85">
        <f t="shared" si="8"/>
        <v>0</v>
      </c>
      <c r="H151" s="4"/>
      <c r="I151" s="85">
        <f t="shared" si="9"/>
        <v>0</v>
      </c>
      <c r="J151" s="4"/>
      <c r="K151" s="100">
        <f t="shared" si="10"/>
        <v>0</v>
      </c>
      <c r="L151" s="85">
        <f t="shared" si="11"/>
        <v>0</v>
      </c>
    </row>
    <row r="152" spans="1:12" s="60" customFormat="1" x14ac:dyDescent="0.35">
      <c r="A152" s="68"/>
      <c r="B152" s="133" t="s">
        <v>68</v>
      </c>
      <c r="C152" s="130" t="s">
        <v>16</v>
      </c>
      <c r="D152" s="131">
        <v>1</v>
      </c>
      <c r="E152" s="4">
        <f>D152*E148</f>
        <v>4.42</v>
      </c>
      <c r="F152" s="9"/>
      <c r="G152" s="85">
        <f t="shared" si="8"/>
        <v>0</v>
      </c>
      <c r="H152" s="4"/>
      <c r="I152" s="85">
        <f t="shared" si="9"/>
        <v>0</v>
      </c>
      <c r="J152" s="4"/>
      <c r="K152" s="100">
        <f t="shared" si="10"/>
        <v>0</v>
      </c>
      <c r="L152" s="85">
        <f t="shared" si="11"/>
        <v>0</v>
      </c>
    </row>
    <row r="153" spans="1:12" s="60" customFormat="1" x14ac:dyDescent="0.35">
      <c r="A153" s="68"/>
      <c r="B153" s="10" t="s">
        <v>74</v>
      </c>
      <c r="C153" s="5" t="s">
        <v>17</v>
      </c>
      <c r="D153" s="5">
        <v>2.42</v>
      </c>
      <c r="E153" s="4">
        <f>D153*E148</f>
        <v>10.696399999999999</v>
      </c>
      <c r="F153" s="9"/>
      <c r="G153" s="85">
        <f t="shared" si="8"/>
        <v>0</v>
      </c>
      <c r="H153" s="4"/>
      <c r="I153" s="85">
        <f t="shared" si="9"/>
        <v>0</v>
      </c>
      <c r="J153" s="4"/>
      <c r="K153" s="100">
        <f t="shared" si="10"/>
        <v>0</v>
      </c>
      <c r="L153" s="85">
        <f t="shared" si="11"/>
        <v>0</v>
      </c>
    </row>
    <row r="154" spans="1:12" s="60" customFormat="1" x14ac:dyDescent="0.35">
      <c r="A154" s="68"/>
      <c r="B154" s="17" t="s">
        <v>81</v>
      </c>
      <c r="C154" s="5" t="s">
        <v>16</v>
      </c>
      <c r="D154" s="5">
        <v>6.4799999999999996E-2</v>
      </c>
      <c r="E154" s="12">
        <f>D154*E148</f>
        <v>0.286416</v>
      </c>
      <c r="F154" s="9"/>
      <c r="G154" s="85">
        <f t="shared" si="8"/>
        <v>0</v>
      </c>
      <c r="H154" s="4"/>
      <c r="I154" s="85">
        <f t="shared" si="9"/>
        <v>0</v>
      </c>
      <c r="J154" s="4"/>
      <c r="K154" s="100">
        <f t="shared" si="10"/>
        <v>0</v>
      </c>
      <c r="L154" s="85">
        <f t="shared" si="11"/>
        <v>0</v>
      </c>
    </row>
    <row r="155" spans="1:12" s="60" customFormat="1" x14ac:dyDescent="0.35">
      <c r="A155" s="68"/>
      <c r="B155" s="17" t="s">
        <v>79</v>
      </c>
      <c r="C155" s="5" t="s">
        <v>7</v>
      </c>
      <c r="D155" s="4">
        <v>1.5</v>
      </c>
      <c r="E155" s="12">
        <f>D155*E148</f>
        <v>6.63</v>
      </c>
      <c r="F155" s="9"/>
      <c r="G155" s="85">
        <f t="shared" si="8"/>
        <v>0</v>
      </c>
      <c r="H155" s="4"/>
      <c r="I155" s="85">
        <f t="shared" si="9"/>
        <v>0</v>
      </c>
      <c r="J155" s="4"/>
      <c r="K155" s="100">
        <f t="shared" si="10"/>
        <v>0</v>
      </c>
      <c r="L155" s="85">
        <f t="shared" si="11"/>
        <v>0</v>
      </c>
    </row>
    <row r="156" spans="1:12" s="60" customFormat="1" x14ac:dyDescent="0.35">
      <c r="A156" s="68"/>
      <c r="B156" s="10" t="s">
        <v>30</v>
      </c>
      <c r="C156" s="5" t="s">
        <v>6</v>
      </c>
      <c r="D156" s="4">
        <v>0.6</v>
      </c>
      <c r="E156" s="4">
        <f>E148*D156</f>
        <v>2.6519999999999997</v>
      </c>
      <c r="F156" s="9"/>
      <c r="G156" s="85">
        <f t="shared" si="8"/>
        <v>0</v>
      </c>
      <c r="H156" s="4"/>
      <c r="I156" s="85">
        <f t="shared" si="9"/>
        <v>0</v>
      </c>
      <c r="J156" s="4"/>
      <c r="K156" s="100">
        <f t="shared" si="10"/>
        <v>0</v>
      </c>
      <c r="L156" s="85">
        <f t="shared" si="11"/>
        <v>0</v>
      </c>
    </row>
    <row r="157" spans="1:12" s="60" customFormat="1" x14ac:dyDescent="0.35">
      <c r="A157" s="26">
        <v>27</v>
      </c>
      <c r="B157" s="74" t="s">
        <v>70</v>
      </c>
      <c r="C157" s="39" t="s">
        <v>5</v>
      </c>
      <c r="D157" s="39"/>
      <c r="E157" s="75">
        <f>E160+E161+E162</f>
        <v>2.1946050000000001</v>
      </c>
      <c r="F157" s="9"/>
      <c r="G157" s="85">
        <f t="shared" si="8"/>
        <v>0</v>
      </c>
      <c r="H157" s="3"/>
      <c r="I157" s="85">
        <f t="shared" si="9"/>
        <v>0</v>
      </c>
      <c r="J157" s="3"/>
      <c r="K157" s="100">
        <f t="shared" si="10"/>
        <v>0</v>
      </c>
      <c r="L157" s="85">
        <f t="shared" si="11"/>
        <v>0</v>
      </c>
    </row>
    <row r="158" spans="1:12" s="60" customFormat="1" x14ac:dyDescent="0.35">
      <c r="A158" s="26"/>
      <c r="B158" s="45" t="s">
        <v>39</v>
      </c>
      <c r="C158" s="46" t="s">
        <v>5</v>
      </c>
      <c r="D158" s="4">
        <v>1</v>
      </c>
      <c r="E158" s="4">
        <f>E157*D158</f>
        <v>2.1946050000000001</v>
      </c>
      <c r="F158" s="4"/>
      <c r="G158" s="85">
        <f t="shared" si="8"/>
        <v>0</v>
      </c>
      <c r="H158" s="4"/>
      <c r="I158" s="85">
        <f t="shared" si="9"/>
        <v>0</v>
      </c>
      <c r="J158" s="4"/>
      <c r="K158" s="100">
        <f t="shared" si="10"/>
        <v>0</v>
      </c>
      <c r="L158" s="85">
        <f t="shared" si="11"/>
        <v>0</v>
      </c>
    </row>
    <row r="159" spans="1:12" s="60" customFormat="1" x14ac:dyDescent="0.35">
      <c r="A159" s="26"/>
      <c r="B159" s="10" t="s">
        <v>71</v>
      </c>
      <c r="C159" s="5" t="s">
        <v>6</v>
      </c>
      <c r="D159" s="4">
        <v>6.8</v>
      </c>
      <c r="E159" s="4">
        <f>D159*E157</f>
        <v>14.923314000000001</v>
      </c>
      <c r="F159" s="9"/>
      <c r="G159" s="85">
        <f t="shared" si="8"/>
        <v>0</v>
      </c>
      <c r="H159" s="4"/>
      <c r="I159" s="85">
        <f t="shared" si="9"/>
        <v>0</v>
      </c>
      <c r="J159" s="4"/>
      <c r="K159" s="100">
        <f t="shared" si="10"/>
        <v>0</v>
      </c>
      <c r="L159" s="85">
        <f t="shared" si="11"/>
        <v>0</v>
      </c>
    </row>
    <row r="160" spans="1:12" s="60" customFormat="1" x14ac:dyDescent="0.35">
      <c r="A160" s="26"/>
      <c r="B160" s="129" t="s">
        <v>130</v>
      </c>
      <c r="C160" s="130" t="s">
        <v>5</v>
      </c>
      <c r="D160" s="131" t="s">
        <v>29</v>
      </c>
      <c r="E160" s="12">
        <f>1.02*1.05</f>
        <v>1.0710000000000002</v>
      </c>
      <c r="F160" s="4"/>
      <c r="G160" s="85">
        <f t="shared" si="8"/>
        <v>0</v>
      </c>
      <c r="H160" s="4"/>
      <c r="I160" s="85">
        <f t="shared" si="9"/>
        <v>0</v>
      </c>
      <c r="J160" s="4"/>
      <c r="K160" s="100">
        <f t="shared" si="10"/>
        <v>0</v>
      </c>
      <c r="L160" s="85">
        <f t="shared" si="11"/>
        <v>0</v>
      </c>
    </row>
    <row r="161" spans="1:12" s="60" customFormat="1" x14ac:dyDescent="0.35">
      <c r="A161" s="26"/>
      <c r="B161" s="129" t="s">
        <v>131</v>
      </c>
      <c r="C161" s="130" t="s">
        <v>5</v>
      </c>
      <c r="D161" s="131" t="s">
        <v>29</v>
      </c>
      <c r="E161" s="12">
        <f>0.7711*1.05</f>
        <v>0.80965500000000001</v>
      </c>
      <c r="F161" s="4"/>
      <c r="G161" s="85">
        <f t="shared" si="8"/>
        <v>0</v>
      </c>
      <c r="H161" s="4"/>
      <c r="I161" s="85">
        <f t="shared" si="9"/>
        <v>0</v>
      </c>
      <c r="J161" s="4"/>
      <c r="K161" s="100">
        <f t="shared" si="10"/>
        <v>0</v>
      </c>
      <c r="L161" s="85">
        <f t="shared" si="11"/>
        <v>0</v>
      </c>
    </row>
    <row r="162" spans="1:12" s="60" customFormat="1" x14ac:dyDescent="0.35">
      <c r="A162" s="26"/>
      <c r="B162" s="132" t="s">
        <v>132</v>
      </c>
      <c r="C162" s="130" t="s">
        <v>5</v>
      </c>
      <c r="D162" s="131" t="s">
        <v>29</v>
      </c>
      <c r="E162" s="12">
        <f>0.299*1.05</f>
        <v>0.31395000000000001</v>
      </c>
      <c r="F162" s="4"/>
      <c r="G162" s="85">
        <f t="shared" si="8"/>
        <v>0</v>
      </c>
      <c r="H162" s="4"/>
      <c r="I162" s="85">
        <f t="shared" si="9"/>
        <v>0</v>
      </c>
      <c r="J162" s="4"/>
      <c r="K162" s="100">
        <f t="shared" si="10"/>
        <v>0</v>
      </c>
      <c r="L162" s="85">
        <f t="shared" si="11"/>
        <v>0</v>
      </c>
    </row>
    <row r="163" spans="1:12" s="60" customFormat="1" x14ac:dyDescent="0.35">
      <c r="A163" s="26"/>
      <c r="B163" s="10" t="s">
        <v>14</v>
      </c>
      <c r="C163" s="5" t="s">
        <v>6</v>
      </c>
      <c r="D163" s="5">
        <v>12.2</v>
      </c>
      <c r="E163" s="4">
        <f>D163*E157</f>
        <v>26.774180999999999</v>
      </c>
      <c r="F163" s="9"/>
      <c r="G163" s="85">
        <f t="shared" si="8"/>
        <v>0</v>
      </c>
      <c r="H163" s="4"/>
      <c r="I163" s="85">
        <f t="shared" si="9"/>
        <v>0</v>
      </c>
      <c r="J163" s="4"/>
      <c r="K163" s="100">
        <f t="shared" si="10"/>
        <v>0</v>
      </c>
      <c r="L163" s="85">
        <f t="shared" si="11"/>
        <v>0</v>
      </c>
    </row>
    <row r="164" spans="1:12" s="60" customFormat="1" x14ac:dyDescent="0.35">
      <c r="A164" s="68">
        <v>28</v>
      </c>
      <c r="B164" s="36" t="s">
        <v>138</v>
      </c>
      <c r="C164" s="37" t="s">
        <v>56</v>
      </c>
      <c r="D164" s="37"/>
      <c r="E164" s="38">
        <v>9.48</v>
      </c>
      <c r="F164" s="9"/>
      <c r="G164" s="85">
        <f t="shared" si="8"/>
        <v>0</v>
      </c>
      <c r="H164" s="4"/>
      <c r="I164" s="85">
        <f t="shared" si="9"/>
        <v>0</v>
      </c>
      <c r="J164" s="4"/>
      <c r="K164" s="100">
        <f t="shared" si="10"/>
        <v>0</v>
      </c>
      <c r="L164" s="85">
        <f t="shared" si="11"/>
        <v>0</v>
      </c>
    </row>
    <row r="165" spans="1:12" s="60" customFormat="1" x14ac:dyDescent="0.35">
      <c r="A165" s="68"/>
      <c r="B165" s="45" t="s">
        <v>39</v>
      </c>
      <c r="C165" s="46" t="s">
        <v>24</v>
      </c>
      <c r="D165" s="4">
        <v>1</v>
      </c>
      <c r="E165" s="4">
        <f>E164*D165</f>
        <v>9.48</v>
      </c>
      <c r="F165" s="4"/>
      <c r="G165" s="85">
        <f t="shared" si="8"/>
        <v>0</v>
      </c>
      <c r="H165" s="4"/>
      <c r="I165" s="85">
        <f t="shared" si="9"/>
        <v>0</v>
      </c>
      <c r="J165" s="4"/>
      <c r="K165" s="100">
        <f t="shared" si="10"/>
        <v>0</v>
      </c>
      <c r="L165" s="85">
        <f t="shared" si="11"/>
        <v>0</v>
      </c>
    </row>
    <row r="166" spans="1:12" s="60" customFormat="1" x14ac:dyDescent="0.35">
      <c r="A166" s="68"/>
      <c r="B166" s="10" t="s">
        <v>25</v>
      </c>
      <c r="C166" s="5" t="s">
        <v>6</v>
      </c>
      <c r="D166" s="5">
        <v>3.36</v>
      </c>
      <c r="E166" s="4">
        <f>D166*E164</f>
        <v>31.852800000000002</v>
      </c>
      <c r="F166" s="9"/>
      <c r="G166" s="85">
        <f t="shared" si="8"/>
        <v>0</v>
      </c>
      <c r="H166" s="4"/>
      <c r="I166" s="85">
        <f t="shared" si="9"/>
        <v>0</v>
      </c>
      <c r="J166" s="4"/>
      <c r="K166" s="100">
        <f t="shared" si="10"/>
        <v>0</v>
      </c>
      <c r="L166" s="85">
        <f t="shared" si="11"/>
        <v>0</v>
      </c>
    </row>
    <row r="167" spans="1:12" s="60" customFormat="1" x14ac:dyDescent="0.35">
      <c r="A167" s="68"/>
      <c r="B167" s="133" t="s">
        <v>97</v>
      </c>
      <c r="C167" s="130" t="s">
        <v>16</v>
      </c>
      <c r="D167" s="130">
        <v>1.0149999999999999</v>
      </c>
      <c r="E167" s="4">
        <f>D167*E164</f>
        <v>9.6221999999999994</v>
      </c>
      <c r="F167" s="9"/>
      <c r="G167" s="85">
        <f t="shared" si="8"/>
        <v>0</v>
      </c>
      <c r="H167" s="4"/>
      <c r="I167" s="85">
        <f t="shared" si="9"/>
        <v>0</v>
      </c>
      <c r="J167" s="4"/>
      <c r="K167" s="100">
        <f t="shared" si="10"/>
        <v>0</v>
      </c>
      <c r="L167" s="85">
        <f t="shared" si="11"/>
        <v>0</v>
      </c>
    </row>
    <row r="168" spans="1:12" s="60" customFormat="1" x14ac:dyDescent="0.35">
      <c r="A168" s="68"/>
      <c r="B168" s="133" t="s">
        <v>68</v>
      </c>
      <c r="C168" s="130" t="s">
        <v>16</v>
      </c>
      <c r="D168" s="131">
        <v>1</v>
      </c>
      <c r="E168" s="4">
        <f>D168*E164</f>
        <v>9.48</v>
      </c>
      <c r="F168" s="9"/>
      <c r="G168" s="85">
        <f t="shared" si="8"/>
        <v>0</v>
      </c>
      <c r="H168" s="4"/>
      <c r="I168" s="85">
        <f t="shared" si="9"/>
        <v>0</v>
      </c>
      <c r="J168" s="4"/>
      <c r="K168" s="100">
        <f t="shared" si="10"/>
        <v>0</v>
      </c>
      <c r="L168" s="85">
        <f t="shared" si="11"/>
        <v>0</v>
      </c>
    </row>
    <row r="169" spans="1:12" s="60" customFormat="1" x14ac:dyDescent="0.35">
      <c r="A169" s="68"/>
      <c r="B169" s="10" t="s">
        <v>74</v>
      </c>
      <c r="C169" s="5" t="s">
        <v>17</v>
      </c>
      <c r="D169" s="5">
        <v>2.42</v>
      </c>
      <c r="E169" s="4">
        <f>D169*E164</f>
        <v>22.941600000000001</v>
      </c>
      <c r="F169" s="9"/>
      <c r="G169" s="85">
        <f t="shared" si="8"/>
        <v>0</v>
      </c>
      <c r="H169" s="4"/>
      <c r="I169" s="85">
        <f t="shared" si="9"/>
        <v>0</v>
      </c>
      <c r="J169" s="4"/>
      <c r="K169" s="100">
        <f t="shared" si="10"/>
        <v>0</v>
      </c>
      <c r="L169" s="85">
        <f t="shared" si="11"/>
        <v>0</v>
      </c>
    </row>
    <row r="170" spans="1:12" s="60" customFormat="1" x14ac:dyDescent="0.35">
      <c r="A170" s="68"/>
      <c r="B170" s="17" t="s">
        <v>81</v>
      </c>
      <c r="C170" s="5" t="s">
        <v>16</v>
      </c>
      <c r="D170" s="5">
        <v>6.4799999999999996E-2</v>
      </c>
      <c r="E170" s="12">
        <f>D170*E164</f>
        <v>0.61430399999999996</v>
      </c>
      <c r="F170" s="9"/>
      <c r="G170" s="85">
        <f t="shared" si="8"/>
        <v>0</v>
      </c>
      <c r="H170" s="4"/>
      <c r="I170" s="85">
        <f t="shared" si="9"/>
        <v>0</v>
      </c>
      <c r="J170" s="4"/>
      <c r="K170" s="100">
        <f t="shared" si="10"/>
        <v>0</v>
      </c>
      <c r="L170" s="85">
        <f t="shared" si="11"/>
        <v>0</v>
      </c>
    </row>
    <row r="171" spans="1:12" s="60" customFormat="1" x14ac:dyDescent="0.35">
      <c r="A171" s="68"/>
      <c r="B171" s="17" t="s">
        <v>79</v>
      </c>
      <c r="C171" s="5" t="s">
        <v>7</v>
      </c>
      <c r="D171" s="4">
        <v>1.5</v>
      </c>
      <c r="E171" s="12">
        <f>D171*E164</f>
        <v>14.22</v>
      </c>
      <c r="F171" s="9"/>
      <c r="G171" s="85">
        <f t="shared" si="8"/>
        <v>0</v>
      </c>
      <c r="H171" s="4"/>
      <c r="I171" s="85">
        <f t="shared" si="9"/>
        <v>0</v>
      </c>
      <c r="J171" s="4"/>
      <c r="K171" s="100">
        <f t="shared" si="10"/>
        <v>0</v>
      </c>
      <c r="L171" s="85">
        <f t="shared" si="11"/>
        <v>0</v>
      </c>
    </row>
    <row r="172" spans="1:12" s="60" customFormat="1" x14ac:dyDescent="0.35">
      <c r="A172" s="68"/>
      <c r="B172" s="10" t="s">
        <v>30</v>
      </c>
      <c r="C172" s="5" t="s">
        <v>6</v>
      </c>
      <c r="D172" s="4">
        <v>0.6</v>
      </c>
      <c r="E172" s="4">
        <f>E164*D172</f>
        <v>5.6879999999999997</v>
      </c>
      <c r="F172" s="9"/>
      <c r="G172" s="85">
        <f t="shared" si="8"/>
        <v>0</v>
      </c>
      <c r="H172" s="4"/>
      <c r="I172" s="85">
        <f t="shared" si="9"/>
        <v>0</v>
      </c>
      <c r="J172" s="4"/>
      <c r="K172" s="100">
        <f t="shared" si="10"/>
        <v>0</v>
      </c>
      <c r="L172" s="85">
        <f t="shared" si="11"/>
        <v>0</v>
      </c>
    </row>
    <row r="173" spans="1:12" s="60" customFormat="1" x14ac:dyDescent="0.35">
      <c r="A173" s="26">
        <v>29</v>
      </c>
      <c r="B173" s="74" t="s">
        <v>70</v>
      </c>
      <c r="C173" s="39" t="s">
        <v>5</v>
      </c>
      <c r="D173" s="39"/>
      <c r="E173" s="75">
        <f>E176+E177+E178</f>
        <v>1.8039000000000003</v>
      </c>
      <c r="F173" s="9"/>
      <c r="G173" s="85">
        <f t="shared" si="8"/>
        <v>0</v>
      </c>
      <c r="H173" s="3"/>
      <c r="I173" s="85">
        <f t="shared" si="9"/>
        <v>0</v>
      </c>
      <c r="J173" s="3"/>
      <c r="K173" s="100">
        <f t="shared" si="10"/>
        <v>0</v>
      </c>
      <c r="L173" s="85">
        <f t="shared" si="11"/>
        <v>0</v>
      </c>
    </row>
    <row r="174" spans="1:12" s="60" customFormat="1" x14ac:dyDescent="0.35">
      <c r="A174" s="26"/>
      <c r="B174" s="45" t="s">
        <v>39</v>
      </c>
      <c r="C174" s="46" t="s">
        <v>5</v>
      </c>
      <c r="D174" s="4">
        <v>1</v>
      </c>
      <c r="E174" s="4">
        <f>E173*D174</f>
        <v>1.8039000000000003</v>
      </c>
      <c r="F174" s="4"/>
      <c r="G174" s="85">
        <f t="shared" si="8"/>
        <v>0</v>
      </c>
      <c r="H174" s="4"/>
      <c r="I174" s="85">
        <f t="shared" si="9"/>
        <v>0</v>
      </c>
      <c r="J174" s="4"/>
      <c r="K174" s="100">
        <f t="shared" si="10"/>
        <v>0</v>
      </c>
      <c r="L174" s="85">
        <f t="shared" si="11"/>
        <v>0</v>
      </c>
    </row>
    <row r="175" spans="1:12" s="60" customFormat="1" x14ac:dyDescent="0.35">
      <c r="A175" s="26"/>
      <c r="B175" s="10" t="s">
        <v>71</v>
      </c>
      <c r="C175" s="5" t="s">
        <v>6</v>
      </c>
      <c r="D175" s="4">
        <v>6.8</v>
      </c>
      <c r="E175" s="4">
        <f>D175*E173</f>
        <v>12.266520000000002</v>
      </c>
      <c r="F175" s="9"/>
      <c r="G175" s="85">
        <f t="shared" si="8"/>
        <v>0</v>
      </c>
      <c r="H175" s="4"/>
      <c r="I175" s="85">
        <f t="shared" si="9"/>
        <v>0</v>
      </c>
      <c r="J175" s="4"/>
      <c r="K175" s="100">
        <f t="shared" si="10"/>
        <v>0</v>
      </c>
      <c r="L175" s="85">
        <f t="shared" si="11"/>
        <v>0</v>
      </c>
    </row>
    <row r="176" spans="1:12" s="60" customFormat="1" x14ac:dyDescent="0.35">
      <c r="A176" s="26"/>
      <c r="B176" s="129" t="s">
        <v>135</v>
      </c>
      <c r="C176" s="130" t="s">
        <v>5</v>
      </c>
      <c r="D176" s="131" t="s">
        <v>29</v>
      </c>
      <c r="E176" s="12">
        <f>0.666*1.05</f>
        <v>0.69930000000000003</v>
      </c>
      <c r="F176" s="4"/>
      <c r="G176" s="85">
        <f t="shared" si="8"/>
        <v>0</v>
      </c>
      <c r="H176" s="4"/>
      <c r="I176" s="85">
        <f t="shared" si="9"/>
        <v>0</v>
      </c>
      <c r="J176" s="4"/>
      <c r="K176" s="100">
        <f t="shared" si="10"/>
        <v>0</v>
      </c>
      <c r="L176" s="85">
        <f t="shared" si="11"/>
        <v>0</v>
      </c>
    </row>
    <row r="177" spans="1:12" s="60" customFormat="1" x14ac:dyDescent="0.35">
      <c r="A177" s="26"/>
      <c r="B177" s="129" t="s">
        <v>136</v>
      </c>
      <c r="C177" s="130" t="s">
        <v>5</v>
      </c>
      <c r="D177" s="131" t="s">
        <v>29</v>
      </c>
      <c r="E177" s="12">
        <f>0.54*1.05</f>
        <v>0.56700000000000006</v>
      </c>
      <c r="F177" s="4"/>
      <c r="G177" s="85">
        <f t="shared" si="8"/>
        <v>0</v>
      </c>
      <c r="H177" s="4"/>
      <c r="I177" s="85">
        <f t="shared" si="9"/>
        <v>0</v>
      </c>
      <c r="J177" s="4"/>
      <c r="K177" s="100">
        <f t="shared" si="10"/>
        <v>0</v>
      </c>
      <c r="L177" s="85">
        <f t="shared" si="11"/>
        <v>0</v>
      </c>
    </row>
    <row r="178" spans="1:12" s="60" customFormat="1" x14ac:dyDescent="0.35">
      <c r="A178" s="26"/>
      <c r="B178" s="132" t="s">
        <v>137</v>
      </c>
      <c r="C178" s="130" t="s">
        <v>5</v>
      </c>
      <c r="D178" s="131" t="s">
        <v>29</v>
      </c>
      <c r="E178" s="12">
        <f>0.512*1.05</f>
        <v>0.53760000000000008</v>
      </c>
      <c r="F178" s="4"/>
      <c r="G178" s="85">
        <f t="shared" si="8"/>
        <v>0</v>
      </c>
      <c r="H178" s="4"/>
      <c r="I178" s="85">
        <f t="shared" si="9"/>
        <v>0</v>
      </c>
      <c r="J178" s="4"/>
      <c r="K178" s="100">
        <f t="shared" si="10"/>
        <v>0</v>
      </c>
      <c r="L178" s="85">
        <f t="shared" si="11"/>
        <v>0</v>
      </c>
    </row>
    <row r="179" spans="1:12" s="60" customFormat="1" x14ac:dyDescent="0.35">
      <c r="A179" s="26"/>
      <c r="B179" s="10" t="s">
        <v>14</v>
      </c>
      <c r="C179" s="5" t="s">
        <v>6</v>
      </c>
      <c r="D179" s="5">
        <v>12.2</v>
      </c>
      <c r="E179" s="4">
        <f>D179*E173</f>
        <v>22.007580000000001</v>
      </c>
      <c r="F179" s="9"/>
      <c r="G179" s="85">
        <f t="shared" si="8"/>
        <v>0</v>
      </c>
      <c r="H179" s="4"/>
      <c r="I179" s="85">
        <f t="shared" si="9"/>
        <v>0</v>
      </c>
      <c r="J179" s="4"/>
      <c r="K179" s="100">
        <f t="shared" si="10"/>
        <v>0</v>
      </c>
      <c r="L179" s="85">
        <f t="shared" si="11"/>
        <v>0</v>
      </c>
    </row>
    <row r="180" spans="1:12" s="60" customFormat="1" x14ac:dyDescent="0.35">
      <c r="A180" s="68">
        <v>30</v>
      </c>
      <c r="B180" s="36" t="s">
        <v>139</v>
      </c>
      <c r="C180" s="37" t="s">
        <v>56</v>
      </c>
      <c r="D180" s="37"/>
      <c r="E180" s="38">
        <v>3.88</v>
      </c>
      <c r="F180" s="9"/>
      <c r="G180" s="85">
        <f t="shared" si="8"/>
        <v>0</v>
      </c>
      <c r="H180" s="4"/>
      <c r="I180" s="85">
        <f t="shared" si="9"/>
        <v>0</v>
      </c>
      <c r="J180" s="4"/>
      <c r="K180" s="100">
        <f t="shared" si="10"/>
        <v>0</v>
      </c>
      <c r="L180" s="85">
        <f t="shared" si="11"/>
        <v>0</v>
      </c>
    </row>
    <row r="181" spans="1:12" s="60" customFormat="1" x14ac:dyDescent="0.35">
      <c r="A181" s="68"/>
      <c r="B181" s="45" t="s">
        <v>39</v>
      </c>
      <c r="C181" s="46" t="s">
        <v>24</v>
      </c>
      <c r="D181" s="4">
        <v>1</v>
      </c>
      <c r="E181" s="4">
        <f>E180*D181</f>
        <v>3.88</v>
      </c>
      <c r="F181" s="4"/>
      <c r="G181" s="85">
        <f t="shared" si="8"/>
        <v>0</v>
      </c>
      <c r="H181" s="4"/>
      <c r="I181" s="85">
        <f t="shared" si="9"/>
        <v>0</v>
      </c>
      <c r="J181" s="4"/>
      <c r="K181" s="100">
        <f t="shared" si="10"/>
        <v>0</v>
      </c>
      <c r="L181" s="85">
        <f t="shared" si="11"/>
        <v>0</v>
      </c>
    </row>
    <row r="182" spans="1:12" s="60" customFormat="1" x14ac:dyDescent="0.35">
      <c r="A182" s="68"/>
      <c r="B182" s="10" t="s">
        <v>25</v>
      </c>
      <c r="C182" s="5" t="s">
        <v>6</v>
      </c>
      <c r="D182" s="5">
        <v>3.36</v>
      </c>
      <c r="E182" s="4">
        <f>D182*E180</f>
        <v>13.036799999999999</v>
      </c>
      <c r="F182" s="9"/>
      <c r="G182" s="85">
        <f t="shared" si="8"/>
        <v>0</v>
      </c>
      <c r="H182" s="4"/>
      <c r="I182" s="85">
        <f t="shared" si="9"/>
        <v>0</v>
      </c>
      <c r="J182" s="4"/>
      <c r="K182" s="100">
        <f t="shared" si="10"/>
        <v>0</v>
      </c>
      <c r="L182" s="85">
        <f t="shared" si="11"/>
        <v>0</v>
      </c>
    </row>
    <row r="183" spans="1:12" s="60" customFormat="1" x14ac:dyDescent="0.35">
      <c r="A183" s="68"/>
      <c r="B183" s="133" t="s">
        <v>97</v>
      </c>
      <c r="C183" s="130" t="s">
        <v>16</v>
      </c>
      <c r="D183" s="130">
        <v>1.0149999999999999</v>
      </c>
      <c r="E183" s="4">
        <f>D183*E180</f>
        <v>3.9381999999999997</v>
      </c>
      <c r="F183" s="9"/>
      <c r="G183" s="85">
        <f t="shared" si="8"/>
        <v>0</v>
      </c>
      <c r="H183" s="4"/>
      <c r="I183" s="85">
        <f t="shared" si="9"/>
        <v>0</v>
      </c>
      <c r="J183" s="4"/>
      <c r="K183" s="100">
        <f t="shared" si="10"/>
        <v>0</v>
      </c>
      <c r="L183" s="85">
        <f t="shared" si="11"/>
        <v>0</v>
      </c>
    </row>
    <row r="184" spans="1:12" s="60" customFormat="1" x14ac:dyDescent="0.35">
      <c r="A184" s="68"/>
      <c r="B184" s="133" t="s">
        <v>68</v>
      </c>
      <c r="C184" s="130" t="s">
        <v>16</v>
      </c>
      <c r="D184" s="131">
        <v>1</v>
      </c>
      <c r="E184" s="4">
        <f>D184*E180</f>
        <v>3.88</v>
      </c>
      <c r="F184" s="9"/>
      <c r="G184" s="85">
        <f t="shared" si="8"/>
        <v>0</v>
      </c>
      <c r="H184" s="4"/>
      <c r="I184" s="85">
        <f t="shared" si="9"/>
        <v>0</v>
      </c>
      <c r="J184" s="4"/>
      <c r="K184" s="100">
        <f t="shared" si="10"/>
        <v>0</v>
      </c>
      <c r="L184" s="85">
        <f t="shared" si="11"/>
        <v>0</v>
      </c>
    </row>
    <row r="185" spans="1:12" s="60" customFormat="1" x14ac:dyDescent="0.35">
      <c r="A185" s="68"/>
      <c r="B185" s="10" t="s">
        <v>74</v>
      </c>
      <c r="C185" s="5" t="s">
        <v>17</v>
      </c>
      <c r="D185" s="5">
        <v>2.42</v>
      </c>
      <c r="E185" s="4">
        <f>D185*E180</f>
        <v>9.3895999999999997</v>
      </c>
      <c r="F185" s="9"/>
      <c r="G185" s="85">
        <f t="shared" si="8"/>
        <v>0</v>
      </c>
      <c r="H185" s="4"/>
      <c r="I185" s="85">
        <f t="shared" si="9"/>
        <v>0</v>
      </c>
      <c r="J185" s="4"/>
      <c r="K185" s="100">
        <f t="shared" si="10"/>
        <v>0</v>
      </c>
      <c r="L185" s="85">
        <f t="shared" si="11"/>
        <v>0</v>
      </c>
    </row>
    <row r="186" spans="1:12" s="60" customFormat="1" x14ac:dyDescent="0.35">
      <c r="A186" s="68"/>
      <c r="B186" s="17" t="s">
        <v>81</v>
      </c>
      <c r="C186" s="5" t="s">
        <v>16</v>
      </c>
      <c r="D186" s="5">
        <v>6.4799999999999996E-2</v>
      </c>
      <c r="E186" s="12">
        <f>D186*E180</f>
        <v>0.25142399999999998</v>
      </c>
      <c r="F186" s="9"/>
      <c r="G186" s="85">
        <f t="shared" si="8"/>
        <v>0</v>
      </c>
      <c r="H186" s="4"/>
      <c r="I186" s="85">
        <f t="shared" si="9"/>
        <v>0</v>
      </c>
      <c r="J186" s="4"/>
      <c r="K186" s="100">
        <f t="shared" si="10"/>
        <v>0</v>
      </c>
      <c r="L186" s="85">
        <f t="shared" si="11"/>
        <v>0</v>
      </c>
    </row>
    <row r="187" spans="1:12" s="60" customFormat="1" x14ac:dyDescent="0.35">
      <c r="A187" s="68"/>
      <c r="B187" s="17" t="s">
        <v>79</v>
      </c>
      <c r="C187" s="5" t="s">
        <v>7</v>
      </c>
      <c r="D187" s="4">
        <v>1.5</v>
      </c>
      <c r="E187" s="12">
        <f>D187*E180</f>
        <v>5.82</v>
      </c>
      <c r="F187" s="9"/>
      <c r="G187" s="85">
        <f t="shared" si="8"/>
        <v>0</v>
      </c>
      <c r="H187" s="4"/>
      <c r="I187" s="85">
        <f t="shared" si="9"/>
        <v>0</v>
      </c>
      <c r="J187" s="4"/>
      <c r="K187" s="100">
        <f t="shared" si="10"/>
        <v>0</v>
      </c>
      <c r="L187" s="85">
        <f t="shared" si="11"/>
        <v>0</v>
      </c>
    </row>
    <row r="188" spans="1:12" s="60" customFormat="1" x14ac:dyDescent="0.35">
      <c r="A188" s="68"/>
      <c r="B188" s="10" t="s">
        <v>30</v>
      </c>
      <c r="C188" s="5" t="s">
        <v>6</v>
      </c>
      <c r="D188" s="4">
        <v>0.6</v>
      </c>
      <c r="E188" s="4">
        <f>E180*D188</f>
        <v>2.3279999999999998</v>
      </c>
      <c r="F188" s="9"/>
      <c r="G188" s="85">
        <f t="shared" si="8"/>
        <v>0</v>
      </c>
      <c r="H188" s="4"/>
      <c r="I188" s="85">
        <f t="shared" si="9"/>
        <v>0</v>
      </c>
      <c r="J188" s="4"/>
      <c r="K188" s="100">
        <f t="shared" si="10"/>
        <v>0</v>
      </c>
      <c r="L188" s="85">
        <f t="shared" si="11"/>
        <v>0</v>
      </c>
    </row>
    <row r="189" spans="1:12" s="60" customFormat="1" x14ac:dyDescent="0.35">
      <c r="A189" s="26">
        <v>31</v>
      </c>
      <c r="B189" s="74" t="s">
        <v>70</v>
      </c>
      <c r="C189" s="39" t="s">
        <v>5</v>
      </c>
      <c r="D189" s="39"/>
      <c r="E189" s="75">
        <f>E192+E193+E194</f>
        <v>0.76965000000000006</v>
      </c>
      <c r="F189" s="9"/>
      <c r="G189" s="85">
        <f t="shared" si="8"/>
        <v>0</v>
      </c>
      <c r="H189" s="3"/>
      <c r="I189" s="85">
        <f t="shared" si="9"/>
        <v>0</v>
      </c>
      <c r="J189" s="3"/>
      <c r="K189" s="100">
        <f t="shared" si="10"/>
        <v>0</v>
      </c>
      <c r="L189" s="85">
        <f t="shared" si="11"/>
        <v>0</v>
      </c>
    </row>
    <row r="190" spans="1:12" s="60" customFormat="1" x14ac:dyDescent="0.35">
      <c r="A190" s="26"/>
      <c r="B190" s="45" t="s">
        <v>39</v>
      </c>
      <c r="C190" s="46" t="s">
        <v>5</v>
      </c>
      <c r="D190" s="4">
        <v>1</v>
      </c>
      <c r="E190" s="4">
        <f>E189*D190</f>
        <v>0.76965000000000006</v>
      </c>
      <c r="F190" s="4"/>
      <c r="G190" s="85">
        <f t="shared" si="8"/>
        <v>0</v>
      </c>
      <c r="H190" s="4"/>
      <c r="I190" s="85">
        <f t="shared" si="9"/>
        <v>0</v>
      </c>
      <c r="J190" s="4"/>
      <c r="K190" s="100">
        <f t="shared" si="10"/>
        <v>0</v>
      </c>
      <c r="L190" s="85">
        <f t="shared" si="11"/>
        <v>0</v>
      </c>
    </row>
    <row r="191" spans="1:12" s="60" customFormat="1" x14ac:dyDescent="0.35">
      <c r="A191" s="26"/>
      <c r="B191" s="10" t="s">
        <v>71</v>
      </c>
      <c r="C191" s="5" t="s">
        <v>6</v>
      </c>
      <c r="D191" s="4">
        <v>6.8</v>
      </c>
      <c r="E191" s="4">
        <f>D191*E189</f>
        <v>5.2336200000000002</v>
      </c>
      <c r="F191" s="9"/>
      <c r="G191" s="85">
        <f t="shared" si="8"/>
        <v>0</v>
      </c>
      <c r="H191" s="4"/>
      <c r="I191" s="85">
        <f t="shared" si="9"/>
        <v>0</v>
      </c>
      <c r="J191" s="4"/>
      <c r="K191" s="100">
        <f t="shared" si="10"/>
        <v>0</v>
      </c>
      <c r="L191" s="85">
        <f t="shared" si="11"/>
        <v>0</v>
      </c>
    </row>
    <row r="192" spans="1:12" s="60" customFormat="1" x14ac:dyDescent="0.35">
      <c r="A192" s="26"/>
      <c r="B192" s="129" t="s">
        <v>140</v>
      </c>
      <c r="C192" s="130" t="s">
        <v>5</v>
      </c>
      <c r="D192" s="131" t="s">
        <v>29</v>
      </c>
      <c r="E192" s="12">
        <f>0.222*1.05</f>
        <v>0.2331</v>
      </c>
      <c r="F192" s="4"/>
      <c r="G192" s="85">
        <f t="shared" si="8"/>
        <v>0</v>
      </c>
      <c r="H192" s="4"/>
      <c r="I192" s="85">
        <f t="shared" si="9"/>
        <v>0</v>
      </c>
      <c r="J192" s="4"/>
      <c r="K192" s="100">
        <f t="shared" si="10"/>
        <v>0</v>
      </c>
      <c r="L192" s="85">
        <f t="shared" si="11"/>
        <v>0</v>
      </c>
    </row>
    <row r="193" spans="1:12" s="60" customFormat="1" x14ac:dyDescent="0.35">
      <c r="A193" s="26"/>
      <c r="B193" s="129" t="s">
        <v>141</v>
      </c>
      <c r="C193" s="130" t="s">
        <v>5</v>
      </c>
      <c r="D193" s="131" t="s">
        <v>29</v>
      </c>
      <c r="E193" s="12">
        <f>0.301*1.05</f>
        <v>0.31605</v>
      </c>
      <c r="F193" s="4"/>
      <c r="G193" s="85">
        <f t="shared" si="8"/>
        <v>0</v>
      </c>
      <c r="H193" s="4"/>
      <c r="I193" s="85">
        <f t="shared" si="9"/>
        <v>0</v>
      </c>
      <c r="J193" s="4"/>
      <c r="K193" s="100">
        <f t="shared" si="10"/>
        <v>0</v>
      </c>
      <c r="L193" s="85">
        <f t="shared" si="11"/>
        <v>0</v>
      </c>
    </row>
    <row r="194" spans="1:12" s="60" customFormat="1" x14ac:dyDescent="0.35">
      <c r="A194" s="26"/>
      <c r="B194" s="132" t="s">
        <v>142</v>
      </c>
      <c r="C194" s="130" t="s">
        <v>5</v>
      </c>
      <c r="D194" s="131" t="s">
        <v>29</v>
      </c>
      <c r="E194" s="12">
        <f>0.21 *1.05</f>
        <v>0.2205</v>
      </c>
      <c r="F194" s="4"/>
      <c r="G194" s="85">
        <f t="shared" si="8"/>
        <v>0</v>
      </c>
      <c r="H194" s="4"/>
      <c r="I194" s="85">
        <f t="shared" si="9"/>
        <v>0</v>
      </c>
      <c r="J194" s="4"/>
      <c r="K194" s="100">
        <f t="shared" si="10"/>
        <v>0</v>
      </c>
      <c r="L194" s="85">
        <f t="shared" si="11"/>
        <v>0</v>
      </c>
    </row>
    <row r="195" spans="1:12" s="60" customFormat="1" x14ac:dyDescent="0.35">
      <c r="A195" s="26"/>
      <c r="B195" s="10" t="s">
        <v>14</v>
      </c>
      <c r="C195" s="5" t="s">
        <v>6</v>
      </c>
      <c r="D195" s="5">
        <v>12.2</v>
      </c>
      <c r="E195" s="4">
        <f>D195*E189</f>
        <v>9.3897300000000001</v>
      </c>
      <c r="F195" s="9"/>
      <c r="G195" s="85">
        <f t="shared" si="8"/>
        <v>0</v>
      </c>
      <c r="H195" s="4"/>
      <c r="I195" s="85">
        <f t="shared" si="9"/>
        <v>0</v>
      </c>
      <c r="J195" s="4"/>
      <c r="K195" s="100">
        <f t="shared" si="10"/>
        <v>0</v>
      </c>
      <c r="L195" s="85">
        <f t="shared" si="11"/>
        <v>0</v>
      </c>
    </row>
    <row r="196" spans="1:12" s="60" customFormat="1" ht="27" x14ac:dyDescent="0.35">
      <c r="A196" s="68">
        <v>32</v>
      </c>
      <c r="B196" s="36" t="s">
        <v>143</v>
      </c>
      <c r="C196" s="37" t="s">
        <v>56</v>
      </c>
      <c r="D196" s="37"/>
      <c r="E196" s="38">
        <v>3.88</v>
      </c>
      <c r="F196" s="9"/>
      <c r="G196" s="85">
        <f t="shared" si="8"/>
        <v>0</v>
      </c>
      <c r="H196" s="4"/>
      <c r="I196" s="85">
        <f t="shared" si="9"/>
        <v>0</v>
      </c>
      <c r="J196" s="4"/>
      <c r="K196" s="100">
        <f t="shared" si="10"/>
        <v>0</v>
      </c>
      <c r="L196" s="85">
        <f t="shared" si="11"/>
        <v>0</v>
      </c>
    </row>
    <row r="197" spans="1:12" s="60" customFormat="1" x14ac:dyDescent="0.35">
      <c r="A197" s="68"/>
      <c r="B197" s="45" t="s">
        <v>39</v>
      </c>
      <c r="C197" s="46" t="s">
        <v>24</v>
      </c>
      <c r="D197" s="4">
        <v>1</v>
      </c>
      <c r="E197" s="4">
        <f>E196*D197</f>
        <v>3.88</v>
      </c>
      <c r="F197" s="4"/>
      <c r="G197" s="85">
        <f t="shared" si="8"/>
        <v>0</v>
      </c>
      <c r="H197" s="4"/>
      <c r="I197" s="85">
        <f t="shared" si="9"/>
        <v>0</v>
      </c>
      <c r="J197" s="4"/>
      <c r="K197" s="100">
        <f t="shared" si="10"/>
        <v>0</v>
      </c>
      <c r="L197" s="85">
        <f t="shared" si="11"/>
        <v>0</v>
      </c>
    </row>
    <row r="198" spans="1:12" s="60" customFormat="1" x14ac:dyDescent="0.35">
      <c r="A198" s="68"/>
      <c r="B198" s="10" t="s">
        <v>25</v>
      </c>
      <c r="C198" s="5" t="s">
        <v>6</v>
      </c>
      <c r="D198" s="5">
        <v>3.36</v>
      </c>
      <c r="E198" s="4">
        <f>D198*E196</f>
        <v>13.036799999999999</v>
      </c>
      <c r="F198" s="9"/>
      <c r="G198" s="85">
        <f t="shared" si="8"/>
        <v>0</v>
      </c>
      <c r="H198" s="4"/>
      <c r="I198" s="85">
        <f t="shared" si="9"/>
        <v>0</v>
      </c>
      <c r="J198" s="4"/>
      <c r="K198" s="100">
        <f t="shared" si="10"/>
        <v>0</v>
      </c>
      <c r="L198" s="85">
        <f t="shared" si="11"/>
        <v>0</v>
      </c>
    </row>
    <row r="199" spans="1:12" s="60" customFormat="1" x14ac:dyDescent="0.35">
      <c r="A199" s="68"/>
      <c r="B199" s="133" t="s">
        <v>97</v>
      </c>
      <c r="C199" s="130" t="s">
        <v>16</v>
      </c>
      <c r="D199" s="130">
        <v>1.0149999999999999</v>
      </c>
      <c r="E199" s="4">
        <f>D199*E196</f>
        <v>3.9381999999999997</v>
      </c>
      <c r="F199" s="9"/>
      <c r="G199" s="85">
        <f t="shared" si="8"/>
        <v>0</v>
      </c>
      <c r="H199" s="4"/>
      <c r="I199" s="85">
        <f t="shared" si="9"/>
        <v>0</v>
      </c>
      <c r="J199" s="4"/>
      <c r="K199" s="100">
        <f t="shared" si="10"/>
        <v>0</v>
      </c>
      <c r="L199" s="85">
        <f t="shared" si="11"/>
        <v>0</v>
      </c>
    </row>
    <row r="200" spans="1:12" s="60" customFormat="1" x14ac:dyDescent="0.35">
      <c r="A200" s="68"/>
      <c r="B200" s="133" t="s">
        <v>68</v>
      </c>
      <c r="C200" s="130" t="s">
        <v>16</v>
      </c>
      <c r="D200" s="131">
        <v>1</v>
      </c>
      <c r="E200" s="4">
        <f>D200*E196</f>
        <v>3.88</v>
      </c>
      <c r="F200" s="9"/>
      <c r="G200" s="85">
        <f t="shared" si="8"/>
        <v>0</v>
      </c>
      <c r="H200" s="4"/>
      <c r="I200" s="85">
        <f t="shared" si="9"/>
        <v>0</v>
      </c>
      <c r="J200" s="4"/>
      <c r="K200" s="100">
        <f t="shared" si="10"/>
        <v>0</v>
      </c>
      <c r="L200" s="85">
        <f t="shared" si="11"/>
        <v>0</v>
      </c>
    </row>
    <row r="201" spans="1:12" s="60" customFormat="1" x14ac:dyDescent="0.35">
      <c r="A201" s="68"/>
      <c r="B201" s="10" t="s">
        <v>74</v>
      </c>
      <c r="C201" s="5" t="s">
        <v>17</v>
      </c>
      <c r="D201" s="5">
        <v>2.42</v>
      </c>
      <c r="E201" s="4">
        <f>D201*E196</f>
        <v>9.3895999999999997</v>
      </c>
      <c r="F201" s="9"/>
      <c r="G201" s="85">
        <f t="shared" si="8"/>
        <v>0</v>
      </c>
      <c r="H201" s="4"/>
      <c r="I201" s="85">
        <f t="shared" si="9"/>
        <v>0</v>
      </c>
      <c r="J201" s="4"/>
      <c r="K201" s="100">
        <f t="shared" si="10"/>
        <v>0</v>
      </c>
      <c r="L201" s="85">
        <f t="shared" si="11"/>
        <v>0</v>
      </c>
    </row>
    <row r="202" spans="1:12" s="60" customFormat="1" x14ac:dyDescent="0.35">
      <c r="A202" s="68"/>
      <c r="B202" s="17" t="s">
        <v>81</v>
      </c>
      <c r="C202" s="5" t="s">
        <v>16</v>
      </c>
      <c r="D202" s="5">
        <v>6.4799999999999996E-2</v>
      </c>
      <c r="E202" s="12">
        <f>D202*E196</f>
        <v>0.25142399999999998</v>
      </c>
      <c r="F202" s="9"/>
      <c r="G202" s="85">
        <f t="shared" si="8"/>
        <v>0</v>
      </c>
      <c r="H202" s="4"/>
      <c r="I202" s="85">
        <f t="shared" si="9"/>
        <v>0</v>
      </c>
      <c r="J202" s="4"/>
      <c r="K202" s="100">
        <f t="shared" si="10"/>
        <v>0</v>
      </c>
      <c r="L202" s="85">
        <f t="shared" si="11"/>
        <v>0</v>
      </c>
    </row>
    <row r="203" spans="1:12" s="60" customFormat="1" x14ac:dyDescent="0.35">
      <c r="A203" s="68"/>
      <c r="B203" s="17" t="s">
        <v>79</v>
      </c>
      <c r="C203" s="5" t="s">
        <v>7</v>
      </c>
      <c r="D203" s="4">
        <v>1.5</v>
      </c>
      <c r="E203" s="12">
        <f>D203*E196</f>
        <v>5.82</v>
      </c>
      <c r="F203" s="9"/>
      <c r="G203" s="85">
        <f t="shared" si="8"/>
        <v>0</v>
      </c>
      <c r="H203" s="4"/>
      <c r="I203" s="85">
        <f t="shared" si="9"/>
        <v>0</v>
      </c>
      <c r="J203" s="4"/>
      <c r="K203" s="100">
        <f t="shared" si="10"/>
        <v>0</v>
      </c>
      <c r="L203" s="85">
        <f t="shared" si="11"/>
        <v>0</v>
      </c>
    </row>
    <row r="204" spans="1:12" s="60" customFormat="1" x14ac:dyDescent="0.35">
      <c r="A204" s="68"/>
      <c r="B204" s="10" t="s">
        <v>30</v>
      </c>
      <c r="C204" s="5" t="s">
        <v>6</v>
      </c>
      <c r="D204" s="4">
        <v>0.6</v>
      </c>
      <c r="E204" s="4">
        <f>E196*D204</f>
        <v>2.3279999999999998</v>
      </c>
      <c r="F204" s="9"/>
      <c r="G204" s="85">
        <f t="shared" ref="G204:G267" si="12">F204*E204</f>
        <v>0</v>
      </c>
      <c r="H204" s="4"/>
      <c r="I204" s="85">
        <f t="shared" ref="I204:I267" si="13">H204*E204</f>
        <v>0</v>
      </c>
      <c r="J204" s="4"/>
      <c r="K204" s="100">
        <f t="shared" ref="K204:K267" si="14">J204*E204</f>
        <v>0</v>
      </c>
      <c r="L204" s="85">
        <f t="shared" ref="L204:L267" si="15">K204+I204+G204</f>
        <v>0</v>
      </c>
    </row>
    <row r="205" spans="1:12" s="60" customFormat="1" x14ac:dyDescent="0.35">
      <c r="A205" s="26">
        <v>33</v>
      </c>
      <c r="B205" s="74" t="s">
        <v>70</v>
      </c>
      <c r="C205" s="39" t="s">
        <v>5</v>
      </c>
      <c r="D205" s="39"/>
      <c r="E205" s="75">
        <f>E208+E209+E210</f>
        <v>0.94079999999999997</v>
      </c>
      <c r="F205" s="9"/>
      <c r="G205" s="85">
        <f t="shared" si="12"/>
        <v>0</v>
      </c>
      <c r="H205" s="3"/>
      <c r="I205" s="85">
        <f t="shared" si="13"/>
        <v>0</v>
      </c>
      <c r="J205" s="3"/>
      <c r="K205" s="100">
        <f t="shared" si="14"/>
        <v>0</v>
      </c>
      <c r="L205" s="85">
        <f t="shared" si="15"/>
        <v>0</v>
      </c>
    </row>
    <row r="206" spans="1:12" s="60" customFormat="1" x14ac:dyDescent="0.35">
      <c r="A206" s="26"/>
      <c r="B206" s="45" t="s">
        <v>39</v>
      </c>
      <c r="C206" s="46" t="s">
        <v>5</v>
      </c>
      <c r="D206" s="4">
        <v>1</v>
      </c>
      <c r="E206" s="4">
        <f>E205*D206</f>
        <v>0.94079999999999997</v>
      </c>
      <c r="F206" s="4"/>
      <c r="G206" s="85">
        <f t="shared" si="12"/>
        <v>0</v>
      </c>
      <c r="H206" s="4"/>
      <c r="I206" s="85">
        <f t="shared" si="13"/>
        <v>0</v>
      </c>
      <c r="J206" s="4"/>
      <c r="K206" s="100">
        <f t="shared" si="14"/>
        <v>0</v>
      </c>
      <c r="L206" s="85">
        <f t="shared" si="15"/>
        <v>0</v>
      </c>
    </row>
    <row r="207" spans="1:12" s="60" customFormat="1" x14ac:dyDescent="0.35">
      <c r="A207" s="26"/>
      <c r="B207" s="10" t="s">
        <v>71</v>
      </c>
      <c r="C207" s="5" t="s">
        <v>6</v>
      </c>
      <c r="D207" s="4">
        <v>6.8</v>
      </c>
      <c r="E207" s="4">
        <f>D207*E205</f>
        <v>6.3974399999999996</v>
      </c>
      <c r="F207" s="9"/>
      <c r="G207" s="85">
        <f t="shared" si="12"/>
        <v>0</v>
      </c>
      <c r="H207" s="4"/>
      <c r="I207" s="85">
        <f t="shared" si="13"/>
        <v>0</v>
      </c>
      <c r="J207" s="4"/>
      <c r="K207" s="100">
        <f t="shared" si="14"/>
        <v>0</v>
      </c>
      <c r="L207" s="85">
        <f t="shared" si="15"/>
        <v>0</v>
      </c>
    </row>
    <row r="208" spans="1:12" s="60" customFormat="1" x14ac:dyDescent="0.35">
      <c r="A208" s="26"/>
      <c r="B208" s="129" t="s">
        <v>144</v>
      </c>
      <c r="C208" s="130" t="s">
        <v>5</v>
      </c>
      <c r="D208" s="131" t="s">
        <v>29</v>
      </c>
      <c r="E208" s="12">
        <f>0.444*1.05</f>
        <v>0.4662</v>
      </c>
      <c r="F208" s="4"/>
      <c r="G208" s="85">
        <f t="shared" si="12"/>
        <v>0</v>
      </c>
      <c r="H208" s="4"/>
      <c r="I208" s="85">
        <f t="shared" si="13"/>
        <v>0</v>
      </c>
      <c r="J208" s="4"/>
      <c r="K208" s="100">
        <f t="shared" si="14"/>
        <v>0</v>
      </c>
      <c r="L208" s="85">
        <f t="shared" si="15"/>
        <v>0</v>
      </c>
    </row>
    <row r="209" spans="1:12" s="60" customFormat="1" x14ac:dyDescent="0.35">
      <c r="A209" s="26"/>
      <c r="B209" s="129" t="s">
        <v>145</v>
      </c>
      <c r="C209" s="130" t="s">
        <v>5</v>
      </c>
      <c r="D209" s="131" t="s">
        <v>29</v>
      </c>
      <c r="E209" s="12">
        <f>0.242*1.05</f>
        <v>0.25409999999999999</v>
      </c>
      <c r="F209" s="4"/>
      <c r="G209" s="85">
        <f t="shared" si="12"/>
        <v>0</v>
      </c>
      <c r="H209" s="4"/>
      <c r="I209" s="85">
        <f t="shared" si="13"/>
        <v>0</v>
      </c>
      <c r="J209" s="4"/>
      <c r="K209" s="100">
        <f t="shared" si="14"/>
        <v>0</v>
      </c>
      <c r="L209" s="85">
        <f t="shared" si="15"/>
        <v>0</v>
      </c>
    </row>
    <row r="210" spans="1:12" s="60" customFormat="1" x14ac:dyDescent="0.35">
      <c r="A210" s="26"/>
      <c r="B210" s="132" t="s">
        <v>142</v>
      </c>
      <c r="C210" s="130" t="s">
        <v>5</v>
      </c>
      <c r="D210" s="131" t="s">
        <v>29</v>
      </c>
      <c r="E210" s="12">
        <f>0.21 *1.05</f>
        <v>0.2205</v>
      </c>
      <c r="F210" s="4"/>
      <c r="G210" s="85">
        <f t="shared" si="12"/>
        <v>0</v>
      </c>
      <c r="H210" s="4"/>
      <c r="I210" s="85">
        <f t="shared" si="13"/>
        <v>0</v>
      </c>
      <c r="J210" s="4"/>
      <c r="K210" s="100">
        <f t="shared" si="14"/>
        <v>0</v>
      </c>
      <c r="L210" s="85">
        <f t="shared" si="15"/>
        <v>0</v>
      </c>
    </row>
    <row r="211" spans="1:12" s="60" customFormat="1" x14ac:dyDescent="0.35">
      <c r="A211" s="26"/>
      <c r="B211" s="10" t="s">
        <v>14</v>
      </c>
      <c r="C211" s="5" t="s">
        <v>6</v>
      </c>
      <c r="D211" s="5">
        <v>12.2</v>
      </c>
      <c r="E211" s="4">
        <f>D211*E205</f>
        <v>11.477759999999998</v>
      </c>
      <c r="F211" s="9"/>
      <c r="G211" s="85">
        <f t="shared" si="12"/>
        <v>0</v>
      </c>
      <c r="H211" s="4"/>
      <c r="I211" s="85">
        <f t="shared" si="13"/>
        <v>0</v>
      </c>
      <c r="J211" s="4"/>
      <c r="K211" s="100">
        <f t="shared" si="14"/>
        <v>0</v>
      </c>
      <c r="L211" s="85">
        <f t="shared" si="15"/>
        <v>0</v>
      </c>
    </row>
    <row r="212" spans="1:12" s="60" customFormat="1" ht="27" x14ac:dyDescent="0.35">
      <c r="A212" s="68">
        <v>34</v>
      </c>
      <c r="B212" s="36" t="s">
        <v>146</v>
      </c>
      <c r="C212" s="37" t="s">
        <v>56</v>
      </c>
      <c r="D212" s="37"/>
      <c r="E212" s="38">
        <v>17.38</v>
      </c>
      <c r="F212" s="9"/>
      <c r="G212" s="85">
        <f t="shared" si="12"/>
        <v>0</v>
      </c>
      <c r="H212" s="4"/>
      <c r="I212" s="85">
        <f t="shared" si="13"/>
        <v>0</v>
      </c>
      <c r="J212" s="4"/>
      <c r="K212" s="100">
        <f t="shared" si="14"/>
        <v>0</v>
      </c>
      <c r="L212" s="85">
        <f t="shared" si="15"/>
        <v>0</v>
      </c>
    </row>
    <row r="213" spans="1:12" s="60" customFormat="1" x14ac:dyDescent="0.35">
      <c r="A213" s="68"/>
      <c r="B213" s="45" t="s">
        <v>39</v>
      </c>
      <c r="C213" s="46" t="s">
        <v>24</v>
      </c>
      <c r="D213" s="4">
        <v>1</v>
      </c>
      <c r="E213" s="4">
        <f>E212*D213</f>
        <v>17.38</v>
      </c>
      <c r="F213" s="4"/>
      <c r="G213" s="85">
        <f t="shared" si="12"/>
        <v>0</v>
      </c>
      <c r="H213" s="4"/>
      <c r="I213" s="85">
        <f t="shared" si="13"/>
        <v>0</v>
      </c>
      <c r="J213" s="4"/>
      <c r="K213" s="100">
        <f t="shared" si="14"/>
        <v>0</v>
      </c>
      <c r="L213" s="85">
        <f t="shared" si="15"/>
        <v>0</v>
      </c>
    </row>
    <row r="214" spans="1:12" s="60" customFormat="1" x14ac:dyDescent="0.35">
      <c r="A214" s="68"/>
      <c r="B214" s="10" t="s">
        <v>25</v>
      </c>
      <c r="C214" s="5" t="s">
        <v>6</v>
      </c>
      <c r="D214" s="5">
        <v>3.36</v>
      </c>
      <c r="E214" s="4">
        <f>D214*E212</f>
        <v>58.396799999999992</v>
      </c>
      <c r="F214" s="9"/>
      <c r="G214" s="85">
        <f t="shared" si="12"/>
        <v>0</v>
      </c>
      <c r="H214" s="4"/>
      <c r="I214" s="85">
        <f t="shared" si="13"/>
        <v>0</v>
      </c>
      <c r="J214" s="4"/>
      <c r="K214" s="100">
        <f t="shared" si="14"/>
        <v>0</v>
      </c>
      <c r="L214" s="85">
        <f t="shared" si="15"/>
        <v>0</v>
      </c>
    </row>
    <row r="215" spans="1:12" s="60" customFormat="1" x14ac:dyDescent="0.35">
      <c r="A215" s="68"/>
      <c r="B215" s="133" t="s">
        <v>97</v>
      </c>
      <c r="C215" s="130" t="s">
        <v>16</v>
      </c>
      <c r="D215" s="130">
        <v>1.0149999999999999</v>
      </c>
      <c r="E215" s="4">
        <f>D215*E212</f>
        <v>17.640699999999999</v>
      </c>
      <c r="F215" s="9"/>
      <c r="G215" s="85">
        <f t="shared" si="12"/>
        <v>0</v>
      </c>
      <c r="H215" s="4"/>
      <c r="I215" s="85">
        <f t="shared" si="13"/>
        <v>0</v>
      </c>
      <c r="J215" s="4"/>
      <c r="K215" s="100">
        <f t="shared" si="14"/>
        <v>0</v>
      </c>
      <c r="L215" s="85">
        <f t="shared" si="15"/>
        <v>0</v>
      </c>
    </row>
    <row r="216" spans="1:12" s="60" customFormat="1" x14ac:dyDescent="0.35">
      <c r="A216" s="68"/>
      <c r="B216" s="133" t="s">
        <v>68</v>
      </c>
      <c r="C216" s="130" t="s">
        <v>16</v>
      </c>
      <c r="D216" s="131">
        <v>1</v>
      </c>
      <c r="E216" s="4">
        <f>D216*E212</f>
        <v>17.38</v>
      </c>
      <c r="F216" s="9"/>
      <c r="G216" s="85">
        <f t="shared" si="12"/>
        <v>0</v>
      </c>
      <c r="H216" s="4"/>
      <c r="I216" s="85">
        <f t="shared" si="13"/>
        <v>0</v>
      </c>
      <c r="J216" s="4"/>
      <c r="K216" s="100">
        <f t="shared" si="14"/>
        <v>0</v>
      </c>
      <c r="L216" s="85">
        <f t="shared" si="15"/>
        <v>0</v>
      </c>
    </row>
    <row r="217" spans="1:12" s="60" customFormat="1" x14ac:dyDescent="0.35">
      <c r="A217" s="68"/>
      <c r="B217" s="10" t="s">
        <v>74</v>
      </c>
      <c r="C217" s="5" t="s">
        <v>17</v>
      </c>
      <c r="D217" s="5">
        <v>2.42</v>
      </c>
      <c r="E217" s="4">
        <f>D217*E212</f>
        <v>42.059599999999996</v>
      </c>
      <c r="F217" s="9"/>
      <c r="G217" s="85">
        <f t="shared" si="12"/>
        <v>0</v>
      </c>
      <c r="H217" s="4"/>
      <c r="I217" s="85">
        <f t="shared" si="13"/>
        <v>0</v>
      </c>
      <c r="J217" s="4"/>
      <c r="K217" s="100">
        <f t="shared" si="14"/>
        <v>0</v>
      </c>
      <c r="L217" s="85">
        <f t="shared" si="15"/>
        <v>0</v>
      </c>
    </row>
    <row r="218" spans="1:12" s="60" customFormat="1" x14ac:dyDescent="0.35">
      <c r="A218" s="68"/>
      <c r="B218" s="17" t="s">
        <v>81</v>
      </c>
      <c r="C218" s="5" t="s">
        <v>16</v>
      </c>
      <c r="D218" s="5">
        <v>6.4799999999999996E-2</v>
      </c>
      <c r="E218" s="12">
        <f>D218*E212</f>
        <v>1.1262239999999999</v>
      </c>
      <c r="F218" s="9"/>
      <c r="G218" s="85">
        <f t="shared" si="12"/>
        <v>0</v>
      </c>
      <c r="H218" s="4"/>
      <c r="I218" s="85">
        <f t="shared" si="13"/>
        <v>0</v>
      </c>
      <c r="J218" s="4"/>
      <c r="K218" s="100">
        <f t="shared" si="14"/>
        <v>0</v>
      </c>
      <c r="L218" s="85">
        <f t="shared" si="15"/>
        <v>0</v>
      </c>
    </row>
    <row r="219" spans="1:12" s="60" customFormat="1" x14ac:dyDescent="0.35">
      <c r="A219" s="68"/>
      <c r="B219" s="17" t="s">
        <v>79</v>
      </c>
      <c r="C219" s="5" t="s">
        <v>7</v>
      </c>
      <c r="D219" s="4">
        <v>1.5</v>
      </c>
      <c r="E219" s="12">
        <f>D219*E212</f>
        <v>26.07</v>
      </c>
      <c r="F219" s="9"/>
      <c r="G219" s="85">
        <f t="shared" si="12"/>
        <v>0</v>
      </c>
      <c r="H219" s="4"/>
      <c r="I219" s="85">
        <f t="shared" si="13"/>
        <v>0</v>
      </c>
      <c r="J219" s="4"/>
      <c r="K219" s="100">
        <f t="shared" si="14"/>
        <v>0</v>
      </c>
      <c r="L219" s="85">
        <f t="shared" si="15"/>
        <v>0</v>
      </c>
    </row>
    <row r="220" spans="1:12" s="60" customFormat="1" x14ac:dyDescent="0.35">
      <c r="A220" s="68"/>
      <c r="B220" s="10" t="s">
        <v>30</v>
      </c>
      <c r="C220" s="5" t="s">
        <v>6</v>
      </c>
      <c r="D220" s="4">
        <v>0.6</v>
      </c>
      <c r="E220" s="4">
        <f>E212*D220</f>
        <v>10.427999999999999</v>
      </c>
      <c r="F220" s="9"/>
      <c r="G220" s="85">
        <f t="shared" si="12"/>
        <v>0</v>
      </c>
      <c r="H220" s="4"/>
      <c r="I220" s="85">
        <f t="shared" si="13"/>
        <v>0</v>
      </c>
      <c r="J220" s="4"/>
      <c r="K220" s="100">
        <f t="shared" si="14"/>
        <v>0</v>
      </c>
      <c r="L220" s="85">
        <f t="shared" si="15"/>
        <v>0</v>
      </c>
    </row>
    <row r="221" spans="1:12" s="60" customFormat="1" x14ac:dyDescent="0.35">
      <c r="A221" s="26">
        <v>35</v>
      </c>
      <c r="B221" s="74" t="s">
        <v>70</v>
      </c>
      <c r="C221" s="39" t="s">
        <v>5</v>
      </c>
      <c r="D221" s="39"/>
      <c r="E221" s="75">
        <f>E224+E225</f>
        <v>3.5175000000000001</v>
      </c>
      <c r="F221" s="9"/>
      <c r="G221" s="85">
        <f t="shared" si="12"/>
        <v>0</v>
      </c>
      <c r="H221" s="3"/>
      <c r="I221" s="85">
        <f t="shared" si="13"/>
        <v>0</v>
      </c>
      <c r="J221" s="3"/>
      <c r="K221" s="100">
        <f t="shared" si="14"/>
        <v>0</v>
      </c>
      <c r="L221" s="85">
        <f t="shared" si="15"/>
        <v>0</v>
      </c>
    </row>
    <row r="222" spans="1:12" s="60" customFormat="1" x14ac:dyDescent="0.35">
      <c r="A222" s="26"/>
      <c r="B222" s="45" t="s">
        <v>39</v>
      </c>
      <c r="C222" s="46" t="s">
        <v>5</v>
      </c>
      <c r="D222" s="4">
        <v>1</v>
      </c>
      <c r="E222" s="4">
        <f>E221*D222</f>
        <v>3.5175000000000001</v>
      </c>
      <c r="F222" s="4"/>
      <c r="G222" s="85">
        <f t="shared" si="12"/>
        <v>0</v>
      </c>
      <c r="H222" s="4"/>
      <c r="I222" s="85">
        <f t="shared" si="13"/>
        <v>0</v>
      </c>
      <c r="J222" s="4"/>
      <c r="K222" s="100">
        <f t="shared" si="14"/>
        <v>0</v>
      </c>
      <c r="L222" s="85">
        <f t="shared" si="15"/>
        <v>0</v>
      </c>
    </row>
    <row r="223" spans="1:12" s="60" customFormat="1" x14ac:dyDescent="0.35">
      <c r="A223" s="26"/>
      <c r="B223" s="10" t="s">
        <v>71</v>
      </c>
      <c r="C223" s="5" t="s">
        <v>6</v>
      </c>
      <c r="D223" s="4">
        <v>6.8</v>
      </c>
      <c r="E223" s="4">
        <f>D223*E221</f>
        <v>23.919</v>
      </c>
      <c r="F223" s="9"/>
      <c r="G223" s="85">
        <f t="shared" si="12"/>
        <v>0</v>
      </c>
      <c r="H223" s="4"/>
      <c r="I223" s="85">
        <f t="shared" si="13"/>
        <v>0</v>
      </c>
      <c r="J223" s="4"/>
      <c r="K223" s="100">
        <f t="shared" si="14"/>
        <v>0</v>
      </c>
      <c r="L223" s="85">
        <f t="shared" si="15"/>
        <v>0</v>
      </c>
    </row>
    <row r="224" spans="1:12" s="60" customFormat="1" x14ac:dyDescent="0.35">
      <c r="A224" s="26"/>
      <c r="B224" s="129" t="s">
        <v>147</v>
      </c>
      <c r="C224" s="130" t="s">
        <v>5</v>
      </c>
      <c r="D224" s="131" t="s">
        <v>29</v>
      </c>
      <c r="E224" s="12">
        <f>2.404*1.05</f>
        <v>2.5242</v>
      </c>
      <c r="F224" s="4"/>
      <c r="G224" s="85">
        <f t="shared" si="12"/>
        <v>0</v>
      </c>
      <c r="H224" s="4"/>
      <c r="I224" s="85">
        <f t="shared" si="13"/>
        <v>0</v>
      </c>
      <c r="J224" s="4"/>
      <c r="K224" s="100">
        <f t="shared" si="14"/>
        <v>0</v>
      </c>
      <c r="L224" s="85">
        <f t="shared" si="15"/>
        <v>0</v>
      </c>
    </row>
    <row r="225" spans="1:12" s="60" customFormat="1" x14ac:dyDescent="0.35">
      <c r="A225" s="26"/>
      <c r="B225" s="132" t="s">
        <v>148</v>
      </c>
      <c r="C225" s="130" t="s">
        <v>5</v>
      </c>
      <c r="D225" s="131" t="s">
        <v>29</v>
      </c>
      <c r="E225" s="12">
        <f>0.946 *1.05</f>
        <v>0.99329999999999996</v>
      </c>
      <c r="F225" s="4"/>
      <c r="G225" s="85">
        <f t="shared" si="12"/>
        <v>0</v>
      </c>
      <c r="H225" s="4"/>
      <c r="I225" s="85">
        <f t="shared" si="13"/>
        <v>0</v>
      </c>
      <c r="J225" s="4"/>
      <c r="K225" s="100">
        <f t="shared" si="14"/>
        <v>0</v>
      </c>
      <c r="L225" s="85">
        <f t="shared" si="15"/>
        <v>0</v>
      </c>
    </row>
    <row r="226" spans="1:12" s="60" customFormat="1" x14ac:dyDescent="0.35">
      <c r="A226" s="26"/>
      <c r="B226" s="10" t="s">
        <v>14</v>
      </c>
      <c r="C226" s="5" t="s">
        <v>6</v>
      </c>
      <c r="D226" s="5">
        <v>12.2</v>
      </c>
      <c r="E226" s="4">
        <f>D226*E221</f>
        <v>42.913499999999999</v>
      </c>
      <c r="F226" s="9"/>
      <c r="G226" s="85">
        <f t="shared" si="12"/>
        <v>0</v>
      </c>
      <c r="H226" s="4"/>
      <c r="I226" s="85">
        <f t="shared" si="13"/>
        <v>0</v>
      </c>
      <c r="J226" s="4"/>
      <c r="K226" s="100">
        <f t="shared" si="14"/>
        <v>0</v>
      </c>
      <c r="L226" s="85">
        <f t="shared" si="15"/>
        <v>0</v>
      </c>
    </row>
    <row r="227" spans="1:12" s="60" customFormat="1" x14ac:dyDescent="0.35">
      <c r="A227" s="68">
        <v>36</v>
      </c>
      <c r="B227" s="36" t="s">
        <v>149</v>
      </c>
      <c r="C227" s="37" t="s">
        <v>56</v>
      </c>
      <c r="D227" s="37"/>
      <c r="E227" s="38">
        <v>3.16</v>
      </c>
      <c r="F227" s="9"/>
      <c r="G227" s="85">
        <f t="shared" si="12"/>
        <v>0</v>
      </c>
      <c r="H227" s="4"/>
      <c r="I227" s="85">
        <f t="shared" si="13"/>
        <v>0</v>
      </c>
      <c r="J227" s="4"/>
      <c r="K227" s="100">
        <f t="shared" si="14"/>
        <v>0</v>
      </c>
      <c r="L227" s="85">
        <f t="shared" si="15"/>
        <v>0</v>
      </c>
    </row>
    <row r="228" spans="1:12" s="60" customFormat="1" x14ac:dyDescent="0.35">
      <c r="A228" s="68"/>
      <c r="B228" s="45" t="s">
        <v>39</v>
      </c>
      <c r="C228" s="46" t="s">
        <v>24</v>
      </c>
      <c r="D228" s="4">
        <v>1</v>
      </c>
      <c r="E228" s="4">
        <f>E227*D228</f>
        <v>3.16</v>
      </c>
      <c r="F228" s="4"/>
      <c r="G228" s="85">
        <f t="shared" si="12"/>
        <v>0</v>
      </c>
      <c r="H228" s="4"/>
      <c r="I228" s="85">
        <f t="shared" si="13"/>
        <v>0</v>
      </c>
      <c r="J228" s="4"/>
      <c r="K228" s="100">
        <f t="shared" si="14"/>
        <v>0</v>
      </c>
      <c r="L228" s="85">
        <f t="shared" si="15"/>
        <v>0</v>
      </c>
    </row>
    <row r="229" spans="1:12" s="60" customFormat="1" x14ac:dyDescent="0.35">
      <c r="A229" s="68"/>
      <c r="B229" s="10" t="s">
        <v>25</v>
      </c>
      <c r="C229" s="5" t="s">
        <v>6</v>
      </c>
      <c r="D229" s="5">
        <v>3.36</v>
      </c>
      <c r="E229" s="4">
        <f>D229*E227</f>
        <v>10.617599999999999</v>
      </c>
      <c r="F229" s="9"/>
      <c r="G229" s="85">
        <f t="shared" si="12"/>
        <v>0</v>
      </c>
      <c r="H229" s="4"/>
      <c r="I229" s="85">
        <f t="shared" si="13"/>
        <v>0</v>
      </c>
      <c r="J229" s="4"/>
      <c r="K229" s="100">
        <f t="shared" si="14"/>
        <v>0</v>
      </c>
      <c r="L229" s="85">
        <f t="shared" si="15"/>
        <v>0</v>
      </c>
    </row>
    <row r="230" spans="1:12" s="60" customFormat="1" x14ac:dyDescent="0.35">
      <c r="A230" s="68"/>
      <c r="B230" s="133" t="s">
        <v>97</v>
      </c>
      <c r="C230" s="130" t="s">
        <v>16</v>
      </c>
      <c r="D230" s="130">
        <v>1.0149999999999999</v>
      </c>
      <c r="E230" s="4">
        <f>D230*E227</f>
        <v>3.2073999999999998</v>
      </c>
      <c r="F230" s="9"/>
      <c r="G230" s="85">
        <f t="shared" si="12"/>
        <v>0</v>
      </c>
      <c r="H230" s="4"/>
      <c r="I230" s="85">
        <f t="shared" si="13"/>
        <v>0</v>
      </c>
      <c r="J230" s="4"/>
      <c r="K230" s="100">
        <f t="shared" si="14"/>
        <v>0</v>
      </c>
      <c r="L230" s="85">
        <f t="shared" si="15"/>
        <v>0</v>
      </c>
    </row>
    <row r="231" spans="1:12" s="60" customFormat="1" x14ac:dyDescent="0.35">
      <c r="A231" s="68"/>
      <c r="B231" s="133" t="s">
        <v>68</v>
      </c>
      <c r="C231" s="130" t="s">
        <v>16</v>
      </c>
      <c r="D231" s="131">
        <v>1</v>
      </c>
      <c r="E231" s="4">
        <f>D231*E227</f>
        <v>3.16</v>
      </c>
      <c r="F231" s="9"/>
      <c r="G231" s="85">
        <f t="shared" si="12"/>
        <v>0</v>
      </c>
      <c r="H231" s="4"/>
      <c r="I231" s="85">
        <f t="shared" si="13"/>
        <v>0</v>
      </c>
      <c r="J231" s="4"/>
      <c r="K231" s="100">
        <f t="shared" si="14"/>
        <v>0</v>
      </c>
      <c r="L231" s="85">
        <f t="shared" si="15"/>
        <v>0</v>
      </c>
    </row>
    <row r="232" spans="1:12" s="60" customFormat="1" x14ac:dyDescent="0.35">
      <c r="A232" s="68"/>
      <c r="B232" s="10" t="s">
        <v>74</v>
      </c>
      <c r="C232" s="5" t="s">
        <v>17</v>
      </c>
      <c r="D232" s="5">
        <v>2.42</v>
      </c>
      <c r="E232" s="4">
        <f>D232*E227</f>
        <v>7.6471999999999998</v>
      </c>
      <c r="F232" s="9"/>
      <c r="G232" s="85">
        <f t="shared" si="12"/>
        <v>0</v>
      </c>
      <c r="H232" s="4"/>
      <c r="I232" s="85">
        <f t="shared" si="13"/>
        <v>0</v>
      </c>
      <c r="J232" s="4"/>
      <c r="K232" s="100">
        <f t="shared" si="14"/>
        <v>0</v>
      </c>
      <c r="L232" s="85">
        <f t="shared" si="15"/>
        <v>0</v>
      </c>
    </row>
    <row r="233" spans="1:12" s="60" customFormat="1" x14ac:dyDescent="0.35">
      <c r="A233" s="68"/>
      <c r="B233" s="17" t="s">
        <v>81</v>
      </c>
      <c r="C233" s="5" t="s">
        <v>16</v>
      </c>
      <c r="D233" s="5">
        <v>6.4799999999999996E-2</v>
      </c>
      <c r="E233" s="12">
        <f>D233*E227</f>
        <v>0.20476800000000001</v>
      </c>
      <c r="F233" s="9"/>
      <c r="G233" s="85">
        <f t="shared" si="12"/>
        <v>0</v>
      </c>
      <c r="H233" s="4"/>
      <c r="I233" s="85">
        <f t="shared" si="13"/>
        <v>0</v>
      </c>
      <c r="J233" s="4"/>
      <c r="K233" s="100">
        <f t="shared" si="14"/>
        <v>0</v>
      </c>
      <c r="L233" s="85">
        <f t="shared" si="15"/>
        <v>0</v>
      </c>
    </row>
    <row r="234" spans="1:12" s="60" customFormat="1" x14ac:dyDescent="0.35">
      <c r="A234" s="68"/>
      <c r="B234" s="17" t="s">
        <v>79</v>
      </c>
      <c r="C234" s="5" t="s">
        <v>7</v>
      </c>
      <c r="D234" s="4">
        <v>1.5</v>
      </c>
      <c r="E234" s="12">
        <f>D234*E227</f>
        <v>4.74</v>
      </c>
      <c r="F234" s="9"/>
      <c r="G234" s="85">
        <f t="shared" si="12"/>
        <v>0</v>
      </c>
      <c r="H234" s="4"/>
      <c r="I234" s="85">
        <f t="shared" si="13"/>
        <v>0</v>
      </c>
      <c r="J234" s="4"/>
      <c r="K234" s="100">
        <f t="shared" si="14"/>
        <v>0</v>
      </c>
      <c r="L234" s="85">
        <f t="shared" si="15"/>
        <v>0</v>
      </c>
    </row>
    <row r="235" spans="1:12" s="60" customFormat="1" x14ac:dyDescent="0.35">
      <c r="A235" s="68"/>
      <c r="B235" s="10" t="s">
        <v>30</v>
      </c>
      <c r="C235" s="5" t="s">
        <v>6</v>
      </c>
      <c r="D235" s="4">
        <v>0.6</v>
      </c>
      <c r="E235" s="4">
        <f>E227*D235</f>
        <v>1.8959999999999999</v>
      </c>
      <c r="F235" s="9"/>
      <c r="G235" s="85">
        <f t="shared" si="12"/>
        <v>0</v>
      </c>
      <c r="H235" s="4"/>
      <c r="I235" s="85">
        <f t="shared" si="13"/>
        <v>0</v>
      </c>
      <c r="J235" s="4"/>
      <c r="K235" s="100">
        <f t="shared" si="14"/>
        <v>0</v>
      </c>
      <c r="L235" s="85">
        <f t="shared" si="15"/>
        <v>0</v>
      </c>
    </row>
    <row r="236" spans="1:12" s="60" customFormat="1" x14ac:dyDescent="0.35">
      <c r="A236" s="26">
        <v>37</v>
      </c>
      <c r="B236" s="74" t="s">
        <v>70</v>
      </c>
      <c r="C236" s="39" t="s">
        <v>5</v>
      </c>
      <c r="D236" s="39"/>
      <c r="E236" s="75">
        <f>E239+E240+E241</f>
        <v>0.60165000000000002</v>
      </c>
      <c r="F236" s="9"/>
      <c r="G236" s="85">
        <f t="shared" si="12"/>
        <v>0</v>
      </c>
      <c r="H236" s="3"/>
      <c r="I236" s="85">
        <f t="shared" si="13"/>
        <v>0</v>
      </c>
      <c r="J236" s="3"/>
      <c r="K236" s="100">
        <f t="shared" si="14"/>
        <v>0</v>
      </c>
      <c r="L236" s="85">
        <f t="shared" si="15"/>
        <v>0</v>
      </c>
    </row>
    <row r="237" spans="1:12" s="60" customFormat="1" x14ac:dyDescent="0.35">
      <c r="A237" s="26"/>
      <c r="B237" s="45" t="s">
        <v>39</v>
      </c>
      <c r="C237" s="46" t="s">
        <v>5</v>
      </c>
      <c r="D237" s="4">
        <v>1</v>
      </c>
      <c r="E237" s="4">
        <f>E236*D237</f>
        <v>0.60165000000000002</v>
      </c>
      <c r="F237" s="4"/>
      <c r="G237" s="85">
        <f t="shared" si="12"/>
        <v>0</v>
      </c>
      <c r="H237" s="4"/>
      <c r="I237" s="85">
        <f t="shared" si="13"/>
        <v>0</v>
      </c>
      <c r="J237" s="4"/>
      <c r="K237" s="100">
        <f t="shared" si="14"/>
        <v>0</v>
      </c>
      <c r="L237" s="85">
        <f t="shared" si="15"/>
        <v>0</v>
      </c>
    </row>
    <row r="238" spans="1:12" s="60" customFormat="1" x14ac:dyDescent="0.35">
      <c r="A238" s="26"/>
      <c r="B238" s="10" t="s">
        <v>71</v>
      </c>
      <c r="C238" s="5" t="s">
        <v>6</v>
      </c>
      <c r="D238" s="4">
        <v>6.8</v>
      </c>
      <c r="E238" s="4">
        <f>D238*E236</f>
        <v>4.0912199999999999</v>
      </c>
      <c r="F238" s="9"/>
      <c r="G238" s="85">
        <f t="shared" si="12"/>
        <v>0</v>
      </c>
      <c r="H238" s="4"/>
      <c r="I238" s="85">
        <f t="shared" si="13"/>
        <v>0</v>
      </c>
      <c r="J238" s="4"/>
      <c r="K238" s="100">
        <f t="shared" si="14"/>
        <v>0</v>
      </c>
      <c r="L238" s="85">
        <f t="shared" si="15"/>
        <v>0</v>
      </c>
    </row>
    <row r="239" spans="1:12" s="60" customFormat="1" x14ac:dyDescent="0.35">
      <c r="A239" s="26"/>
      <c r="B239" s="129" t="s">
        <v>140</v>
      </c>
      <c r="C239" s="130" t="s">
        <v>5</v>
      </c>
      <c r="D239" s="131" t="s">
        <v>29</v>
      </c>
      <c r="E239" s="12">
        <f>0.222*1.05</f>
        <v>0.2331</v>
      </c>
      <c r="F239" s="4"/>
      <c r="G239" s="85">
        <f t="shared" si="12"/>
        <v>0</v>
      </c>
      <c r="H239" s="4"/>
      <c r="I239" s="85">
        <f t="shared" si="13"/>
        <v>0</v>
      </c>
      <c r="J239" s="4"/>
      <c r="K239" s="100">
        <f t="shared" si="14"/>
        <v>0</v>
      </c>
      <c r="L239" s="85">
        <f t="shared" si="15"/>
        <v>0</v>
      </c>
    </row>
    <row r="240" spans="1:12" s="60" customFormat="1" x14ac:dyDescent="0.35">
      <c r="A240" s="26"/>
      <c r="B240" s="129" t="s">
        <v>150</v>
      </c>
      <c r="C240" s="130" t="s">
        <v>5</v>
      </c>
      <c r="D240" s="131" t="s">
        <v>29</v>
      </c>
      <c r="E240" s="12">
        <f>0.18*1.05</f>
        <v>0.189</v>
      </c>
      <c r="F240" s="4"/>
      <c r="G240" s="85">
        <f t="shared" si="12"/>
        <v>0</v>
      </c>
      <c r="H240" s="4"/>
      <c r="I240" s="85">
        <f t="shared" si="13"/>
        <v>0</v>
      </c>
      <c r="J240" s="4"/>
      <c r="K240" s="100">
        <f t="shared" si="14"/>
        <v>0</v>
      </c>
      <c r="L240" s="85">
        <f t="shared" si="15"/>
        <v>0</v>
      </c>
    </row>
    <row r="241" spans="1:12" s="60" customFormat="1" x14ac:dyDescent="0.35">
      <c r="A241" s="26"/>
      <c r="B241" s="132" t="s">
        <v>151</v>
      </c>
      <c r="C241" s="130" t="s">
        <v>5</v>
      </c>
      <c r="D241" s="131" t="s">
        <v>29</v>
      </c>
      <c r="E241" s="12">
        <f>0.171 *1.05</f>
        <v>0.17955000000000002</v>
      </c>
      <c r="F241" s="4"/>
      <c r="G241" s="85">
        <f t="shared" si="12"/>
        <v>0</v>
      </c>
      <c r="H241" s="4"/>
      <c r="I241" s="85">
        <f t="shared" si="13"/>
        <v>0</v>
      </c>
      <c r="J241" s="4"/>
      <c r="K241" s="100">
        <f t="shared" si="14"/>
        <v>0</v>
      </c>
      <c r="L241" s="85">
        <f t="shared" si="15"/>
        <v>0</v>
      </c>
    </row>
    <row r="242" spans="1:12" s="60" customFormat="1" x14ac:dyDescent="0.35">
      <c r="A242" s="26"/>
      <c r="B242" s="10" t="s">
        <v>14</v>
      </c>
      <c r="C242" s="5" t="s">
        <v>6</v>
      </c>
      <c r="D242" s="5">
        <v>12.2</v>
      </c>
      <c r="E242" s="4">
        <f>D242*E236</f>
        <v>7.3401299999999994</v>
      </c>
      <c r="F242" s="9"/>
      <c r="G242" s="85">
        <f t="shared" si="12"/>
        <v>0</v>
      </c>
      <c r="H242" s="4"/>
      <c r="I242" s="85">
        <f t="shared" si="13"/>
        <v>0</v>
      </c>
      <c r="J242" s="4"/>
      <c r="K242" s="100">
        <f t="shared" si="14"/>
        <v>0</v>
      </c>
      <c r="L242" s="85">
        <f t="shared" si="15"/>
        <v>0</v>
      </c>
    </row>
    <row r="243" spans="1:12" s="60" customFormat="1" x14ac:dyDescent="0.35">
      <c r="A243" s="21"/>
      <c r="B243" s="43" t="s">
        <v>98</v>
      </c>
      <c r="C243" s="5"/>
      <c r="D243" s="5"/>
      <c r="E243" s="4"/>
      <c r="F243" s="9"/>
      <c r="G243" s="85">
        <f t="shared" si="12"/>
        <v>0</v>
      </c>
      <c r="H243" s="4"/>
      <c r="I243" s="85">
        <f t="shared" si="13"/>
        <v>0</v>
      </c>
      <c r="J243" s="4"/>
      <c r="K243" s="100">
        <f t="shared" si="14"/>
        <v>0</v>
      </c>
      <c r="L243" s="85">
        <f t="shared" si="15"/>
        <v>0</v>
      </c>
    </row>
    <row r="244" spans="1:12" s="60" customFormat="1" ht="27" x14ac:dyDescent="0.35">
      <c r="A244" s="68">
        <v>38</v>
      </c>
      <c r="B244" s="36" t="s">
        <v>155</v>
      </c>
      <c r="C244" s="37" t="s">
        <v>56</v>
      </c>
      <c r="D244" s="37"/>
      <c r="E244" s="38">
        <v>12.3</v>
      </c>
      <c r="F244" s="9"/>
      <c r="G244" s="85">
        <f t="shared" si="12"/>
        <v>0</v>
      </c>
      <c r="H244" s="4"/>
      <c r="I244" s="85">
        <f t="shared" si="13"/>
        <v>0</v>
      </c>
      <c r="J244" s="4"/>
      <c r="K244" s="100">
        <f t="shared" si="14"/>
        <v>0</v>
      </c>
      <c r="L244" s="85">
        <f t="shared" si="15"/>
        <v>0</v>
      </c>
    </row>
    <row r="245" spans="1:12" s="60" customFormat="1" x14ac:dyDescent="0.35">
      <c r="A245" s="68"/>
      <c r="B245" s="45" t="s">
        <v>39</v>
      </c>
      <c r="C245" s="46" t="s">
        <v>24</v>
      </c>
      <c r="D245" s="4">
        <v>1</v>
      </c>
      <c r="E245" s="4">
        <f>E244*D245</f>
        <v>12.3</v>
      </c>
      <c r="F245" s="9"/>
      <c r="G245" s="85">
        <f t="shared" si="12"/>
        <v>0</v>
      </c>
      <c r="H245" s="4"/>
      <c r="I245" s="85">
        <f t="shared" si="13"/>
        <v>0</v>
      </c>
      <c r="J245" s="4"/>
      <c r="K245" s="100">
        <f t="shared" si="14"/>
        <v>0</v>
      </c>
      <c r="L245" s="85">
        <f t="shared" si="15"/>
        <v>0</v>
      </c>
    </row>
    <row r="246" spans="1:12" s="60" customFormat="1" x14ac:dyDescent="0.35">
      <c r="A246" s="68"/>
      <c r="B246" s="10" t="s">
        <v>25</v>
      </c>
      <c r="C246" s="5" t="s">
        <v>6</v>
      </c>
      <c r="D246" s="5">
        <v>1.21</v>
      </c>
      <c r="E246" s="4">
        <f>E244*D246</f>
        <v>14.883000000000001</v>
      </c>
      <c r="F246" s="9"/>
      <c r="G246" s="85">
        <f t="shared" si="12"/>
        <v>0</v>
      </c>
      <c r="H246" s="4"/>
      <c r="I246" s="85">
        <f t="shared" si="13"/>
        <v>0</v>
      </c>
      <c r="J246" s="4"/>
      <c r="K246" s="100">
        <f t="shared" si="14"/>
        <v>0</v>
      </c>
      <c r="L246" s="85">
        <f t="shared" si="15"/>
        <v>0</v>
      </c>
    </row>
    <row r="247" spans="1:12" s="60" customFormat="1" x14ac:dyDescent="0.35">
      <c r="A247" s="68"/>
      <c r="B247" s="133" t="s">
        <v>80</v>
      </c>
      <c r="C247" s="130" t="s">
        <v>16</v>
      </c>
      <c r="D247" s="130">
        <v>1.0149999999999999</v>
      </c>
      <c r="E247" s="4">
        <f>E244*D247</f>
        <v>12.484499999999999</v>
      </c>
      <c r="F247" s="9"/>
      <c r="G247" s="85">
        <f t="shared" si="12"/>
        <v>0</v>
      </c>
      <c r="H247" s="4"/>
      <c r="I247" s="85">
        <f t="shared" si="13"/>
        <v>0</v>
      </c>
      <c r="J247" s="4"/>
      <c r="K247" s="100">
        <f t="shared" si="14"/>
        <v>0</v>
      </c>
      <c r="L247" s="85">
        <f t="shared" si="15"/>
        <v>0</v>
      </c>
    </row>
    <row r="248" spans="1:12" s="60" customFormat="1" x14ac:dyDescent="0.35">
      <c r="A248" s="68"/>
      <c r="B248" s="133" t="s">
        <v>68</v>
      </c>
      <c r="C248" s="130" t="s">
        <v>16</v>
      </c>
      <c r="D248" s="131">
        <v>1</v>
      </c>
      <c r="E248" s="4">
        <f>D248*E244</f>
        <v>12.3</v>
      </c>
      <c r="F248" s="9"/>
      <c r="G248" s="85">
        <f t="shared" si="12"/>
        <v>0</v>
      </c>
      <c r="H248" s="4"/>
      <c r="I248" s="85">
        <f t="shared" si="13"/>
        <v>0</v>
      </c>
      <c r="J248" s="4"/>
      <c r="K248" s="100">
        <f t="shared" si="14"/>
        <v>0</v>
      </c>
      <c r="L248" s="85">
        <f t="shared" si="15"/>
        <v>0</v>
      </c>
    </row>
    <row r="249" spans="1:12" s="60" customFormat="1" x14ac:dyDescent="0.35">
      <c r="A249" s="68"/>
      <c r="B249" s="10" t="s">
        <v>74</v>
      </c>
      <c r="C249" s="5" t="s">
        <v>17</v>
      </c>
      <c r="D249" s="5">
        <v>2.46</v>
      </c>
      <c r="E249" s="4">
        <f>D249*E244</f>
        <v>30.258000000000003</v>
      </c>
      <c r="F249" s="9"/>
      <c r="G249" s="85">
        <f t="shared" si="12"/>
        <v>0</v>
      </c>
      <c r="H249" s="4"/>
      <c r="I249" s="85">
        <f t="shared" si="13"/>
        <v>0</v>
      </c>
      <c r="J249" s="4"/>
      <c r="K249" s="100">
        <f t="shared" si="14"/>
        <v>0</v>
      </c>
      <c r="L249" s="85">
        <f t="shared" si="15"/>
        <v>0</v>
      </c>
    </row>
    <row r="250" spans="1:12" s="60" customFormat="1" x14ac:dyDescent="0.35">
      <c r="A250" s="68"/>
      <c r="B250" s="17" t="s">
        <v>75</v>
      </c>
      <c r="C250" s="5" t="s">
        <v>16</v>
      </c>
      <c r="D250" s="5">
        <v>2.3E-2</v>
      </c>
      <c r="E250" s="12">
        <f>D250*E244</f>
        <v>0.28289999999999998</v>
      </c>
      <c r="F250" s="9"/>
      <c r="G250" s="85">
        <f t="shared" si="12"/>
        <v>0</v>
      </c>
      <c r="H250" s="4"/>
      <c r="I250" s="85">
        <f t="shared" si="13"/>
        <v>0</v>
      </c>
      <c r="J250" s="4"/>
      <c r="K250" s="100">
        <f t="shared" si="14"/>
        <v>0</v>
      </c>
      <c r="L250" s="85">
        <f t="shared" si="15"/>
        <v>0</v>
      </c>
    </row>
    <row r="251" spans="1:12" s="60" customFormat="1" x14ac:dyDescent="0.35">
      <c r="A251" s="68"/>
      <c r="B251" s="27" t="s">
        <v>78</v>
      </c>
      <c r="C251" s="5" t="s">
        <v>18</v>
      </c>
      <c r="D251" s="5">
        <v>5.55</v>
      </c>
      <c r="E251" s="4">
        <f>D251*E244</f>
        <v>68.265000000000001</v>
      </c>
      <c r="F251" s="9"/>
      <c r="G251" s="85">
        <f t="shared" si="12"/>
        <v>0</v>
      </c>
      <c r="H251" s="4"/>
      <c r="I251" s="85">
        <f t="shared" si="13"/>
        <v>0</v>
      </c>
      <c r="J251" s="4"/>
      <c r="K251" s="100">
        <f t="shared" si="14"/>
        <v>0</v>
      </c>
      <c r="L251" s="85">
        <f t="shared" si="15"/>
        <v>0</v>
      </c>
    </row>
    <row r="252" spans="1:12" s="60" customFormat="1" x14ac:dyDescent="0.35">
      <c r="A252" s="68"/>
      <c r="B252" s="17" t="s">
        <v>79</v>
      </c>
      <c r="C252" s="5" t="s">
        <v>7</v>
      </c>
      <c r="D252" s="5">
        <v>3.3</v>
      </c>
      <c r="E252" s="12">
        <f>D252*E244</f>
        <v>40.590000000000003</v>
      </c>
      <c r="F252" s="9"/>
      <c r="G252" s="85">
        <f t="shared" si="12"/>
        <v>0</v>
      </c>
      <c r="H252" s="4"/>
      <c r="I252" s="85">
        <f t="shared" si="13"/>
        <v>0</v>
      </c>
      <c r="J252" s="4"/>
      <c r="K252" s="100">
        <f t="shared" si="14"/>
        <v>0</v>
      </c>
      <c r="L252" s="85">
        <f t="shared" si="15"/>
        <v>0</v>
      </c>
    </row>
    <row r="253" spans="1:12" s="60" customFormat="1" x14ac:dyDescent="0.35">
      <c r="A253" s="68"/>
      <c r="B253" s="10" t="s">
        <v>30</v>
      </c>
      <c r="C253" s="5" t="s">
        <v>6</v>
      </c>
      <c r="D253" s="5">
        <v>0.9</v>
      </c>
      <c r="E253" s="4">
        <f>D253*E244</f>
        <v>11.07</v>
      </c>
      <c r="F253" s="9"/>
      <c r="G253" s="85">
        <f t="shared" si="12"/>
        <v>0</v>
      </c>
      <c r="H253" s="4"/>
      <c r="I253" s="85">
        <f t="shared" si="13"/>
        <v>0</v>
      </c>
      <c r="J253" s="4"/>
      <c r="K253" s="100">
        <f t="shared" si="14"/>
        <v>0</v>
      </c>
      <c r="L253" s="85">
        <f t="shared" si="15"/>
        <v>0</v>
      </c>
    </row>
    <row r="254" spans="1:12" s="60" customFormat="1" x14ac:dyDescent="0.35">
      <c r="A254" s="21">
        <v>39</v>
      </c>
      <c r="B254" s="74" t="s">
        <v>70</v>
      </c>
      <c r="C254" s="39" t="s">
        <v>5</v>
      </c>
      <c r="D254" s="39"/>
      <c r="E254" s="75">
        <f>E257+E258+E259</f>
        <v>1.9026000000000003</v>
      </c>
      <c r="F254" s="9"/>
      <c r="G254" s="85">
        <f t="shared" si="12"/>
        <v>0</v>
      </c>
      <c r="H254" s="3"/>
      <c r="I254" s="85">
        <f t="shared" si="13"/>
        <v>0</v>
      </c>
      <c r="J254" s="3"/>
      <c r="K254" s="100">
        <f t="shared" si="14"/>
        <v>0</v>
      </c>
      <c r="L254" s="85">
        <f t="shared" si="15"/>
        <v>0</v>
      </c>
    </row>
    <row r="255" spans="1:12" s="60" customFormat="1" x14ac:dyDescent="0.35">
      <c r="A255" s="21"/>
      <c r="B255" s="45" t="s">
        <v>39</v>
      </c>
      <c r="C255" s="46" t="s">
        <v>5</v>
      </c>
      <c r="D255" s="4">
        <v>1</v>
      </c>
      <c r="E255" s="4">
        <f>E254*D255</f>
        <v>1.9026000000000003</v>
      </c>
      <c r="F255" s="4"/>
      <c r="G255" s="85">
        <f t="shared" si="12"/>
        <v>0</v>
      </c>
      <c r="H255" s="4"/>
      <c r="I255" s="85">
        <f t="shared" si="13"/>
        <v>0</v>
      </c>
      <c r="J255" s="4"/>
      <c r="K255" s="100">
        <f t="shared" si="14"/>
        <v>0</v>
      </c>
      <c r="L255" s="85">
        <f t="shared" si="15"/>
        <v>0</v>
      </c>
    </row>
    <row r="256" spans="1:12" s="60" customFormat="1" x14ac:dyDescent="0.35">
      <c r="A256" s="21"/>
      <c r="B256" s="10" t="s">
        <v>71</v>
      </c>
      <c r="C256" s="5" t="s">
        <v>6</v>
      </c>
      <c r="D256" s="5">
        <v>6.8</v>
      </c>
      <c r="E256" s="4">
        <f>D256*E254</f>
        <v>12.937680000000002</v>
      </c>
      <c r="F256" s="9"/>
      <c r="G256" s="85">
        <f t="shared" si="12"/>
        <v>0</v>
      </c>
      <c r="H256" s="4"/>
      <c r="I256" s="85">
        <f t="shared" si="13"/>
        <v>0</v>
      </c>
      <c r="J256" s="4"/>
      <c r="K256" s="100">
        <f t="shared" si="14"/>
        <v>0</v>
      </c>
      <c r="L256" s="85">
        <f t="shared" si="15"/>
        <v>0</v>
      </c>
    </row>
    <row r="257" spans="1:12" s="60" customFormat="1" x14ac:dyDescent="0.35">
      <c r="A257" s="21"/>
      <c r="B257" s="129" t="s">
        <v>152</v>
      </c>
      <c r="C257" s="130" t="s">
        <v>5</v>
      </c>
      <c r="D257" s="131" t="s">
        <v>29</v>
      </c>
      <c r="E257" s="12">
        <f>0.426*1.05</f>
        <v>0.44730000000000003</v>
      </c>
      <c r="F257" s="4"/>
      <c r="G257" s="85">
        <f t="shared" si="12"/>
        <v>0</v>
      </c>
      <c r="H257" s="4"/>
      <c r="I257" s="85">
        <f t="shared" si="13"/>
        <v>0</v>
      </c>
      <c r="J257" s="4"/>
      <c r="K257" s="100">
        <f t="shared" si="14"/>
        <v>0</v>
      </c>
      <c r="L257" s="85">
        <f t="shared" si="15"/>
        <v>0</v>
      </c>
    </row>
    <row r="258" spans="1:12" s="60" customFormat="1" x14ac:dyDescent="0.35">
      <c r="A258" s="21"/>
      <c r="B258" s="129" t="s">
        <v>153</v>
      </c>
      <c r="C258" s="130" t="s">
        <v>5</v>
      </c>
      <c r="D258" s="131" t="s">
        <v>29</v>
      </c>
      <c r="E258" s="12">
        <f>0.876*1.05</f>
        <v>0.91980000000000006</v>
      </c>
      <c r="F258" s="4"/>
      <c r="G258" s="85">
        <f t="shared" si="12"/>
        <v>0</v>
      </c>
      <c r="H258" s="4"/>
      <c r="I258" s="85">
        <f t="shared" si="13"/>
        <v>0</v>
      </c>
      <c r="J258" s="4"/>
      <c r="K258" s="100">
        <f t="shared" si="14"/>
        <v>0</v>
      </c>
      <c r="L258" s="85">
        <f t="shared" si="15"/>
        <v>0</v>
      </c>
    </row>
    <row r="259" spans="1:12" s="60" customFormat="1" x14ac:dyDescent="0.35">
      <c r="A259" s="21"/>
      <c r="B259" s="132" t="s">
        <v>154</v>
      </c>
      <c r="C259" s="130" t="s">
        <v>5</v>
      </c>
      <c r="D259" s="131" t="s">
        <v>29</v>
      </c>
      <c r="E259" s="12">
        <f>0.51*1.05</f>
        <v>0.53550000000000009</v>
      </c>
      <c r="F259" s="4"/>
      <c r="G259" s="85">
        <f t="shared" si="12"/>
        <v>0</v>
      </c>
      <c r="H259" s="4"/>
      <c r="I259" s="85">
        <f t="shared" si="13"/>
        <v>0</v>
      </c>
      <c r="J259" s="4"/>
      <c r="K259" s="100">
        <f t="shared" si="14"/>
        <v>0</v>
      </c>
      <c r="L259" s="85">
        <f t="shared" si="15"/>
        <v>0</v>
      </c>
    </row>
    <row r="260" spans="1:12" s="60" customFormat="1" x14ac:dyDescent="0.35">
      <c r="A260" s="21"/>
      <c r="B260" s="10" t="s">
        <v>14</v>
      </c>
      <c r="C260" s="5" t="s">
        <v>6</v>
      </c>
      <c r="D260" s="5">
        <v>12.2</v>
      </c>
      <c r="E260" s="4">
        <f>D260*E254</f>
        <v>23.211720000000003</v>
      </c>
      <c r="F260" s="9"/>
      <c r="G260" s="85">
        <f t="shared" si="12"/>
        <v>0</v>
      </c>
      <c r="H260" s="4"/>
      <c r="I260" s="85">
        <f t="shared" si="13"/>
        <v>0</v>
      </c>
      <c r="J260" s="4"/>
      <c r="K260" s="100">
        <f t="shared" si="14"/>
        <v>0</v>
      </c>
      <c r="L260" s="85">
        <f t="shared" si="15"/>
        <v>0</v>
      </c>
    </row>
    <row r="261" spans="1:12" s="60" customFormat="1" ht="27" x14ac:dyDescent="0.35">
      <c r="A261" s="68">
        <v>40</v>
      </c>
      <c r="B261" s="36" t="s">
        <v>156</v>
      </c>
      <c r="C261" s="37" t="s">
        <v>56</v>
      </c>
      <c r="D261" s="37"/>
      <c r="E261" s="38">
        <v>0.88</v>
      </c>
      <c r="F261" s="9"/>
      <c r="G261" s="85">
        <f t="shared" si="12"/>
        <v>0</v>
      </c>
      <c r="H261" s="4"/>
      <c r="I261" s="85">
        <f t="shared" si="13"/>
        <v>0</v>
      </c>
      <c r="J261" s="4"/>
      <c r="K261" s="100">
        <f t="shared" si="14"/>
        <v>0</v>
      </c>
      <c r="L261" s="85">
        <f t="shared" si="15"/>
        <v>0</v>
      </c>
    </row>
    <row r="262" spans="1:12" s="60" customFormat="1" x14ac:dyDescent="0.35">
      <c r="A262" s="68"/>
      <c r="B262" s="45" t="s">
        <v>39</v>
      </c>
      <c r="C262" s="46" t="s">
        <v>24</v>
      </c>
      <c r="D262" s="4">
        <v>1</v>
      </c>
      <c r="E262" s="4">
        <f>E261*D262</f>
        <v>0.88</v>
      </c>
      <c r="F262" s="9"/>
      <c r="G262" s="85">
        <f t="shared" si="12"/>
        <v>0</v>
      </c>
      <c r="H262" s="4"/>
      <c r="I262" s="85">
        <f t="shared" si="13"/>
        <v>0</v>
      </c>
      <c r="J262" s="4"/>
      <c r="K262" s="100">
        <f t="shared" si="14"/>
        <v>0</v>
      </c>
      <c r="L262" s="85">
        <f t="shared" si="15"/>
        <v>0</v>
      </c>
    </row>
    <row r="263" spans="1:12" s="60" customFormat="1" x14ac:dyDescent="0.35">
      <c r="A263" s="68"/>
      <c r="B263" s="10" t="s">
        <v>25</v>
      </c>
      <c r="C263" s="5" t="s">
        <v>6</v>
      </c>
      <c r="D263" s="5">
        <v>1.21</v>
      </c>
      <c r="E263" s="4">
        <f>E261*D263</f>
        <v>1.0648</v>
      </c>
      <c r="F263" s="9"/>
      <c r="G263" s="85">
        <f t="shared" si="12"/>
        <v>0</v>
      </c>
      <c r="H263" s="4"/>
      <c r="I263" s="85">
        <f t="shared" si="13"/>
        <v>0</v>
      </c>
      <c r="J263" s="4"/>
      <c r="K263" s="100">
        <f t="shared" si="14"/>
        <v>0</v>
      </c>
      <c r="L263" s="85">
        <f t="shared" si="15"/>
        <v>0</v>
      </c>
    </row>
    <row r="264" spans="1:12" s="60" customFormat="1" x14ac:dyDescent="0.35">
      <c r="A264" s="68"/>
      <c r="B264" s="133" t="s">
        <v>80</v>
      </c>
      <c r="C264" s="130" t="s">
        <v>16</v>
      </c>
      <c r="D264" s="130">
        <v>1.0149999999999999</v>
      </c>
      <c r="E264" s="4">
        <f>E261*D264</f>
        <v>0.89319999999999988</v>
      </c>
      <c r="F264" s="9"/>
      <c r="G264" s="85">
        <f t="shared" si="12"/>
        <v>0</v>
      </c>
      <c r="H264" s="4"/>
      <c r="I264" s="85">
        <f t="shared" si="13"/>
        <v>0</v>
      </c>
      <c r="J264" s="4"/>
      <c r="K264" s="100">
        <f t="shared" si="14"/>
        <v>0</v>
      </c>
      <c r="L264" s="85">
        <f t="shared" si="15"/>
        <v>0</v>
      </c>
    </row>
    <row r="265" spans="1:12" s="60" customFormat="1" x14ac:dyDescent="0.35">
      <c r="A265" s="68"/>
      <c r="B265" s="133" t="s">
        <v>68</v>
      </c>
      <c r="C265" s="130" t="s">
        <v>16</v>
      </c>
      <c r="D265" s="131">
        <v>1</v>
      </c>
      <c r="E265" s="4">
        <f>D265*E261</f>
        <v>0.88</v>
      </c>
      <c r="F265" s="9"/>
      <c r="G265" s="85">
        <f t="shared" si="12"/>
        <v>0</v>
      </c>
      <c r="H265" s="4"/>
      <c r="I265" s="85">
        <f t="shared" si="13"/>
        <v>0</v>
      </c>
      <c r="J265" s="4"/>
      <c r="K265" s="100">
        <f t="shared" si="14"/>
        <v>0</v>
      </c>
      <c r="L265" s="85">
        <f t="shared" si="15"/>
        <v>0</v>
      </c>
    </row>
    <row r="266" spans="1:12" s="60" customFormat="1" x14ac:dyDescent="0.35">
      <c r="A266" s="68"/>
      <c r="B266" s="10" t="s">
        <v>74</v>
      </c>
      <c r="C266" s="5" t="s">
        <v>17</v>
      </c>
      <c r="D266" s="5">
        <v>2.46</v>
      </c>
      <c r="E266" s="4">
        <f>D266*E261</f>
        <v>2.1648000000000001</v>
      </c>
      <c r="F266" s="9"/>
      <c r="G266" s="85">
        <f t="shared" si="12"/>
        <v>0</v>
      </c>
      <c r="H266" s="4"/>
      <c r="I266" s="85">
        <f t="shared" si="13"/>
        <v>0</v>
      </c>
      <c r="J266" s="4"/>
      <c r="K266" s="100">
        <f t="shared" si="14"/>
        <v>0</v>
      </c>
      <c r="L266" s="85">
        <f t="shared" si="15"/>
        <v>0</v>
      </c>
    </row>
    <row r="267" spans="1:12" s="60" customFormat="1" x14ac:dyDescent="0.35">
      <c r="A267" s="68"/>
      <c r="B267" s="17" t="s">
        <v>75</v>
      </c>
      <c r="C267" s="5" t="s">
        <v>16</v>
      </c>
      <c r="D267" s="5">
        <v>2.3E-2</v>
      </c>
      <c r="E267" s="12">
        <f>D267*E261</f>
        <v>2.0240000000000001E-2</v>
      </c>
      <c r="F267" s="9"/>
      <c r="G267" s="85">
        <f t="shared" si="12"/>
        <v>0</v>
      </c>
      <c r="H267" s="4"/>
      <c r="I267" s="85">
        <f t="shared" si="13"/>
        <v>0</v>
      </c>
      <c r="J267" s="4"/>
      <c r="K267" s="100">
        <f t="shared" si="14"/>
        <v>0</v>
      </c>
      <c r="L267" s="85">
        <f t="shared" si="15"/>
        <v>0</v>
      </c>
    </row>
    <row r="268" spans="1:12" s="60" customFormat="1" x14ac:dyDescent="0.35">
      <c r="A268" s="68"/>
      <c r="B268" s="27" t="s">
        <v>78</v>
      </c>
      <c r="C268" s="5" t="s">
        <v>18</v>
      </c>
      <c r="D268" s="5">
        <v>5.55</v>
      </c>
      <c r="E268" s="4">
        <f>D268*E261</f>
        <v>4.8839999999999995</v>
      </c>
      <c r="F268" s="9"/>
      <c r="G268" s="85">
        <f t="shared" ref="G268:G331" si="16">F268*E268</f>
        <v>0</v>
      </c>
      <c r="H268" s="4"/>
      <c r="I268" s="85">
        <f t="shared" ref="I268:I331" si="17">H268*E268</f>
        <v>0</v>
      </c>
      <c r="J268" s="4"/>
      <c r="K268" s="100">
        <f t="shared" ref="K268:K331" si="18">J268*E268</f>
        <v>0</v>
      </c>
      <c r="L268" s="85">
        <f t="shared" ref="L268:L331" si="19">K268+I268+G268</f>
        <v>0</v>
      </c>
    </row>
    <row r="269" spans="1:12" s="60" customFormat="1" x14ac:dyDescent="0.35">
      <c r="A269" s="68"/>
      <c r="B269" s="17" t="s">
        <v>79</v>
      </c>
      <c r="C269" s="5" t="s">
        <v>7</v>
      </c>
      <c r="D269" s="5">
        <v>3.3</v>
      </c>
      <c r="E269" s="12">
        <f>D269*E261</f>
        <v>2.9039999999999999</v>
      </c>
      <c r="F269" s="9"/>
      <c r="G269" s="85">
        <f t="shared" si="16"/>
        <v>0</v>
      </c>
      <c r="H269" s="4"/>
      <c r="I269" s="85">
        <f t="shared" si="17"/>
        <v>0</v>
      </c>
      <c r="J269" s="4"/>
      <c r="K269" s="100">
        <f t="shared" si="18"/>
        <v>0</v>
      </c>
      <c r="L269" s="85">
        <f t="shared" si="19"/>
        <v>0</v>
      </c>
    </row>
    <row r="270" spans="1:12" s="60" customFormat="1" x14ac:dyDescent="0.35">
      <c r="A270" s="68"/>
      <c r="B270" s="10" t="s">
        <v>30</v>
      </c>
      <c r="C270" s="5" t="s">
        <v>6</v>
      </c>
      <c r="D270" s="5">
        <v>0.9</v>
      </c>
      <c r="E270" s="4">
        <f>D270*E261</f>
        <v>0.79200000000000004</v>
      </c>
      <c r="F270" s="9"/>
      <c r="G270" s="85">
        <f t="shared" si="16"/>
        <v>0</v>
      </c>
      <c r="H270" s="4"/>
      <c r="I270" s="85">
        <f t="shared" si="17"/>
        <v>0</v>
      </c>
      <c r="J270" s="4"/>
      <c r="K270" s="100">
        <f t="shared" si="18"/>
        <v>0</v>
      </c>
      <c r="L270" s="85">
        <f t="shared" si="19"/>
        <v>0</v>
      </c>
    </row>
    <row r="271" spans="1:12" s="60" customFormat="1" x14ac:dyDescent="0.35">
      <c r="A271" s="21">
        <v>41</v>
      </c>
      <c r="B271" s="74" t="s">
        <v>70</v>
      </c>
      <c r="C271" s="39" t="s">
        <v>5</v>
      </c>
      <c r="D271" s="39"/>
      <c r="E271" s="75">
        <f>E274+E275</f>
        <v>0.12809999999999999</v>
      </c>
      <c r="F271" s="9"/>
      <c r="G271" s="85">
        <f t="shared" si="16"/>
        <v>0</v>
      </c>
      <c r="H271" s="3"/>
      <c r="I271" s="85">
        <f t="shared" si="17"/>
        <v>0</v>
      </c>
      <c r="J271" s="3"/>
      <c r="K271" s="100">
        <f t="shared" si="18"/>
        <v>0</v>
      </c>
      <c r="L271" s="85">
        <f t="shared" si="19"/>
        <v>0</v>
      </c>
    </row>
    <row r="272" spans="1:12" s="60" customFormat="1" x14ac:dyDescent="0.35">
      <c r="A272" s="21"/>
      <c r="B272" s="45" t="s">
        <v>39</v>
      </c>
      <c r="C272" s="46" t="s">
        <v>5</v>
      </c>
      <c r="D272" s="4">
        <v>1</v>
      </c>
      <c r="E272" s="4">
        <f>E271*D272</f>
        <v>0.12809999999999999</v>
      </c>
      <c r="F272" s="4"/>
      <c r="G272" s="85">
        <f t="shared" si="16"/>
        <v>0</v>
      </c>
      <c r="H272" s="4"/>
      <c r="I272" s="85">
        <f t="shared" si="17"/>
        <v>0</v>
      </c>
      <c r="J272" s="4"/>
      <c r="K272" s="100">
        <f t="shared" si="18"/>
        <v>0</v>
      </c>
      <c r="L272" s="85">
        <f t="shared" si="19"/>
        <v>0</v>
      </c>
    </row>
    <row r="273" spans="1:12" s="60" customFormat="1" x14ac:dyDescent="0.35">
      <c r="A273" s="21"/>
      <c r="B273" s="10" t="s">
        <v>71</v>
      </c>
      <c r="C273" s="5" t="s">
        <v>6</v>
      </c>
      <c r="D273" s="5">
        <v>6.8</v>
      </c>
      <c r="E273" s="4">
        <f>D273*E271</f>
        <v>0.87107999999999997</v>
      </c>
      <c r="F273" s="9"/>
      <c r="G273" s="85">
        <f t="shared" si="16"/>
        <v>0</v>
      </c>
      <c r="H273" s="4"/>
      <c r="I273" s="85">
        <f t="shared" si="17"/>
        <v>0</v>
      </c>
      <c r="J273" s="4"/>
      <c r="K273" s="100">
        <f t="shared" si="18"/>
        <v>0</v>
      </c>
      <c r="L273" s="85">
        <f t="shared" si="19"/>
        <v>0</v>
      </c>
    </row>
    <row r="274" spans="1:12" s="60" customFormat="1" x14ac:dyDescent="0.35">
      <c r="A274" s="21"/>
      <c r="B274" s="129" t="s">
        <v>157</v>
      </c>
      <c r="C274" s="130" t="s">
        <v>5</v>
      </c>
      <c r="D274" s="131" t="s">
        <v>29</v>
      </c>
      <c r="E274" s="12">
        <f>0.0888*1.05</f>
        <v>9.3240000000000003E-2</v>
      </c>
      <c r="F274" s="4"/>
      <c r="G274" s="85">
        <f t="shared" si="16"/>
        <v>0</v>
      </c>
      <c r="H274" s="4"/>
      <c r="I274" s="85">
        <f t="shared" si="17"/>
        <v>0</v>
      </c>
      <c r="J274" s="4"/>
      <c r="K274" s="100">
        <f t="shared" si="18"/>
        <v>0</v>
      </c>
      <c r="L274" s="85">
        <f t="shared" si="19"/>
        <v>0</v>
      </c>
    </row>
    <row r="275" spans="1:12" s="60" customFormat="1" x14ac:dyDescent="0.35">
      <c r="A275" s="21"/>
      <c r="B275" s="132" t="s">
        <v>158</v>
      </c>
      <c r="C275" s="130" t="s">
        <v>5</v>
      </c>
      <c r="D275" s="131" t="s">
        <v>29</v>
      </c>
      <c r="E275" s="12">
        <f>0.0332*1.05</f>
        <v>3.4860000000000002E-2</v>
      </c>
      <c r="F275" s="4"/>
      <c r="G275" s="85">
        <f t="shared" si="16"/>
        <v>0</v>
      </c>
      <c r="H275" s="4"/>
      <c r="I275" s="85">
        <f t="shared" si="17"/>
        <v>0</v>
      </c>
      <c r="J275" s="4"/>
      <c r="K275" s="100">
        <f t="shared" si="18"/>
        <v>0</v>
      </c>
      <c r="L275" s="85">
        <f t="shared" si="19"/>
        <v>0</v>
      </c>
    </row>
    <row r="276" spans="1:12" s="60" customFormat="1" x14ac:dyDescent="0.35">
      <c r="A276" s="21"/>
      <c r="B276" s="10" t="s">
        <v>14</v>
      </c>
      <c r="C276" s="5" t="s">
        <v>6</v>
      </c>
      <c r="D276" s="5">
        <v>12.2</v>
      </c>
      <c r="E276" s="4">
        <f>D276*E271</f>
        <v>1.5628199999999999</v>
      </c>
      <c r="F276" s="9"/>
      <c r="G276" s="85">
        <f t="shared" si="16"/>
        <v>0</v>
      </c>
      <c r="H276" s="4"/>
      <c r="I276" s="85">
        <f t="shared" si="17"/>
        <v>0</v>
      </c>
      <c r="J276" s="4"/>
      <c r="K276" s="100">
        <f t="shared" si="18"/>
        <v>0</v>
      </c>
      <c r="L276" s="85">
        <f t="shared" si="19"/>
        <v>0</v>
      </c>
    </row>
    <row r="277" spans="1:12" s="60" customFormat="1" ht="27" x14ac:dyDescent="0.35">
      <c r="A277" s="68">
        <v>42</v>
      </c>
      <c r="B277" s="36" t="s">
        <v>159</v>
      </c>
      <c r="C277" s="37" t="s">
        <v>56</v>
      </c>
      <c r="D277" s="37"/>
      <c r="E277" s="38">
        <v>12.46</v>
      </c>
      <c r="F277" s="9"/>
      <c r="G277" s="85">
        <f t="shared" si="16"/>
        <v>0</v>
      </c>
      <c r="H277" s="4"/>
      <c r="I277" s="85">
        <f t="shared" si="17"/>
        <v>0</v>
      </c>
      <c r="J277" s="4"/>
      <c r="K277" s="100">
        <f t="shared" si="18"/>
        <v>0</v>
      </c>
      <c r="L277" s="85">
        <f t="shared" si="19"/>
        <v>0</v>
      </c>
    </row>
    <row r="278" spans="1:12" s="60" customFormat="1" x14ac:dyDescent="0.35">
      <c r="A278" s="68"/>
      <c r="B278" s="45" t="s">
        <v>39</v>
      </c>
      <c r="C278" s="46" t="s">
        <v>24</v>
      </c>
      <c r="D278" s="4">
        <v>1</v>
      </c>
      <c r="E278" s="4">
        <f>E277*D278</f>
        <v>12.46</v>
      </c>
      <c r="F278" s="9"/>
      <c r="G278" s="85">
        <f t="shared" si="16"/>
        <v>0</v>
      </c>
      <c r="H278" s="4"/>
      <c r="I278" s="85">
        <f t="shared" si="17"/>
        <v>0</v>
      </c>
      <c r="J278" s="4"/>
      <c r="K278" s="100">
        <f t="shared" si="18"/>
        <v>0</v>
      </c>
      <c r="L278" s="85">
        <f t="shared" si="19"/>
        <v>0</v>
      </c>
    </row>
    <row r="279" spans="1:12" s="60" customFormat="1" x14ac:dyDescent="0.35">
      <c r="A279" s="68"/>
      <c r="B279" s="10" t="s">
        <v>25</v>
      </c>
      <c r="C279" s="5" t="s">
        <v>6</v>
      </c>
      <c r="D279" s="5">
        <v>1.21</v>
      </c>
      <c r="E279" s="4">
        <f>E277*D279</f>
        <v>15.076600000000001</v>
      </c>
      <c r="F279" s="9"/>
      <c r="G279" s="85">
        <f t="shared" si="16"/>
        <v>0</v>
      </c>
      <c r="H279" s="4"/>
      <c r="I279" s="85">
        <f t="shared" si="17"/>
        <v>0</v>
      </c>
      <c r="J279" s="4"/>
      <c r="K279" s="100">
        <f t="shared" si="18"/>
        <v>0</v>
      </c>
      <c r="L279" s="85">
        <f t="shared" si="19"/>
        <v>0</v>
      </c>
    </row>
    <row r="280" spans="1:12" s="60" customFormat="1" x14ac:dyDescent="0.35">
      <c r="A280" s="68"/>
      <c r="B280" s="133" t="s">
        <v>80</v>
      </c>
      <c r="C280" s="130" t="s">
        <v>16</v>
      </c>
      <c r="D280" s="130">
        <v>1.0149999999999999</v>
      </c>
      <c r="E280" s="4">
        <f>E277*D280</f>
        <v>12.6469</v>
      </c>
      <c r="F280" s="9"/>
      <c r="G280" s="85">
        <f t="shared" si="16"/>
        <v>0</v>
      </c>
      <c r="H280" s="4"/>
      <c r="I280" s="85">
        <f t="shared" si="17"/>
        <v>0</v>
      </c>
      <c r="J280" s="4"/>
      <c r="K280" s="100">
        <f t="shared" si="18"/>
        <v>0</v>
      </c>
      <c r="L280" s="85">
        <f t="shared" si="19"/>
        <v>0</v>
      </c>
    </row>
    <row r="281" spans="1:12" s="60" customFormat="1" x14ac:dyDescent="0.35">
      <c r="A281" s="68"/>
      <c r="B281" s="133" t="s">
        <v>68</v>
      </c>
      <c r="C281" s="130" t="s">
        <v>16</v>
      </c>
      <c r="D281" s="131">
        <v>1</v>
      </c>
      <c r="E281" s="4">
        <f>D281*E277</f>
        <v>12.46</v>
      </c>
      <c r="F281" s="9"/>
      <c r="G281" s="85">
        <f t="shared" si="16"/>
        <v>0</v>
      </c>
      <c r="H281" s="4"/>
      <c r="I281" s="85">
        <f t="shared" si="17"/>
        <v>0</v>
      </c>
      <c r="J281" s="4"/>
      <c r="K281" s="100">
        <f t="shared" si="18"/>
        <v>0</v>
      </c>
      <c r="L281" s="85">
        <f t="shared" si="19"/>
        <v>0</v>
      </c>
    </row>
    <row r="282" spans="1:12" s="60" customFormat="1" x14ac:dyDescent="0.35">
      <c r="A282" s="68"/>
      <c r="B282" s="10" t="s">
        <v>74</v>
      </c>
      <c r="C282" s="5" t="s">
        <v>17</v>
      </c>
      <c r="D282" s="5">
        <v>2.46</v>
      </c>
      <c r="E282" s="4">
        <f>D282*E277</f>
        <v>30.651600000000002</v>
      </c>
      <c r="F282" s="9"/>
      <c r="G282" s="85">
        <f t="shared" si="16"/>
        <v>0</v>
      </c>
      <c r="H282" s="4"/>
      <c r="I282" s="85">
        <f t="shared" si="17"/>
        <v>0</v>
      </c>
      <c r="J282" s="4"/>
      <c r="K282" s="100">
        <f t="shared" si="18"/>
        <v>0</v>
      </c>
      <c r="L282" s="85">
        <f t="shared" si="19"/>
        <v>0</v>
      </c>
    </row>
    <row r="283" spans="1:12" s="60" customFormat="1" x14ac:dyDescent="0.35">
      <c r="A283" s="68"/>
      <c r="B283" s="17" t="s">
        <v>75</v>
      </c>
      <c r="C283" s="5" t="s">
        <v>16</v>
      </c>
      <c r="D283" s="5">
        <v>2.3E-2</v>
      </c>
      <c r="E283" s="12">
        <f>D283*E277</f>
        <v>0.28658</v>
      </c>
      <c r="F283" s="9"/>
      <c r="G283" s="85">
        <f t="shared" si="16"/>
        <v>0</v>
      </c>
      <c r="H283" s="4"/>
      <c r="I283" s="85">
        <f t="shared" si="17"/>
        <v>0</v>
      </c>
      <c r="J283" s="4"/>
      <c r="K283" s="100">
        <f t="shared" si="18"/>
        <v>0</v>
      </c>
      <c r="L283" s="85">
        <f t="shared" si="19"/>
        <v>0</v>
      </c>
    </row>
    <row r="284" spans="1:12" s="60" customFormat="1" x14ac:dyDescent="0.35">
      <c r="A284" s="68"/>
      <c r="B284" s="27" t="s">
        <v>78</v>
      </c>
      <c r="C284" s="5" t="s">
        <v>18</v>
      </c>
      <c r="D284" s="5">
        <v>5.55</v>
      </c>
      <c r="E284" s="4">
        <f>D284*E277</f>
        <v>69.153000000000006</v>
      </c>
      <c r="F284" s="9"/>
      <c r="G284" s="85">
        <f t="shared" si="16"/>
        <v>0</v>
      </c>
      <c r="H284" s="4"/>
      <c r="I284" s="85">
        <f t="shared" si="17"/>
        <v>0</v>
      </c>
      <c r="J284" s="4"/>
      <c r="K284" s="100">
        <f t="shared" si="18"/>
        <v>0</v>
      </c>
      <c r="L284" s="85">
        <f t="shared" si="19"/>
        <v>0</v>
      </c>
    </row>
    <row r="285" spans="1:12" s="60" customFormat="1" x14ac:dyDescent="0.35">
      <c r="A285" s="68"/>
      <c r="B285" s="17" t="s">
        <v>79</v>
      </c>
      <c r="C285" s="5" t="s">
        <v>7</v>
      </c>
      <c r="D285" s="5">
        <v>3.3</v>
      </c>
      <c r="E285" s="12">
        <f>D285*E277</f>
        <v>41.118000000000002</v>
      </c>
      <c r="F285" s="9"/>
      <c r="G285" s="85">
        <f t="shared" si="16"/>
        <v>0</v>
      </c>
      <c r="H285" s="4"/>
      <c r="I285" s="85">
        <f t="shared" si="17"/>
        <v>0</v>
      </c>
      <c r="J285" s="4"/>
      <c r="K285" s="100">
        <f t="shared" si="18"/>
        <v>0</v>
      </c>
      <c r="L285" s="85">
        <f t="shared" si="19"/>
        <v>0</v>
      </c>
    </row>
    <row r="286" spans="1:12" s="60" customFormat="1" x14ac:dyDescent="0.35">
      <c r="A286" s="68"/>
      <c r="B286" s="10" t="s">
        <v>30</v>
      </c>
      <c r="C286" s="5" t="s">
        <v>6</v>
      </c>
      <c r="D286" s="5">
        <v>0.9</v>
      </c>
      <c r="E286" s="4">
        <f>D286*E277</f>
        <v>11.214</v>
      </c>
      <c r="F286" s="9"/>
      <c r="G286" s="85">
        <f t="shared" si="16"/>
        <v>0</v>
      </c>
      <c r="H286" s="4"/>
      <c r="I286" s="85">
        <f t="shared" si="17"/>
        <v>0</v>
      </c>
      <c r="J286" s="4"/>
      <c r="K286" s="100">
        <f t="shared" si="18"/>
        <v>0</v>
      </c>
      <c r="L286" s="85">
        <f t="shared" si="19"/>
        <v>0</v>
      </c>
    </row>
    <row r="287" spans="1:12" s="60" customFormat="1" x14ac:dyDescent="0.35">
      <c r="A287" s="21">
        <v>43</v>
      </c>
      <c r="B287" s="74" t="s">
        <v>70</v>
      </c>
      <c r="C287" s="39" t="s">
        <v>5</v>
      </c>
      <c r="D287" s="39"/>
      <c r="E287" s="75">
        <f>E290+E291</f>
        <v>1.66215</v>
      </c>
      <c r="F287" s="9"/>
      <c r="G287" s="85">
        <f t="shared" si="16"/>
        <v>0</v>
      </c>
      <c r="H287" s="3"/>
      <c r="I287" s="85">
        <f t="shared" si="17"/>
        <v>0</v>
      </c>
      <c r="J287" s="3"/>
      <c r="K287" s="100">
        <f t="shared" si="18"/>
        <v>0</v>
      </c>
      <c r="L287" s="85">
        <f t="shared" si="19"/>
        <v>0</v>
      </c>
    </row>
    <row r="288" spans="1:12" s="60" customFormat="1" x14ac:dyDescent="0.35">
      <c r="A288" s="21"/>
      <c r="B288" s="45" t="s">
        <v>39</v>
      </c>
      <c r="C288" s="46" t="s">
        <v>5</v>
      </c>
      <c r="D288" s="4">
        <v>1</v>
      </c>
      <c r="E288" s="4">
        <f>E287*D288</f>
        <v>1.66215</v>
      </c>
      <c r="F288" s="4"/>
      <c r="G288" s="85">
        <f t="shared" si="16"/>
        <v>0</v>
      </c>
      <c r="H288" s="4"/>
      <c r="I288" s="85">
        <f t="shared" si="17"/>
        <v>0</v>
      </c>
      <c r="J288" s="4"/>
      <c r="K288" s="100">
        <f t="shared" si="18"/>
        <v>0</v>
      </c>
      <c r="L288" s="85">
        <f t="shared" si="19"/>
        <v>0</v>
      </c>
    </row>
    <row r="289" spans="1:12" s="60" customFormat="1" x14ac:dyDescent="0.35">
      <c r="A289" s="21"/>
      <c r="B289" s="10" t="s">
        <v>71</v>
      </c>
      <c r="C289" s="5" t="s">
        <v>6</v>
      </c>
      <c r="D289" s="5">
        <v>6.8</v>
      </c>
      <c r="E289" s="4">
        <f>D289*E287</f>
        <v>11.302619999999999</v>
      </c>
      <c r="F289" s="9"/>
      <c r="G289" s="85">
        <f t="shared" si="16"/>
        <v>0</v>
      </c>
      <c r="H289" s="4"/>
      <c r="I289" s="85">
        <f t="shared" si="17"/>
        <v>0</v>
      </c>
      <c r="J289" s="4"/>
      <c r="K289" s="100">
        <f t="shared" si="18"/>
        <v>0</v>
      </c>
      <c r="L289" s="85">
        <f t="shared" si="19"/>
        <v>0</v>
      </c>
    </row>
    <row r="290" spans="1:12" s="60" customFormat="1" x14ac:dyDescent="0.35">
      <c r="A290" s="21"/>
      <c r="B290" s="129" t="s">
        <v>160</v>
      </c>
      <c r="C290" s="130" t="s">
        <v>5</v>
      </c>
      <c r="D290" s="131" t="s">
        <v>29</v>
      </c>
      <c r="E290" s="12">
        <f>1.107*1.05</f>
        <v>1.16235</v>
      </c>
      <c r="F290" s="4"/>
      <c r="G290" s="85">
        <f t="shared" si="16"/>
        <v>0</v>
      </c>
      <c r="H290" s="4"/>
      <c r="I290" s="85">
        <f t="shared" si="17"/>
        <v>0</v>
      </c>
      <c r="J290" s="4"/>
      <c r="K290" s="100">
        <f t="shared" si="18"/>
        <v>0</v>
      </c>
      <c r="L290" s="85">
        <f t="shared" si="19"/>
        <v>0</v>
      </c>
    </row>
    <row r="291" spans="1:12" s="60" customFormat="1" x14ac:dyDescent="0.35">
      <c r="A291" s="21"/>
      <c r="B291" s="132" t="s">
        <v>161</v>
      </c>
      <c r="C291" s="130" t="s">
        <v>5</v>
      </c>
      <c r="D291" s="131" t="s">
        <v>29</v>
      </c>
      <c r="E291" s="12">
        <f>0.476*1.05</f>
        <v>0.49980000000000002</v>
      </c>
      <c r="F291" s="4"/>
      <c r="G291" s="85">
        <f t="shared" si="16"/>
        <v>0</v>
      </c>
      <c r="H291" s="4"/>
      <c r="I291" s="85">
        <f t="shared" si="17"/>
        <v>0</v>
      </c>
      <c r="J291" s="4"/>
      <c r="K291" s="100">
        <f t="shared" si="18"/>
        <v>0</v>
      </c>
      <c r="L291" s="85">
        <f t="shared" si="19"/>
        <v>0</v>
      </c>
    </row>
    <row r="292" spans="1:12" s="60" customFormat="1" x14ac:dyDescent="0.35">
      <c r="A292" s="21"/>
      <c r="B292" s="10" t="s">
        <v>14</v>
      </c>
      <c r="C292" s="5" t="s">
        <v>6</v>
      </c>
      <c r="D292" s="5">
        <v>12.2</v>
      </c>
      <c r="E292" s="4">
        <f>D292*E287</f>
        <v>20.278230000000001</v>
      </c>
      <c r="F292" s="9"/>
      <c r="G292" s="85">
        <f t="shared" si="16"/>
        <v>0</v>
      </c>
      <c r="H292" s="4"/>
      <c r="I292" s="85">
        <f t="shared" si="17"/>
        <v>0</v>
      </c>
      <c r="J292" s="4"/>
      <c r="K292" s="100">
        <f t="shared" si="18"/>
        <v>0</v>
      </c>
      <c r="L292" s="85">
        <f t="shared" si="19"/>
        <v>0</v>
      </c>
    </row>
    <row r="293" spans="1:12" s="60" customFormat="1" ht="27" x14ac:dyDescent="0.35">
      <c r="A293" s="68">
        <v>44</v>
      </c>
      <c r="B293" s="36" t="s">
        <v>162</v>
      </c>
      <c r="C293" s="37" t="s">
        <v>56</v>
      </c>
      <c r="D293" s="37"/>
      <c r="E293" s="38">
        <v>6.23</v>
      </c>
      <c r="F293" s="9"/>
      <c r="G293" s="85">
        <f t="shared" si="16"/>
        <v>0</v>
      </c>
      <c r="H293" s="4"/>
      <c r="I293" s="85">
        <f t="shared" si="17"/>
        <v>0</v>
      </c>
      <c r="J293" s="4"/>
      <c r="K293" s="100">
        <f t="shared" si="18"/>
        <v>0</v>
      </c>
      <c r="L293" s="85">
        <f t="shared" si="19"/>
        <v>0</v>
      </c>
    </row>
    <row r="294" spans="1:12" s="60" customFormat="1" x14ac:dyDescent="0.35">
      <c r="A294" s="68"/>
      <c r="B294" s="45" t="s">
        <v>39</v>
      </c>
      <c r="C294" s="46" t="s">
        <v>24</v>
      </c>
      <c r="D294" s="4">
        <v>1</v>
      </c>
      <c r="E294" s="4">
        <f>E293*D294</f>
        <v>6.23</v>
      </c>
      <c r="F294" s="9"/>
      <c r="G294" s="85">
        <f t="shared" si="16"/>
        <v>0</v>
      </c>
      <c r="H294" s="4"/>
      <c r="I294" s="85">
        <f t="shared" si="17"/>
        <v>0</v>
      </c>
      <c r="J294" s="4"/>
      <c r="K294" s="100">
        <f t="shared" si="18"/>
        <v>0</v>
      </c>
      <c r="L294" s="85">
        <f t="shared" si="19"/>
        <v>0</v>
      </c>
    </row>
    <row r="295" spans="1:12" s="60" customFormat="1" x14ac:dyDescent="0.35">
      <c r="A295" s="68"/>
      <c r="B295" s="10" t="s">
        <v>25</v>
      </c>
      <c r="C295" s="5" t="s">
        <v>6</v>
      </c>
      <c r="D295" s="5">
        <v>1.21</v>
      </c>
      <c r="E295" s="4">
        <f>E293*D295</f>
        <v>7.5383000000000004</v>
      </c>
      <c r="F295" s="9"/>
      <c r="G295" s="85">
        <f t="shared" si="16"/>
        <v>0</v>
      </c>
      <c r="H295" s="4"/>
      <c r="I295" s="85">
        <f t="shared" si="17"/>
        <v>0</v>
      </c>
      <c r="J295" s="4"/>
      <c r="K295" s="100">
        <f t="shared" si="18"/>
        <v>0</v>
      </c>
      <c r="L295" s="85">
        <f t="shared" si="19"/>
        <v>0</v>
      </c>
    </row>
    <row r="296" spans="1:12" s="60" customFormat="1" x14ac:dyDescent="0.35">
      <c r="A296" s="68"/>
      <c r="B296" s="133" t="s">
        <v>80</v>
      </c>
      <c r="C296" s="130" t="s">
        <v>16</v>
      </c>
      <c r="D296" s="130">
        <v>1.0149999999999999</v>
      </c>
      <c r="E296" s="4">
        <f>E293*D296</f>
        <v>6.3234500000000002</v>
      </c>
      <c r="F296" s="9"/>
      <c r="G296" s="85">
        <f t="shared" si="16"/>
        <v>0</v>
      </c>
      <c r="H296" s="4"/>
      <c r="I296" s="85">
        <f t="shared" si="17"/>
        <v>0</v>
      </c>
      <c r="J296" s="4"/>
      <c r="K296" s="100">
        <f t="shared" si="18"/>
        <v>0</v>
      </c>
      <c r="L296" s="85">
        <f t="shared" si="19"/>
        <v>0</v>
      </c>
    </row>
    <row r="297" spans="1:12" s="60" customFormat="1" x14ac:dyDescent="0.35">
      <c r="A297" s="68"/>
      <c r="B297" s="133" t="s">
        <v>68</v>
      </c>
      <c r="C297" s="130" t="s">
        <v>16</v>
      </c>
      <c r="D297" s="131">
        <v>1</v>
      </c>
      <c r="E297" s="4">
        <f>D297*E293</f>
        <v>6.23</v>
      </c>
      <c r="F297" s="9"/>
      <c r="G297" s="85">
        <f t="shared" si="16"/>
        <v>0</v>
      </c>
      <c r="H297" s="4"/>
      <c r="I297" s="85">
        <f t="shared" si="17"/>
        <v>0</v>
      </c>
      <c r="J297" s="4"/>
      <c r="K297" s="100">
        <f t="shared" si="18"/>
        <v>0</v>
      </c>
      <c r="L297" s="85">
        <f t="shared" si="19"/>
        <v>0</v>
      </c>
    </row>
    <row r="298" spans="1:12" s="60" customFormat="1" x14ac:dyDescent="0.35">
      <c r="A298" s="68"/>
      <c r="B298" s="10" t="s">
        <v>74</v>
      </c>
      <c r="C298" s="5" t="s">
        <v>17</v>
      </c>
      <c r="D298" s="5">
        <v>2.46</v>
      </c>
      <c r="E298" s="4">
        <f>D298*E293</f>
        <v>15.325800000000001</v>
      </c>
      <c r="F298" s="9"/>
      <c r="G298" s="85">
        <f t="shared" si="16"/>
        <v>0</v>
      </c>
      <c r="H298" s="4"/>
      <c r="I298" s="85">
        <f t="shared" si="17"/>
        <v>0</v>
      </c>
      <c r="J298" s="4"/>
      <c r="K298" s="100">
        <f t="shared" si="18"/>
        <v>0</v>
      </c>
      <c r="L298" s="85">
        <f t="shared" si="19"/>
        <v>0</v>
      </c>
    </row>
    <row r="299" spans="1:12" s="60" customFormat="1" x14ac:dyDescent="0.35">
      <c r="A299" s="68"/>
      <c r="B299" s="17" t="s">
        <v>75</v>
      </c>
      <c r="C299" s="5" t="s">
        <v>16</v>
      </c>
      <c r="D299" s="5">
        <v>2.3E-2</v>
      </c>
      <c r="E299" s="12">
        <f>D299*E293</f>
        <v>0.14329</v>
      </c>
      <c r="F299" s="9"/>
      <c r="G299" s="85">
        <f t="shared" si="16"/>
        <v>0</v>
      </c>
      <c r="H299" s="4"/>
      <c r="I299" s="85">
        <f t="shared" si="17"/>
        <v>0</v>
      </c>
      <c r="J299" s="4"/>
      <c r="K299" s="100">
        <f t="shared" si="18"/>
        <v>0</v>
      </c>
      <c r="L299" s="85">
        <f t="shared" si="19"/>
        <v>0</v>
      </c>
    </row>
    <row r="300" spans="1:12" s="60" customFormat="1" x14ac:dyDescent="0.35">
      <c r="A300" s="68"/>
      <c r="B300" s="27" t="s">
        <v>78</v>
      </c>
      <c r="C300" s="5" t="s">
        <v>18</v>
      </c>
      <c r="D300" s="5">
        <v>5.55</v>
      </c>
      <c r="E300" s="4">
        <f>D300*E293</f>
        <v>34.576500000000003</v>
      </c>
      <c r="F300" s="9"/>
      <c r="G300" s="85">
        <f t="shared" si="16"/>
        <v>0</v>
      </c>
      <c r="H300" s="4"/>
      <c r="I300" s="85">
        <f t="shared" si="17"/>
        <v>0</v>
      </c>
      <c r="J300" s="4"/>
      <c r="K300" s="100">
        <f t="shared" si="18"/>
        <v>0</v>
      </c>
      <c r="L300" s="85">
        <f t="shared" si="19"/>
        <v>0</v>
      </c>
    </row>
    <row r="301" spans="1:12" s="60" customFormat="1" x14ac:dyDescent="0.35">
      <c r="A301" s="68"/>
      <c r="B301" s="17" t="s">
        <v>79</v>
      </c>
      <c r="C301" s="5" t="s">
        <v>7</v>
      </c>
      <c r="D301" s="5">
        <v>3.3</v>
      </c>
      <c r="E301" s="12">
        <f>D301*E293</f>
        <v>20.559000000000001</v>
      </c>
      <c r="F301" s="9"/>
      <c r="G301" s="85">
        <f t="shared" si="16"/>
        <v>0</v>
      </c>
      <c r="H301" s="4"/>
      <c r="I301" s="85">
        <f t="shared" si="17"/>
        <v>0</v>
      </c>
      <c r="J301" s="4"/>
      <c r="K301" s="100">
        <f t="shared" si="18"/>
        <v>0</v>
      </c>
      <c r="L301" s="85">
        <f t="shared" si="19"/>
        <v>0</v>
      </c>
    </row>
    <row r="302" spans="1:12" s="60" customFormat="1" x14ac:dyDescent="0.35">
      <c r="A302" s="68"/>
      <c r="B302" s="10" t="s">
        <v>30</v>
      </c>
      <c r="C302" s="5" t="s">
        <v>6</v>
      </c>
      <c r="D302" s="5">
        <v>0.9</v>
      </c>
      <c r="E302" s="4">
        <f>D302*E293</f>
        <v>5.6070000000000002</v>
      </c>
      <c r="F302" s="9"/>
      <c r="G302" s="85">
        <f t="shared" si="16"/>
        <v>0</v>
      </c>
      <c r="H302" s="4"/>
      <c r="I302" s="85">
        <f t="shared" si="17"/>
        <v>0</v>
      </c>
      <c r="J302" s="4"/>
      <c r="K302" s="100">
        <f t="shared" si="18"/>
        <v>0</v>
      </c>
      <c r="L302" s="85">
        <f t="shared" si="19"/>
        <v>0</v>
      </c>
    </row>
    <row r="303" spans="1:12" s="60" customFormat="1" x14ac:dyDescent="0.35">
      <c r="A303" s="21">
        <v>45</v>
      </c>
      <c r="B303" s="74" t="s">
        <v>70</v>
      </c>
      <c r="C303" s="39" t="s">
        <v>5</v>
      </c>
      <c r="D303" s="39"/>
      <c r="E303" s="75">
        <f>E306+E307</f>
        <v>1.8039000000000001</v>
      </c>
      <c r="F303" s="9"/>
      <c r="G303" s="85">
        <f t="shared" si="16"/>
        <v>0</v>
      </c>
      <c r="H303" s="3"/>
      <c r="I303" s="85">
        <f t="shared" si="17"/>
        <v>0</v>
      </c>
      <c r="J303" s="3"/>
      <c r="K303" s="100">
        <f t="shared" si="18"/>
        <v>0</v>
      </c>
      <c r="L303" s="85">
        <f t="shared" si="19"/>
        <v>0</v>
      </c>
    </row>
    <row r="304" spans="1:12" s="60" customFormat="1" x14ac:dyDescent="0.35">
      <c r="A304" s="21"/>
      <c r="B304" s="45" t="s">
        <v>39</v>
      </c>
      <c r="C304" s="46" t="s">
        <v>5</v>
      </c>
      <c r="D304" s="4">
        <v>1</v>
      </c>
      <c r="E304" s="4">
        <f>E303*D304</f>
        <v>1.8039000000000001</v>
      </c>
      <c r="F304" s="4"/>
      <c r="G304" s="85">
        <f t="shared" si="16"/>
        <v>0</v>
      </c>
      <c r="H304" s="4"/>
      <c r="I304" s="85">
        <f t="shared" si="17"/>
        <v>0</v>
      </c>
      <c r="J304" s="4"/>
      <c r="K304" s="100">
        <f t="shared" si="18"/>
        <v>0</v>
      </c>
      <c r="L304" s="85">
        <f t="shared" si="19"/>
        <v>0</v>
      </c>
    </row>
    <row r="305" spans="1:12" s="60" customFormat="1" x14ac:dyDescent="0.35">
      <c r="A305" s="21"/>
      <c r="B305" s="10" t="s">
        <v>71</v>
      </c>
      <c r="C305" s="5" t="s">
        <v>6</v>
      </c>
      <c r="D305" s="5">
        <v>6.8</v>
      </c>
      <c r="E305" s="4">
        <f>D305*E303</f>
        <v>12.26652</v>
      </c>
      <c r="F305" s="9"/>
      <c r="G305" s="85">
        <f t="shared" si="16"/>
        <v>0</v>
      </c>
      <c r="H305" s="4"/>
      <c r="I305" s="85">
        <f t="shared" si="17"/>
        <v>0</v>
      </c>
      <c r="J305" s="4"/>
      <c r="K305" s="100">
        <f t="shared" si="18"/>
        <v>0</v>
      </c>
      <c r="L305" s="85">
        <f t="shared" si="19"/>
        <v>0</v>
      </c>
    </row>
    <row r="306" spans="1:12" s="60" customFormat="1" x14ac:dyDescent="0.35">
      <c r="A306" s="21"/>
      <c r="B306" s="129" t="s">
        <v>163</v>
      </c>
      <c r="C306" s="130" t="s">
        <v>5</v>
      </c>
      <c r="D306" s="131" t="s">
        <v>29</v>
      </c>
      <c r="E306" s="134">
        <f>1.242*1.05</f>
        <v>1.3041</v>
      </c>
      <c r="F306" s="4"/>
      <c r="G306" s="85">
        <f t="shared" si="16"/>
        <v>0</v>
      </c>
      <c r="H306" s="4"/>
      <c r="I306" s="85">
        <f t="shared" si="17"/>
        <v>0</v>
      </c>
      <c r="J306" s="4"/>
      <c r="K306" s="100">
        <f t="shared" si="18"/>
        <v>0</v>
      </c>
      <c r="L306" s="85">
        <f t="shared" si="19"/>
        <v>0</v>
      </c>
    </row>
    <row r="307" spans="1:12" s="60" customFormat="1" x14ac:dyDescent="0.35">
      <c r="A307" s="21"/>
      <c r="B307" s="132" t="s">
        <v>161</v>
      </c>
      <c r="C307" s="130" t="s">
        <v>5</v>
      </c>
      <c r="D307" s="131" t="s">
        <v>29</v>
      </c>
      <c r="E307" s="134">
        <f>0.476*1.05</f>
        <v>0.49980000000000002</v>
      </c>
      <c r="F307" s="4"/>
      <c r="G307" s="85">
        <f t="shared" si="16"/>
        <v>0</v>
      </c>
      <c r="H307" s="4"/>
      <c r="I307" s="85">
        <f t="shared" si="17"/>
        <v>0</v>
      </c>
      <c r="J307" s="4"/>
      <c r="K307" s="100">
        <f t="shared" si="18"/>
        <v>0</v>
      </c>
      <c r="L307" s="85">
        <f t="shared" si="19"/>
        <v>0</v>
      </c>
    </row>
    <row r="308" spans="1:12" s="60" customFormat="1" x14ac:dyDescent="0.35">
      <c r="A308" s="21"/>
      <c r="B308" s="10" t="s">
        <v>14</v>
      </c>
      <c r="C308" s="5" t="s">
        <v>6</v>
      </c>
      <c r="D308" s="5">
        <v>12.2</v>
      </c>
      <c r="E308" s="4">
        <f>D308*E303</f>
        <v>22.007580000000001</v>
      </c>
      <c r="F308" s="9"/>
      <c r="G308" s="85">
        <f t="shared" si="16"/>
        <v>0</v>
      </c>
      <c r="H308" s="4"/>
      <c r="I308" s="85">
        <f t="shared" si="17"/>
        <v>0</v>
      </c>
      <c r="J308" s="4"/>
      <c r="K308" s="100">
        <f t="shared" si="18"/>
        <v>0</v>
      </c>
      <c r="L308" s="85">
        <f t="shared" si="19"/>
        <v>0</v>
      </c>
    </row>
    <row r="309" spans="1:12" s="60" customFormat="1" ht="27" x14ac:dyDescent="0.35">
      <c r="A309" s="68">
        <v>46</v>
      </c>
      <c r="B309" s="36" t="s">
        <v>164</v>
      </c>
      <c r="C309" s="37" t="s">
        <v>56</v>
      </c>
      <c r="D309" s="37"/>
      <c r="E309" s="38">
        <f>2.05*2</f>
        <v>4.0999999999999996</v>
      </c>
      <c r="F309" s="9"/>
      <c r="G309" s="85">
        <f t="shared" si="16"/>
        <v>0</v>
      </c>
      <c r="H309" s="4"/>
      <c r="I309" s="85">
        <f t="shared" si="17"/>
        <v>0</v>
      </c>
      <c r="J309" s="4"/>
      <c r="K309" s="100">
        <f t="shared" si="18"/>
        <v>0</v>
      </c>
      <c r="L309" s="85">
        <f t="shared" si="19"/>
        <v>0</v>
      </c>
    </row>
    <row r="310" spans="1:12" s="60" customFormat="1" x14ac:dyDescent="0.35">
      <c r="A310" s="68"/>
      <c r="B310" s="45" t="s">
        <v>39</v>
      </c>
      <c r="C310" s="46" t="s">
        <v>24</v>
      </c>
      <c r="D310" s="4">
        <v>1</v>
      </c>
      <c r="E310" s="4">
        <f>E309*D310</f>
        <v>4.0999999999999996</v>
      </c>
      <c r="F310" s="9"/>
      <c r="G310" s="85">
        <f t="shared" si="16"/>
        <v>0</v>
      </c>
      <c r="H310" s="4"/>
      <c r="I310" s="85">
        <f t="shared" si="17"/>
        <v>0</v>
      </c>
      <c r="J310" s="4"/>
      <c r="K310" s="100">
        <f t="shared" si="18"/>
        <v>0</v>
      </c>
      <c r="L310" s="85">
        <f t="shared" si="19"/>
        <v>0</v>
      </c>
    </row>
    <row r="311" spans="1:12" s="60" customFormat="1" x14ac:dyDescent="0.35">
      <c r="A311" s="68"/>
      <c r="B311" s="10" t="s">
        <v>25</v>
      </c>
      <c r="C311" s="5" t="s">
        <v>6</v>
      </c>
      <c r="D311" s="5">
        <v>1.21</v>
      </c>
      <c r="E311" s="4">
        <f>E309*D311</f>
        <v>4.9609999999999994</v>
      </c>
      <c r="F311" s="9"/>
      <c r="G311" s="85">
        <f t="shared" si="16"/>
        <v>0</v>
      </c>
      <c r="H311" s="4"/>
      <c r="I311" s="85">
        <f t="shared" si="17"/>
        <v>0</v>
      </c>
      <c r="J311" s="4"/>
      <c r="K311" s="100">
        <f t="shared" si="18"/>
        <v>0</v>
      </c>
      <c r="L311" s="85">
        <f t="shared" si="19"/>
        <v>0</v>
      </c>
    </row>
    <row r="312" spans="1:12" s="60" customFormat="1" x14ac:dyDescent="0.35">
      <c r="A312" s="68"/>
      <c r="B312" s="133" t="s">
        <v>80</v>
      </c>
      <c r="C312" s="130" t="s">
        <v>16</v>
      </c>
      <c r="D312" s="130">
        <v>1.0149999999999999</v>
      </c>
      <c r="E312" s="4">
        <f>E309*D312</f>
        <v>4.1614999999999993</v>
      </c>
      <c r="F312" s="9"/>
      <c r="G312" s="85">
        <f t="shared" si="16"/>
        <v>0</v>
      </c>
      <c r="H312" s="4"/>
      <c r="I312" s="85">
        <f t="shared" si="17"/>
        <v>0</v>
      </c>
      <c r="J312" s="4"/>
      <c r="K312" s="100">
        <f t="shared" si="18"/>
        <v>0</v>
      </c>
      <c r="L312" s="85">
        <f t="shared" si="19"/>
        <v>0</v>
      </c>
    </row>
    <row r="313" spans="1:12" s="60" customFormat="1" x14ac:dyDescent="0.35">
      <c r="A313" s="68"/>
      <c r="B313" s="133" t="s">
        <v>68</v>
      </c>
      <c r="C313" s="130" t="s">
        <v>16</v>
      </c>
      <c r="D313" s="131">
        <v>1</v>
      </c>
      <c r="E313" s="4">
        <f>D313*E309</f>
        <v>4.0999999999999996</v>
      </c>
      <c r="F313" s="9"/>
      <c r="G313" s="85">
        <f t="shared" si="16"/>
        <v>0</v>
      </c>
      <c r="H313" s="4"/>
      <c r="I313" s="85">
        <f t="shared" si="17"/>
        <v>0</v>
      </c>
      <c r="J313" s="4"/>
      <c r="K313" s="100">
        <f t="shared" si="18"/>
        <v>0</v>
      </c>
      <c r="L313" s="85">
        <f t="shared" si="19"/>
        <v>0</v>
      </c>
    </row>
    <row r="314" spans="1:12" s="60" customFormat="1" x14ac:dyDescent="0.35">
      <c r="A314" s="68"/>
      <c r="B314" s="10" t="s">
        <v>74</v>
      </c>
      <c r="C314" s="5" t="s">
        <v>17</v>
      </c>
      <c r="D314" s="5">
        <v>2.46</v>
      </c>
      <c r="E314" s="4">
        <f>D314*E309</f>
        <v>10.085999999999999</v>
      </c>
      <c r="F314" s="9"/>
      <c r="G314" s="85">
        <f t="shared" si="16"/>
        <v>0</v>
      </c>
      <c r="H314" s="4"/>
      <c r="I314" s="85">
        <f t="shared" si="17"/>
        <v>0</v>
      </c>
      <c r="J314" s="4"/>
      <c r="K314" s="100">
        <f t="shared" si="18"/>
        <v>0</v>
      </c>
      <c r="L314" s="85">
        <f t="shared" si="19"/>
        <v>0</v>
      </c>
    </row>
    <row r="315" spans="1:12" s="60" customFormat="1" x14ac:dyDescent="0.35">
      <c r="A315" s="68"/>
      <c r="B315" s="17" t="s">
        <v>75</v>
      </c>
      <c r="C315" s="5" t="s">
        <v>16</v>
      </c>
      <c r="D315" s="5">
        <v>2.3E-2</v>
      </c>
      <c r="E315" s="12">
        <f>D315*E309</f>
        <v>9.4299999999999995E-2</v>
      </c>
      <c r="F315" s="9"/>
      <c r="G315" s="85">
        <f t="shared" si="16"/>
        <v>0</v>
      </c>
      <c r="H315" s="4"/>
      <c r="I315" s="85">
        <f t="shared" si="17"/>
        <v>0</v>
      </c>
      <c r="J315" s="4"/>
      <c r="K315" s="100">
        <f t="shared" si="18"/>
        <v>0</v>
      </c>
      <c r="L315" s="85">
        <f t="shared" si="19"/>
        <v>0</v>
      </c>
    </row>
    <row r="316" spans="1:12" s="60" customFormat="1" ht="15" customHeight="1" x14ac:dyDescent="0.35">
      <c r="A316" s="68"/>
      <c r="B316" s="27" t="s">
        <v>78</v>
      </c>
      <c r="C316" s="5" t="s">
        <v>18</v>
      </c>
      <c r="D316" s="5">
        <v>5.55</v>
      </c>
      <c r="E316" s="4">
        <f>D316*E309</f>
        <v>22.754999999999999</v>
      </c>
      <c r="F316" s="9"/>
      <c r="G316" s="85">
        <f t="shared" si="16"/>
        <v>0</v>
      </c>
      <c r="H316" s="4"/>
      <c r="I316" s="85">
        <f t="shared" si="17"/>
        <v>0</v>
      </c>
      <c r="J316" s="4"/>
      <c r="K316" s="100">
        <f t="shared" si="18"/>
        <v>0</v>
      </c>
      <c r="L316" s="85">
        <f t="shared" si="19"/>
        <v>0</v>
      </c>
    </row>
    <row r="317" spans="1:12" s="60" customFormat="1" x14ac:dyDescent="0.35">
      <c r="A317" s="68"/>
      <c r="B317" s="17" t="s">
        <v>79</v>
      </c>
      <c r="C317" s="5" t="s">
        <v>7</v>
      </c>
      <c r="D317" s="5">
        <v>3.3</v>
      </c>
      <c r="E317" s="12">
        <f>D317*E309</f>
        <v>13.529999999999998</v>
      </c>
      <c r="F317" s="9"/>
      <c r="G317" s="85">
        <f t="shared" si="16"/>
        <v>0</v>
      </c>
      <c r="H317" s="4"/>
      <c r="I317" s="85">
        <f t="shared" si="17"/>
        <v>0</v>
      </c>
      <c r="J317" s="4"/>
      <c r="K317" s="100">
        <f t="shared" si="18"/>
        <v>0</v>
      </c>
      <c r="L317" s="85">
        <f t="shared" si="19"/>
        <v>0</v>
      </c>
    </row>
    <row r="318" spans="1:12" s="60" customFormat="1" x14ac:dyDescent="0.35">
      <c r="A318" s="68"/>
      <c r="B318" s="10" t="s">
        <v>30</v>
      </c>
      <c r="C318" s="5" t="s">
        <v>6</v>
      </c>
      <c r="D318" s="5">
        <v>0.9</v>
      </c>
      <c r="E318" s="4">
        <f>D318*E309</f>
        <v>3.69</v>
      </c>
      <c r="F318" s="9"/>
      <c r="G318" s="85">
        <f t="shared" si="16"/>
        <v>0</v>
      </c>
      <c r="H318" s="4"/>
      <c r="I318" s="85">
        <f t="shared" si="17"/>
        <v>0</v>
      </c>
      <c r="J318" s="4"/>
      <c r="K318" s="100">
        <f t="shared" si="18"/>
        <v>0</v>
      </c>
      <c r="L318" s="85">
        <f t="shared" si="19"/>
        <v>0</v>
      </c>
    </row>
    <row r="319" spans="1:12" s="60" customFormat="1" x14ac:dyDescent="0.35">
      <c r="A319" s="21">
        <v>47</v>
      </c>
      <c r="B319" s="74" t="s">
        <v>70</v>
      </c>
      <c r="C319" s="39" t="s">
        <v>5</v>
      </c>
      <c r="D319" s="39"/>
      <c r="E319" s="75">
        <f>E322+E323</f>
        <v>0.7056</v>
      </c>
      <c r="F319" s="9"/>
      <c r="G319" s="85">
        <f t="shared" si="16"/>
        <v>0</v>
      </c>
      <c r="H319" s="3"/>
      <c r="I319" s="85">
        <f t="shared" si="17"/>
        <v>0</v>
      </c>
      <c r="J319" s="3"/>
      <c r="K319" s="100">
        <f t="shared" si="18"/>
        <v>0</v>
      </c>
      <c r="L319" s="85">
        <f t="shared" si="19"/>
        <v>0</v>
      </c>
    </row>
    <row r="320" spans="1:12" s="60" customFormat="1" x14ac:dyDescent="0.35">
      <c r="A320" s="21"/>
      <c r="B320" s="45" t="s">
        <v>39</v>
      </c>
      <c r="C320" s="46" t="s">
        <v>5</v>
      </c>
      <c r="D320" s="4">
        <v>1</v>
      </c>
      <c r="E320" s="4">
        <f>E319*D320</f>
        <v>0.7056</v>
      </c>
      <c r="F320" s="4"/>
      <c r="G320" s="85">
        <f t="shared" si="16"/>
        <v>0</v>
      </c>
      <c r="H320" s="4"/>
      <c r="I320" s="85">
        <f t="shared" si="17"/>
        <v>0</v>
      </c>
      <c r="J320" s="4"/>
      <c r="K320" s="100">
        <f t="shared" si="18"/>
        <v>0</v>
      </c>
      <c r="L320" s="85">
        <f t="shared" si="19"/>
        <v>0</v>
      </c>
    </row>
    <row r="321" spans="1:12" s="60" customFormat="1" x14ac:dyDescent="0.35">
      <c r="A321" s="21"/>
      <c r="B321" s="10" t="s">
        <v>71</v>
      </c>
      <c r="C321" s="5" t="s">
        <v>6</v>
      </c>
      <c r="D321" s="5">
        <v>6.8</v>
      </c>
      <c r="E321" s="4">
        <f>D321*E319</f>
        <v>4.7980799999999997</v>
      </c>
      <c r="F321" s="9"/>
      <c r="G321" s="85">
        <f t="shared" si="16"/>
        <v>0</v>
      </c>
      <c r="H321" s="4"/>
      <c r="I321" s="85">
        <f t="shared" si="17"/>
        <v>0</v>
      </c>
      <c r="J321" s="4"/>
      <c r="K321" s="100">
        <f t="shared" si="18"/>
        <v>0</v>
      </c>
      <c r="L321" s="85">
        <f t="shared" si="19"/>
        <v>0</v>
      </c>
    </row>
    <row r="322" spans="1:12" s="60" customFormat="1" x14ac:dyDescent="0.35">
      <c r="A322" s="21"/>
      <c r="B322" s="129" t="s">
        <v>165</v>
      </c>
      <c r="C322" s="130" t="s">
        <v>5</v>
      </c>
      <c r="D322" s="131" t="s">
        <v>29</v>
      </c>
      <c r="E322" s="12">
        <f>0.251*2*1.05</f>
        <v>0.52710000000000001</v>
      </c>
      <c r="F322" s="4"/>
      <c r="G322" s="85">
        <f t="shared" si="16"/>
        <v>0</v>
      </c>
      <c r="H322" s="4"/>
      <c r="I322" s="85">
        <f t="shared" si="17"/>
        <v>0</v>
      </c>
      <c r="J322" s="4"/>
      <c r="K322" s="100">
        <f t="shared" si="18"/>
        <v>0</v>
      </c>
      <c r="L322" s="85">
        <f t="shared" si="19"/>
        <v>0</v>
      </c>
    </row>
    <row r="323" spans="1:12" s="60" customFormat="1" x14ac:dyDescent="0.35">
      <c r="A323" s="21"/>
      <c r="B323" s="132" t="s">
        <v>166</v>
      </c>
      <c r="C323" s="130" t="s">
        <v>5</v>
      </c>
      <c r="D323" s="131" t="s">
        <v>29</v>
      </c>
      <c r="E323" s="12">
        <f>0.085*2*1.05</f>
        <v>0.17850000000000002</v>
      </c>
      <c r="F323" s="4"/>
      <c r="G323" s="85">
        <f t="shared" si="16"/>
        <v>0</v>
      </c>
      <c r="H323" s="4"/>
      <c r="I323" s="85">
        <f t="shared" si="17"/>
        <v>0</v>
      </c>
      <c r="J323" s="4"/>
      <c r="K323" s="100">
        <f t="shared" si="18"/>
        <v>0</v>
      </c>
      <c r="L323" s="85">
        <f t="shared" si="19"/>
        <v>0</v>
      </c>
    </row>
    <row r="324" spans="1:12" s="60" customFormat="1" x14ac:dyDescent="0.35">
      <c r="A324" s="21"/>
      <c r="B324" s="10" t="s">
        <v>14</v>
      </c>
      <c r="C324" s="5" t="s">
        <v>6</v>
      </c>
      <c r="D324" s="5">
        <v>12.2</v>
      </c>
      <c r="E324" s="4">
        <f>D324*E319</f>
        <v>8.6083199999999991</v>
      </c>
      <c r="F324" s="9"/>
      <c r="G324" s="85">
        <f t="shared" si="16"/>
        <v>0</v>
      </c>
      <c r="H324" s="4"/>
      <c r="I324" s="85">
        <f t="shared" si="17"/>
        <v>0</v>
      </c>
      <c r="J324" s="4"/>
      <c r="K324" s="100">
        <f t="shared" si="18"/>
        <v>0</v>
      </c>
      <c r="L324" s="85">
        <f t="shared" si="19"/>
        <v>0</v>
      </c>
    </row>
    <row r="325" spans="1:12" s="60" customFormat="1" ht="45" customHeight="1" x14ac:dyDescent="0.35">
      <c r="A325" s="68">
        <v>48</v>
      </c>
      <c r="B325" s="36" t="s">
        <v>167</v>
      </c>
      <c r="C325" s="37" t="s">
        <v>56</v>
      </c>
      <c r="D325" s="37"/>
      <c r="E325" s="38">
        <f>8.2*2</f>
        <v>16.399999999999999</v>
      </c>
      <c r="F325" s="9"/>
      <c r="G325" s="85">
        <f t="shared" si="16"/>
        <v>0</v>
      </c>
      <c r="H325" s="4"/>
      <c r="I325" s="85">
        <f t="shared" si="17"/>
        <v>0</v>
      </c>
      <c r="J325" s="4"/>
      <c r="K325" s="100">
        <f t="shared" si="18"/>
        <v>0</v>
      </c>
      <c r="L325" s="85">
        <f t="shared" si="19"/>
        <v>0</v>
      </c>
    </row>
    <row r="326" spans="1:12" s="60" customFormat="1" x14ac:dyDescent="0.35">
      <c r="A326" s="68"/>
      <c r="B326" s="45" t="s">
        <v>39</v>
      </c>
      <c r="C326" s="46" t="s">
        <v>24</v>
      </c>
      <c r="D326" s="4">
        <v>1</v>
      </c>
      <c r="E326" s="4">
        <f>E325*D326</f>
        <v>16.399999999999999</v>
      </c>
      <c r="F326" s="9"/>
      <c r="G326" s="85">
        <f t="shared" si="16"/>
        <v>0</v>
      </c>
      <c r="H326" s="4"/>
      <c r="I326" s="85">
        <f t="shared" si="17"/>
        <v>0</v>
      </c>
      <c r="J326" s="4"/>
      <c r="K326" s="100">
        <f t="shared" si="18"/>
        <v>0</v>
      </c>
      <c r="L326" s="85">
        <f t="shared" si="19"/>
        <v>0</v>
      </c>
    </row>
    <row r="327" spans="1:12" s="60" customFormat="1" x14ac:dyDescent="0.35">
      <c r="A327" s="68"/>
      <c r="B327" s="10" t="s">
        <v>25</v>
      </c>
      <c r="C327" s="5" t="s">
        <v>6</v>
      </c>
      <c r="D327" s="5">
        <v>1.21</v>
      </c>
      <c r="E327" s="4">
        <f>E325*D327</f>
        <v>19.843999999999998</v>
      </c>
      <c r="F327" s="9"/>
      <c r="G327" s="85">
        <f t="shared" si="16"/>
        <v>0</v>
      </c>
      <c r="H327" s="4"/>
      <c r="I327" s="85">
        <f t="shared" si="17"/>
        <v>0</v>
      </c>
      <c r="J327" s="4"/>
      <c r="K327" s="100">
        <f t="shared" si="18"/>
        <v>0</v>
      </c>
      <c r="L327" s="85">
        <f t="shared" si="19"/>
        <v>0</v>
      </c>
    </row>
    <row r="328" spans="1:12" s="60" customFormat="1" x14ac:dyDescent="0.35">
      <c r="A328" s="68"/>
      <c r="B328" s="133" t="s">
        <v>80</v>
      </c>
      <c r="C328" s="130" t="s">
        <v>16</v>
      </c>
      <c r="D328" s="130">
        <v>1.0149999999999999</v>
      </c>
      <c r="E328" s="4">
        <f>E325*D328</f>
        <v>16.645999999999997</v>
      </c>
      <c r="F328" s="9"/>
      <c r="G328" s="85">
        <f t="shared" si="16"/>
        <v>0</v>
      </c>
      <c r="H328" s="4"/>
      <c r="I328" s="85">
        <f t="shared" si="17"/>
        <v>0</v>
      </c>
      <c r="J328" s="4"/>
      <c r="K328" s="100">
        <f t="shared" si="18"/>
        <v>0</v>
      </c>
      <c r="L328" s="85">
        <f t="shared" si="19"/>
        <v>0</v>
      </c>
    </row>
    <row r="329" spans="1:12" s="60" customFormat="1" x14ac:dyDescent="0.35">
      <c r="A329" s="68"/>
      <c r="B329" s="133" t="s">
        <v>68</v>
      </c>
      <c r="C329" s="130" t="s">
        <v>16</v>
      </c>
      <c r="D329" s="131">
        <v>1</v>
      </c>
      <c r="E329" s="4">
        <f>D329*E325</f>
        <v>16.399999999999999</v>
      </c>
      <c r="F329" s="9"/>
      <c r="G329" s="85">
        <f t="shared" si="16"/>
        <v>0</v>
      </c>
      <c r="H329" s="4"/>
      <c r="I329" s="85">
        <f t="shared" si="17"/>
        <v>0</v>
      </c>
      <c r="J329" s="4"/>
      <c r="K329" s="100">
        <f t="shared" si="18"/>
        <v>0</v>
      </c>
      <c r="L329" s="85">
        <f t="shared" si="19"/>
        <v>0</v>
      </c>
    </row>
    <row r="330" spans="1:12" s="60" customFormat="1" x14ac:dyDescent="0.35">
      <c r="A330" s="68"/>
      <c r="B330" s="10" t="s">
        <v>74</v>
      </c>
      <c r="C330" s="5" t="s">
        <v>17</v>
      </c>
      <c r="D330" s="5">
        <v>2.46</v>
      </c>
      <c r="E330" s="4">
        <f>D330*E325</f>
        <v>40.343999999999994</v>
      </c>
      <c r="F330" s="9"/>
      <c r="G330" s="85">
        <f t="shared" si="16"/>
        <v>0</v>
      </c>
      <c r="H330" s="4"/>
      <c r="I330" s="85">
        <f t="shared" si="17"/>
        <v>0</v>
      </c>
      <c r="J330" s="4"/>
      <c r="K330" s="100">
        <f t="shared" si="18"/>
        <v>0</v>
      </c>
      <c r="L330" s="85">
        <f t="shared" si="19"/>
        <v>0</v>
      </c>
    </row>
    <row r="331" spans="1:12" s="60" customFormat="1" x14ac:dyDescent="0.35">
      <c r="A331" s="68"/>
      <c r="B331" s="17" t="s">
        <v>75</v>
      </c>
      <c r="C331" s="5" t="s">
        <v>16</v>
      </c>
      <c r="D331" s="5">
        <v>2.3E-2</v>
      </c>
      <c r="E331" s="12">
        <f>D331*E325</f>
        <v>0.37719999999999998</v>
      </c>
      <c r="F331" s="9"/>
      <c r="G331" s="85">
        <f t="shared" si="16"/>
        <v>0</v>
      </c>
      <c r="H331" s="4"/>
      <c r="I331" s="85">
        <f t="shared" si="17"/>
        <v>0</v>
      </c>
      <c r="J331" s="4"/>
      <c r="K331" s="100">
        <f t="shared" si="18"/>
        <v>0</v>
      </c>
      <c r="L331" s="85">
        <f t="shared" si="19"/>
        <v>0</v>
      </c>
    </row>
    <row r="332" spans="1:12" s="60" customFormat="1" x14ac:dyDescent="0.35">
      <c r="A332" s="68"/>
      <c r="B332" s="27" t="s">
        <v>78</v>
      </c>
      <c r="C332" s="5" t="s">
        <v>18</v>
      </c>
      <c r="D332" s="5">
        <v>5.55</v>
      </c>
      <c r="E332" s="4">
        <f>D332*E325</f>
        <v>91.02</v>
      </c>
      <c r="F332" s="9"/>
      <c r="G332" s="85">
        <f t="shared" ref="G332:G395" si="20">F332*E332</f>
        <v>0</v>
      </c>
      <c r="H332" s="4"/>
      <c r="I332" s="85">
        <f t="shared" ref="I332:I395" si="21">H332*E332</f>
        <v>0</v>
      </c>
      <c r="J332" s="4"/>
      <c r="K332" s="100">
        <f t="shared" ref="K332:K395" si="22">J332*E332</f>
        <v>0</v>
      </c>
      <c r="L332" s="85">
        <f t="shared" ref="L332:L395" si="23">K332+I332+G332</f>
        <v>0</v>
      </c>
    </row>
    <row r="333" spans="1:12" s="60" customFormat="1" x14ac:dyDescent="0.35">
      <c r="A333" s="68"/>
      <c r="B333" s="17" t="s">
        <v>79</v>
      </c>
      <c r="C333" s="5" t="s">
        <v>7</v>
      </c>
      <c r="D333" s="5">
        <v>3.3</v>
      </c>
      <c r="E333" s="12">
        <f>D333*E325</f>
        <v>54.11999999999999</v>
      </c>
      <c r="F333" s="9"/>
      <c r="G333" s="85">
        <f t="shared" si="20"/>
        <v>0</v>
      </c>
      <c r="H333" s="4"/>
      <c r="I333" s="85">
        <f t="shared" si="21"/>
        <v>0</v>
      </c>
      <c r="J333" s="4"/>
      <c r="K333" s="100">
        <f t="shared" si="22"/>
        <v>0</v>
      </c>
      <c r="L333" s="85">
        <f t="shared" si="23"/>
        <v>0</v>
      </c>
    </row>
    <row r="334" spans="1:12" s="60" customFormat="1" x14ac:dyDescent="0.35">
      <c r="A334" s="68"/>
      <c r="B334" s="10" t="s">
        <v>30</v>
      </c>
      <c r="C334" s="5" t="s">
        <v>6</v>
      </c>
      <c r="D334" s="5">
        <v>0.9</v>
      </c>
      <c r="E334" s="4">
        <f>D334*E325</f>
        <v>14.76</v>
      </c>
      <c r="F334" s="9"/>
      <c r="G334" s="85">
        <f t="shared" si="20"/>
        <v>0</v>
      </c>
      <c r="H334" s="4"/>
      <c r="I334" s="85">
        <f t="shared" si="21"/>
        <v>0</v>
      </c>
      <c r="J334" s="4"/>
      <c r="K334" s="100">
        <f t="shared" si="22"/>
        <v>0</v>
      </c>
      <c r="L334" s="85">
        <f t="shared" si="23"/>
        <v>0</v>
      </c>
    </row>
    <row r="335" spans="1:12" s="60" customFormat="1" x14ac:dyDescent="0.35">
      <c r="A335" s="21">
        <v>49</v>
      </c>
      <c r="B335" s="74" t="s">
        <v>70</v>
      </c>
      <c r="C335" s="39" t="s">
        <v>5</v>
      </c>
      <c r="D335" s="39"/>
      <c r="E335" s="75">
        <f>E338+E339</f>
        <v>2.8224</v>
      </c>
      <c r="F335" s="9"/>
      <c r="G335" s="85">
        <f t="shared" si="20"/>
        <v>0</v>
      </c>
      <c r="H335" s="3"/>
      <c r="I335" s="85">
        <f t="shared" si="21"/>
        <v>0</v>
      </c>
      <c r="J335" s="3"/>
      <c r="K335" s="100">
        <f t="shared" si="22"/>
        <v>0</v>
      </c>
      <c r="L335" s="85">
        <f t="shared" si="23"/>
        <v>0</v>
      </c>
    </row>
    <row r="336" spans="1:12" s="60" customFormat="1" x14ac:dyDescent="0.35">
      <c r="A336" s="21"/>
      <c r="B336" s="45" t="s">
        <v>39</v>
      </c>
      <c r="C336" s="46" t="s">
        <v>5</v>
      </c>
      <c r="D336" s="4">
        <v>1</v>
      </c>
      <c r="E336" s="4">
        <f>E335*D336</f>
        <v>2.8224</v>
      </c>
      <c r="F336" s="4"/>
      <c r="G336" s="85">
        <f t="shared" si="20"/>
        <v>0</v>
      </c>
      <c r="H336" s="4"/>
      <c r="I336" s="85">
        <f t="shared" si="21"/>
        <v>0</v>
      </c>
      <c r="J336" s="4"/>
      <c r="K336" s="100">
        <f t="shared" si="22"/>
        <v>0</v>
      </c>
      <c r="L336" s="85">
        <f t="shared" si="23"/>
        <v>0</v>
      </c>
    </row>
    <row r="337" spans="1:12" s="60" customFormat="1" x14ac:dyDescent="0.35">
      <c r="A337" s="21"/>
      <c r="B337" s="10" t="s">
        <v>71</v>
      </c>
      <c r="C337" s="5" t="s">
        <v>6</v>
      </c>
      <c r="D337" s="5">
        <v>6.8</v>
      </c>
      <c r="E337" s="4">
        <f>D337*E335</f>
        <v>19.192319999999999</v>
      </c>
      <c r="F337" s="9"/>
      <c r="G337" s="85">
        <f t="shared" si="20"/>
        <v>0</v>
      </c>
      <c r="H337" s="4"/>
      <c r="I337" s="85">
        <f t="shared" si="21"/>
        <v>0</v>
      </c>
      <c r="J337" s="4"/>
      <c r="K337" s="100">
        <f t="shared" si="22"/>
        <v>0</v>
      </c>
      <c r="L337" s="85">
        <f t="shared" si="23"/>
        <v>0</v>
      </c>
    </row>
    <row r="338" spans="1:12" s="60" customFormat="1" x14ac:dyDescent="0.35">
      <c r="A338" s="21"/>
      <c r="B338" s="129" t="s">
        <v>168</v>
      </c>
      <c r="C338" s="130" t="s">
        <v>5</v>
      </c>
      <c r="D338" s="131" t="s">
        <v>29</v>
      </c>
      <c r="E338" s="134">
        <f>1.004*2*1.05</f>
        <v>2.1084000000000001</v>
      </c>
      <c r="F338" s="4"/>
      <c r="G338" s="85">
        <f t="shared" si="20"/>
        <v>0</v>
      </c>
      <c r="H338" s="4"/>
      <c r="I338" s="85">
        <f t="shared" si="21"/>
        <v>0</v>
      </c>
      <c r="J338" s="4"/>
      <c r="K338" s="100">
        <f t="shared" si="22"/>
        <v>0</v>
      </c>
      <c r="L338" s="85">
        <f t="shared" si="23"/>
        <v>0</v>
      </c>
    </row>
    <row r="339" spans="1:12" s="60" customFormat="1" x14ac:dyDescent="0.35">
      <c r="A339" s="21"/>
      <c r="B339" s="132" t="s">
        <v>169</v>
      </c>
      <c r="C339" s="130" t="s">
        <v>5</v>
      </c>
      <c r="D339" s="131" t="s">
        <v>29</v>
      </c>
      <c r="E339" s="134">
        <f>0.34*2*1.05</f>
        <v>0.71400000000000008</v>
      </c>
      <c r="F339" s="4"/>
      <c r="G339" s="85">
        <f t="shared" si="20"/>
        <v>0</v>
      </c>
      <c r="H339" s="4"/>
      <c r="I339" s="85">
        <f t="shared" si="21"/>
        <v>0</v>
      </c>
      <c r="J339" s="4"/>
      <c r="K339" s="100">
        <f t="shared" si="22"/>
        <v>0</v>
      </c>
      <c r="L339" s="85">
        <f t="shared" si="23"/>
        <v>0</v>
      </c>
    </row>
    <row r="340" spans="1:12" s="60" customFormat="1" x14ac:dyDescent="0.35">
      <c r="A340" s="21"/>
      <c r="B340" s="10" t="s">
        <v>14</v>
      </c>
      <c r="C340" s="5" t="s">
        <v>6</v>
      </c>
      <c r="D340" s="5">
        <v>12.2</v>
      </c>
      <c r="E340" s="4">
        <f>D340*E335</f>
        <v>34.433279999999996</v>
      </c>
      <c r="F340" s="9"/>
      <c r="G340" s="85">
        <f t="shared" si="20"/>
        <v>0</v>
      </c>
      <c r="H340" s="4"/>
      <c r="I340" s="85">
        <f t="shared" si="21"/>
        <v>0</v>
      </c>
      <c r="J340" s="4"/>
      <c r="K340" s="100">
        <f t="shared" si="22"/>
        <v>0</v>
      </c>
      <c r="L340" s="85">
        <f t="shared" si="23"/>
        <v>0</v>
      </c>
    </row>
    <row r="341" spans="1:12" s="60" customFormat="1" ht="27" x14ac:dyDescent="0.35">
      <c r="A341" s="68">
        <v>50</v>
      </c>
      <c r="B341" s="36" t="s">
        <v>170</v>
      </c>
      <c r="C341" s="37" t="s">
        <v>56</v>
      </c>
      <c r="D341" s="37"/>
      <c r="E341" s="38">
        <f>0.88*2</f>
        <v>1.76</v>
      </c>
      <c r="F341" s="9"/>
      <c r="G341" s="85">
        <f t="shared" si="20"/>
        <v>0</v>
      </c>
      <c r="H341" s="4"/>
      <c r="I341" s="85">
        <f t="shared" si="21"/>
        <v>0</v>
      </c>
      <c r="J341" s="4"/>
      <c r="K341" s="100">
        <f t="shared" si="22"/>
        <v>0</v>
      </c>
      <c r="L341" s="85">
        <f t="shared" si="23"/>
        <v>0</v>
      </c>
    </row>
    <row r="342" spans="1:12" s="60" customFormat="1" x14ac:dyDescent="0.35">
      <c r="A342" s="68"/>
      <c r="B342" s="45" t="s">
        <v>39</v>
      </c>
      <c r="C342" s="46" t="s">
        <v>24</v>
      </c>
      <c r="D342" s="4">
        <v>1</v>
      </c>
      <c r="E342" s="4">
        <f>E341*D342</f>
        <v>1.76</v>
      </c>
      <c r="F342" s="9"/>
      <c r="G342" s="85">
        <f t="shared" si="20"/>
        <v>0</v>
      </c>
      <c r="H342" s="4"/>
      <c r="I342" s="85">
        <f t="shared" si="21"/>
        <v>0</v>
      </c>
      <c r="J342" s="4"/>
      <c r="K342" s="100">
        <f t="shared" si="22"/>
        <v>0</v>
      </c>
      <c r="L342" s="85">
        <f t="shared" si="23"/>
        <v>0</v>
      </c>
    </row>
    <row r="343" spans="1:12" s="60" customFormat="1" x14ac:dyDescent="0.35">
      <c r="A343" s="68"/>
      <c r="B343" s="10" t="s">
        <v>25</v>
      </c>
      <c r="C343" s="5" t="s">
        <v>6</v>
      </c>
      <c r="D343" s="5">
        <v>1.21</v>
      </c>
      <c r="E343" s="4">
        <f>E341*D343</f>
        <v>2.1295999999999999</v>
      </c>
      <c r="F343" s="9"/>
      <c r="G343" s="85">
        <f t="shared" si="20"/>
        <v>0</v>
      </c>
      <c r="H343" s="4"/>
      <c r="I343" s="85">
        <f t="shared" si="21"/>
        <v>0</v>
      </c>
      <c r="J343" s="4"/>
      <c r="K343" s="100">
        <f t="shared" si="22"/>
        <v>0</v>
      </c>
      <c r="L343" s="85">
        <f t="shared" si="23"/>
        <v>0</v>
      </c>
    </row>
    <row r="344" spans="1:12" s="60" customFormat="1" x14ac:dyDescent="0.35">
      <c r="A344" s="68"/>
      <c r="B344" s="133" t="s">
        <v>80</v>
      </c>
      <c r="C344" s="130" t="s">
        <v>16</v>
      </c>
      <c r="D344" s="130">
        <v>1.0149999999999999</v>
      </c>
      <c r="E344" s="4">
        <f>E341*D344</f>
        <v>1.7863999999999998</v>
      </c>
      <c r="F344" s="9"/>
      <c r="G344" s="85">
        <f t="shared" si="20"/>
        <v>0</v>
      </c>
      <c r="H344" s="4"/>
      <c r="I344" s="85">
        <f t="shared" si="21"/>
        <v>0</v>
      </c>
      <c r="J344" s="4"/>
      <c r="K344" s="100">
        <f t="shared" si="22"/>
        <v>0</v>
      </c>
      <c r="L344" s="85">
        <f t="shared" si="23"/>
        <v>0</v>
      </c>
    </row>
    <row r="345" spans="1:12" s="60" customFormat="1" x14ac:dyDescent="0.35">
      <c r="A345" s="68"/>
      <c r="B345" s="133" t="s">
        <v>68</v>
      </c>
      <c r="C345" s="130" t="s">
        <v>16</v>
      </c>
      <c r="D345" s="131">
        <v>1</v>
      </c>
      <c r="E345" s="4">
        <f>D345*E341</f>
        <v>1.76</v>
      </c>
      <c r="F345" s="9"/>
      <c r="G345" s="85">
        <f t="shared" si="20"/>
        <v>0</v>
      </c>
      <c r="H345" s="4"/>
      <c r="I345" s="85">
        <f t="shared" si="21"/>
        <v>0</v>
      </c>
      <c r="J345" s="4"/>
      <c r="K345" s="100">
        <f t="shared" si="22"/>
        <v>0</v>
      </c>
      <c r="L345" s="85">
        <f t="shared" si="23"/>
        <v>0</v>
      </c>
    </row>
    <row r="346" spans="1:12" s="60" customFormat="1" x14ac:dyDescent="0.35">
      <c r="A346" s="68"/>
      <c r="B346" s="10" t="s">
        <v>74</v>
      </c>
      <c r="C346" s="5" t="s">
        <v>17</v>
      </c>
      <c r="D346" s="5">
        <v>2.46</v>
      </c>
      <c r="E346" s="4">
        <f>D346*E341</f>
        <v>4.3296000000000001</v>
      </c>
      <c r="F346" s="9"/>
      <c r="G346" s="85">
        <f t="shared" si="20"/>
        <v>0</v>
      </c>
      <c r="H346" s="4"/>
      <c r="I346" s="85">
        <f t="shared" si="21"/>
        <v>0</v>
      </c>
      <c r="J346" s="4"/>
      <c r="K346" s="100">
        <f t="shared" si="22"/>
        <v>0</v>
      </c>
      <c r="L346" s="85">
        <f t="shared" si="23"/>
        <v>0</v>
      </c>
    </row>
    <row r="347" spans="1:12" s="60" customFormat="1" x14ac:dyDescent="0.35">
      <c r="A347" s="68"/>
      <c r="B347" s="17" t="s">
        <v>75</v>
      </c>
      <c r="C347" s="5" t="s">
        <v>16</v>
      </c>
      <c r="D347" s="5">
        <v>2.3E-2</v>
      </c>
      <c r="E347" s="12">
        <f>D347*E341</f>
        <v>4.0480000000000002E-2</v>
      </c>
      <c r="F347" s="9"/>
      <c r="G347" s="85">
        <f t="shared" si="20"/>
        <v>0</v>
      </c>
      <c r="H347" s="4"/>
      <c r="I347" s="85">
        <f t="shared" si="21"/>
        <v>0</v>
      </c>
      <c r="J347" s="4"/>
      <c r="K347" s="100">
        <f t="shared" si="22"/>
        <v>0</v>
      </c>
      <c r="L347" s="85">
        <f t="shared" si="23"/>
        <v>0</v>
      </c>
    </row>
    <row r="348" spans="1:12" s="60" customFormat="1" x14ac:dyDescent="0.35">
      <c r="A348" s="68"/>
      <c r="B348" s="27" t="s">
        <v>78</v>
      </c>
      <c r="C348" s="5" t="s">
        <v>18</v>
      </c>
      <c r="D348" s="5">
        <v>5.55</v>
      </c>
      <c r="E348" s="4">
        <f>D348*E341</f>
        <v>9.7679999999999989</v>
      </c>
      <c r="F348" s="9"/>
      <c r="G348" s="85">
        <f t="shared" si="20"/>
        <v>0</v>
      </c>
      <c r="H348" s="4"/>
      <c r="I348" s="85">
        <f t="shared" si="21"/>
        <v>0</v>
      </c>
      <c r="J348" s="4"/>
      <c r="K348" s="100">
        <f t="shared" si="22"/>
        <v>0</v>
      </c>
      <c r="L348" s="85">
        <f t="shared" si="23"/>
        <v>0</v>
      </c>
    </row>
    <row r="349" spans="1:12" s="60" customFormat="1" x14ac:dyDescent="0.35">
      <c r="A349" s="68"/>
      <c r="B349" s="17" t="s">
        <v>79</v>
      </c>
      <c r="C349" s="5" t="s">
        <v>7</v>
      </c>
      <c r="D349" s="5">
        <v>3.3</v>
      </c>
      <c r="E349" s="12">
        <f>D349*E341</f>
        <v>5.8079999999999998</v>
      </c>
      <c r="F349" s="9"/>
      <c r="G349" s="85">
        <f t="shared" si="20"/>
        <v>0</v>
      </c>
      <c r="H349" s="4"/>
      <c r="I349" s="85">
        <f t="shared" si="21"/>
        <v>0</v>
      </c>
      <c r="J349" s="4"/>
      <c r="K349" s="100">
        <f t="shared" si="22"/>
        <v>0</v>
      </c>
      <c r="L349" s="85">
        <f t="shared" si="23"/>
        <v>0</v>
      </c>
    </row>
    <row r="350" spans="1:12" s="60" customFormat="1" x14ac:dyDescent="0.35">
      <c r="A350" s="68"/>
      <c r="B350" s="10" t="s">
        <v>30</v>
      </c>
      <c r="C350" s="5" t="s">
        <v>6</v>
      </c>
      <c r="D350" s="5">
        <v>0.9</v>
      </c>
      <c r="E350" s="4">
        <f>D350*E341</f>
        <v>1.5840000000000001</v>
      </c>
      <c r="F350" s="9"/>
      <c r="G350" s="85">
        <f t="shared" si="20"/>
        <v>0</v>
      </c>
      <c r="H350" s="4"/>
      <c r="I350" s="85">
        <f t="shared" si="21"/>
        <v>0</v>
      </c>
      <c r="J350" s="4"/>
      <c r="K350" s="100">
        <f t="shared" si="22"/>
        <v>0</v>
      </c>
      <c r="L350" s="85">
        <f t="shared" si="23"/>
        <v>0</v>
      </c>
    </row>
    <row r="351" spans="1:12" s="60" customFormat="1" x14ac:dyDescent="0.35">
      <c r="A351" s="21">
        <v>51</v>
      </c>
      <c r="B351" s="74" t="s">
        <v>70</v>
      </c>
      <c r="C351" s="39" t="s">
        <v>5</v>
      </c>
      <c r="D351" s="39"/>
      <c r="E351" s="75">
        <f>E354+E355</f>
        <v>0.29966999999999999</v>
      </c>
      <c r="F351" s="9"/>
      <c r="G351" s="85">
        <f t="shared" si="20"/>
        <v>0</v>
      </c>
      <c r="H351" s="3"/>
      <c r="I351" s="85">
        <f t="shared" si="21"/>
        <v>0</v>
      </c>
      <c r="J351" s="3"/>
      <c r="K351" s="100">
        <f t="shared" si="22"/>
        <v>0</v>
      </c>
      <c r="L351" s="85">
        <f t="shared" si="23"/>
        <v>0</v>
      </c>
    </row>
    <row r="352" spans="1:12" s="60" customFormat="1" x14ac:dyDescent="0.35">
      <c r="A352" s="21"/>
      <c r="B352" s="45" t="s">
        <v>39</v>
      </c>
      <c r="C352" s="46" t="s">
        <v>5</v>
      </c>
      <c r="D352" s="4">
        <v>1</v>
      </c>
      <c r="E352" s="4">
        <f>E351*D352</f>
        <v>0.29966999999999999</v>
      </c>
      <c r="F352" s="4"/>
      <c r="G352" s="85">
        <f t="shared" si="20"/>
        <v>0</v>
      </c>
      <c r="H352" s="4"/>
      <c r="I352" s="85">
        <f t="shared" si="21"/>
        <v>0</v>
      </c>
      <c r="J352" s="4"/>
      <c r="K352" s="100">
        <f t="shared" si="22"/>
        <v>0</v>
      </c>
      <c r="L352" s="85">
        <f t="shared" si="23"/>
        <v>0</v>
      </c>
    </row>
    <row r="353" spans="1:12" s="60" customFormat="1" x14ac:dyDescent="0.35">
      <c r="A353" s="21"/>
      <c r="B353" s="10" t="s">
        <v>71</v>
      </c>
      <c r="C353" s="5" t="s">
        <v>6</v>
      </c>
      <c r="D353" s="5">
        <v>6.8</v>
      </c>
      <c r="E353" s="4">
        <f>D353*E351</f>
        <v>2.0377559999999999</v>
      </c>
      <c r="F353" s="9"/>
      <c r="G353" s="85">
        <f t="shared" si="20"/>
        <v>0</v>
      </c>
      <c r="H353" s="4"/>
      <c r="I353" s="85">
        <f t="shared" si="21"/>
        <v>0</v>
      </c>
      <c r="J353" s="4"/>
      <c r="K353" s="100">
        <f t="shared" si="22"/>
        <v>0</v>
      </c>
      <c r="L353" s="85">
        <f t="shared" si="23"/>
        <v>0</v>
      </c>
    </row>
    <row r="354" spans="1:12" s="60" customFormat="1" x14ac:dyDescent="0.35">
      <c r="A354" s="21"/>
      <c r="B354" s="129" t="s">
        <v>176</v>
      </c>
      <c r="C354" s="130" t="s">
        <v>5</v>
      </c>
      <c r="D354" s="131" t="s">
        <v>29</v>
      </c>
      <c r="E354" s="12">
        <f>0.1095*2*1.05</f>
        <v>0.22995000000000002</v>
      </c>
      <c r="F354" s="4"/>
      <c r="G354" s="85">
        <f t="shared" si="20"/>
        <v>0</v>
      </c>
      <c r="H354" s="4"/>
      <c r="I354" s="85">
        <f t="shared" si="21"/>
        <v>0</v>
      </c>
      <c r="J354" s="4"/>
      <c r="K354" s="100">
        <f t="shared" si="22"/>
        <v>0</v>
      </c>
      <c r="L354" s="85">
        <f t="shared" si="23"/>
        <v>0</v>
      </c>
    </row>
    <row r="355" spans="1:12" s="60" customFormat="1" x14ac:dyDescent="0.35">
      <c r="A355" s="21"/>
      <c r="B355" s="132" t="s">
        <v>171</v>
      </c>
      <c r="C355" s="130" t="s">
        <v>5</v>
      </c>
      <c r="D355" s="131" t="s">
        <v>29</v>
      </c>
      <c r="E355" s="12">
        <f>0.0332*2*1.05</f>
        <v>6.9720000000000004E-2</v>
      </c>
      <c r="F355" s="4"/>
      <c r="G355" s="85">
        <f t="shared" si="20"/>
        <v>0</v>
      </c>
      <c r="H355" s="4"/>
      <c r="I355" s="85">
        <f t="shared" si="21"/>
        <v>0</v>
      </c>
      <c r="J355" s="4"/>
      <c r="K355" s="100">
        <f t="shared" si="22"/>
        <v>0</v>
      </c>
      <c r="L355" s="85">
        <f t="shared" si="23"/>
        <v>0</v>
      </c>
    </row>
    <row r="356" spans="1:12" s="60" customFormat="1" x14ac:dyDescent="0.35">
      <c r="A356" s="21"/>
      <c r="B356" s="10" t="s">
        <v>14</v>
      </c>
      <c r="C356" s="5" t="s">
        <v>6</v>
      </c>
      <c r="D356" s="5">
        <v>12.2</v>
      </c>
      <c r="E356" s="4">
        <f>D356*E351</f>
        <v>3.6559739999999996</v>
      </c>
      <c r="F356" s="9"/>
      <c r="G356" s="85">
        <f t="shared" si="20"/>
        <v>0</v>
      </c>
      <c r="H356" s="4"/>
      <c r="I356" s="85">
        <f t="shared" si="21"/>
        <v>0</v>
      </c>
      <c r="J356" s="4"/>
      <c r="K356" s="100">
        <f t="shared" si="22"/>
        <v>0</v>
      </c>
      <c r="L356" s="85">
        <f t="shared" si="23"/>
        <v>0</v>
      </c>
    </row>
    <row r="357" spans="1:12" s="60" customFormat="1" ht="27" x14ac:dyDescent="0.35">
      <c r="A357" s="68">
        <v>52</v>
      </c>
      <c r="B357" s="36" t="s">
        <v>172</v>
      </c>
      <c r="C357" s="37" t="s">
        <v>56</v>
      </c>
      <c r="D357" s="37"/>
      <c r="E357" s="38">
        <f>4.1*2</f>
        <v>8.1999999999999993</v>
      </c>
      <c r="F357" s="9"/>
      <c r="G357" s="85">
        <f t="shared" si="20"/>
        <v>0</v>
      </c>
      <c r="H357" s="4"/>
      <c r="I357" s="85">
        <f t="shared" si="21"/>
        <v>0</v>
      </c>
      <c r="J357" s="4"/>
      <c r="K357" s="100">
        <f t="shared" si="22"/>
        <v>0</v>
      </c>
      <c r="L357" s="85">
        <f t="shared" si="23"/>
        <v>0</v>
      </c>
    </row>
    <row r="358" spans="1:12" s="60" customFormat="1" x14ac:dyDescent="0.35">
      <c r="A358" s="68"/>
      <c r="B358" s="45" t="s">
        <v>39</v>
      </c>
      <c r="C358" s="46" t="s">
        <v>24</v>
      </c>
      <c r="D358" s="4">
        <v>1</v>
      </c>
      <c r="E358" s="4">
        <f>E357*D358</f>
        <v>8.1999999999999993</v>
      </c>
      <c r="F358" s="9"/>
      <c r="G358" s="85">
        <f t="shared" si="20"/>
        <v>0</v>
      </c>
      <c r="H358" s="4"/>
      <c r="I358" s="85">
        <f t="shared" si="21"/>
        <v>0</v>
      </c>
      <c r="J358" s="4"/>
      <c r="K358" s="100">
        <f t="shared" si="22"/>
        <v>0</v>
      </c>
      <c r="L358" s="85">
        <f t="shared" si="23"/>
        <v>0</v>
      </c>
    </row>
    <row r="359" spans="1:12" s="60" customFormat="1" x14ac:dyDescent="0.35">
      <c r="A359" s="68"/>
      <c r="B359" s="10" t="s">
        <v>25</v>
      </c>
      <c r="C359" s="5" t="s">
        <v>6</v>
      </c>
      <c r="D359" s="5">
        <v>1.21</v>
      </c>
      <c r="E359" s="4">
        <f>E357*D359</f>
        <v>9.9219999999999988</v>
      </c>
      <c r="F359" s="9"/>
      <c r="G359" s="85">
        <f t="shared" si="20"/>
        <v>0</v>
      </c>
      <c r="H359" s="4"/>
      <c r="I359" s="85">
        <f t="shared" si="21"/>
        <v>0</v>
      </c>
      <c r="J359" s="4"/>
      <c r="K359" s="100">
        <f t="shared" si="22"/>
        <v>0</v>
      </c>
      <c r="L359" s="85">
        <f t="shared" si="23"/>
        <v>0</v>
      </c>
    </row>
    <row r="360" spans="1:12" s="60" customFormat="1" x14ac:dyDescent="0.35">
      <c r="A360" s="68"/>
      <c r="B360" s="133" t="s">
        <v>80</v>
      </c>
      <c r="C360" s="130" t="s">
        <v>16</v>
      </c>
      <c r="D360" s="130">
        <v>1.0149999999999999</v>
      </c>
      <c r="E360" s="4">
        <f>E357*D360</f>
        <v>8.3229999999999986</v>
      </c>
      <c r="F360" s="9"/>
      <c r="G360" s="85">
        <f t="shared" si="20"/>
        <v>0</v>
      </c>
      <c r="H360" s="4"/>
      <c r="I360" s="85">
        <f t="shared" si="21"/>
        <v>0</v>
      </c>
      <c r="J360" s="4"/>
      <c r="K360" s="100">
        <f t="shared" si="22"/>
        <v>0</v>
      </c>
      <c r="L360" s="85">
        <f t="shared" si="23"/>
        <v>0</v>
      </c>
    </row>
    <row r="361" spans="1:12" s="60" customFormat="1" x14ac:dyDescent="0.35">
      <c r="A361" s="68"/>
      <c r="B361" s="133" t="s">
        <v>68</v>
      </c>
      <c r="C361" s="130" t="s">
        <v>16</v>
      </c>
      <c r="D361" s="131">
        <v>1</v>
      </c>
      <c r="E361" s="4">
        <f>D361*E357</f>
        <v>8.1999999999999993</v>
      </c>
      <c r="F361" s="9"/>
      <c r="G361" s="85">
        <f t="shared" si="20"/>
        <v>0</v>
      </c>
      <c r="H361" s="4"/>
      <c r="I361" s="85">
        <f t="shared" si="21"/>
        <v>0</v>
      </c>
      <c r="J361" s="4"/>
      <c r="K361" s="100">
        <f t="shared" si="22"/>
        <v>0</v>
      </c>
      <c r="L361" s="85">
        <f t="shared" si="23"/>
        <v>0</v>
      </c>
    </row>
    <row r="362" spans="1:12" s="60" customFormat="1" x14ac:dyDescent="0.35">
      <c r="A362" s="68"/>
      <c r="B362" s="10" t="s">
        <v>74</v>
      </c>
      <c r="C362" s="5" t="s">
        <v>17</v>
      </c>
      <c r="D362" s="5">
        <v>2.46</v>
      </c>
      <c r="E362" s="4">
        <f>D362*E357</f>
        <v>20.171999999999997</v>
      </c>
      <c r="F362" s="9"/>
      <c r="G362" s="85">
        <f t="shared" si="20"/>
        <v>0</v>
      </c>
      <c r="H362" s="4"/>
      <c r="I362" s="85">
        <f t="shared" si="21"/>
        <v>0</v>
      </c>
      <c r="J362" s="4"/>
      <c r="K362" s="100">
        <f t="shared" si="22"/>
        <v>0</v>
      </c>
      <c r="L362" s="85">
        <f t="shared" si="23"/>
        <v>0</v>
      </c>
    </row>
    <row r="363" spans="1:12" s="60" customFormat="1" x14ac:dyDescent="0.35">
      <c r="A363" s="68"/>
      <c r="B363" s="17" t="s">
        <v>75</v>
      </c>
      <c r="C363" s="5" t="s">
        <v>16</v>
      </c>
      <c r="D363" s="5">
        <v>2.3E-2</v>
      </c>
      <c r="E363" s="12">
        <f>D363*E357</f>
        <v>0.18859999999999999</v>
      </c>
      <c r="F363" s="9"/>
      <c r="G363" s="85">
        <f t="shared" si="20"/>
        <v>0</v>
      </c>
      <c r="H363" s="4"/>
      <c r="I363" s="85">
        <f t="shared" si="21"/>
        <v>0</v>
      </c>
      <c r="J363" s="4"/>
      <c r="K363" s="100">
        <f t="shared" si="22"/>
        <v>0</v>
      </c>
      <c r="L363" s="85">
        <f t="shared" si="23"/>
        <v>0</v>
      </c>
    </row>
    <row r="364" spans="1:12" s="60" customFormat="1" x14ac:dyDescent="0.35">
      <c r="A364" s="68"/>
      <c r="B364" s="27" t="s">
        <v>78</v>
      </c>
      <c r="C364" s="5" t="s">
        <v>18</v>
      </c>
      <c r="D364" s="5">
        <v>5.55</v>
      </c>
      <c r="E364" s="4">
        <f>D364*E357</f>
        <v>45.51</v>
      </c>
      <c r="F364" s="9"/>
      <c r="G364" s="85">
        <f t="shared" si="20"/>
        <v>0</v>
      </c>
      <c r="H364" s="4"/>
      <c r="I364" s="85">
        <f t="shared" si="21"/>
        <v>0</v>
      </c>
      <c r="J364" s="4"/>
      <c r="K364" s="100">
        <f t="shared" si="22"/>
        <v>0</v>
      </c>
      <c r="L364" s="85">
        <f t="shared" si="23"/>
        <v>0</v>
      </c>
    </row>
    <row r="365" spans="1:12" s="60" customFormat="1" x14ac:dyDescent="0.35">
      <c r="A365" s="68"/>
      <c r="B365" s="17" t="s">
        <v>79</v>
      </c>
      <c r="C365" s="5" t="s">
        <v>7</v>
      </c>
      <c r="D365" s="5">
        <v>3.3</v>
      </c>
      <c r="E365" s="12">
        <f>D365*E357</f>
        <v>27.059999999999995</v>
      </c>
      <c r="F365" s="9"/>
      <c r="G365" s="85">
        <f t="shared" si="20"/>
        <v>0</v>
      </c>
      <c r="H365" s="4"/>
      <c r="I365" s="85">
        <f t="shared" si="21"/>
        <v>0</v>
      </c>
      <c r="J365" s="4"/>
      <c r="K365" s="100">
        <f t="shared" si="22"/>
        <v>0</v>
      </c>
      <c r="L365" s="85">
        <f t="shared" si="23"/>
        <v>0</v>
      </c>
    </row>
    <row r="366" spans="1:12" s="60" customFormat="1" x14ac:dyDescent="0.35">
      <c r="A366" s="68"/>
      <c r="B366" s="10" t="s">
        <v>30</v>
      </c>
      <c r="C366" s="5" t="s">
        <v>6</v>
      </c>
      <c r="D366" s="5">
        <v>0.9</v>
      </c>
      <c r="E366" s="4">
        <f>D366*E357</f>
        <v>7.38</v>
      </c>
      <c r="F366" s="9"/>
      <c r="G366" s="85">
        <f t="shared" si="20"/>
        <v>0</v>
      </c>
      <c r="H366" s="4"/>
      <c r="I366" s="85">
        <f t="shared" si="21"/>
        <v>0</v>
      </c>
      <c r="J366" s="4"/>
      <c r="K366" s="100">
        <f t="shared" si="22"/>
        <v>0</v>
      </c>
      <c r="L366" s="85">
        <f t="shared" si="23"/>
        <v>0</v>
      </c>
    </row>
    <row r="367" spans="1:12" s="60" customFormat="1" x14ac:dyDescent="0.35">
      <c r="A367" s="21">
        <v>56</v>
      </c>
      <c r="B367" s="74" t="s">
        <v>70</v>
      </c>
      <c r="C367" s="39" t="s">
        <v>5</v>
      </c>
      <c r="D367" s="39"/>
      <c r="E367" s="75">
        <f>E370+E371</f>
        <v>1.4112</v>
      </c>
      <c r="F367" s="9"/>
      <c r="G367" s="85">
        <f t="shared" si="20"/>
        <v>0</v>
      </c>
      <c r="H367" s="3"/>
      <c r="I367" s="85">
        <f t="shared" si="21"/>
        <v>0</v>
      </c>
      <c r="J367" s="3"/>
      <c r="K367" s="100">
        <f t="shared" si="22"/>
        <v>0</v>
      </c>
      <c r="L367" s="85">
        <f t="shared" si="23"/>
        <v>0</v>
      </c>
    </row>
    <row r="368" spans="1:12" s="60" customFormat="1" x14ac:dyDescent="0.35">
      <c r="A368" s="21"/>
      <c r="B368" s="45" t="s">
        <v>39</v>
      </c>
      <c r="C368" s="46" t="s">
        <v>5</v>
      </c>
      <c r="D368" s="4">
        <v>1</v>
      </c>
      <c r="E368" s="4">
        <f>E367*D368</f>
        <v>1.4112</v>
      </c>
      <c r="F368" s="4"/>
      <c r="G368" s="85">
        <f t="shared" si="20"/>
        <v>0</v>
      </c>
      <c r="H368" s="4"/>
      <c r="I368" s="85">
        <f t="shared" si="21"/>
        <v>0</v>
      </c>
      <c r="J368" s="4"/>
      <c r="K368" s="100">
        <f t="shared" si="22"/>
        <v>0</v>
      </c>
      <c r="L368" s="85">
        <f t="shared" si="23"/>
        <v>0</v>
      </c>
    </row>
    <row r="369" spans="1:12" s="60" customFormat="1" x14ac:dyDescent="0.35">
      <c r="A369" s="21"/>
      <c r="B369" s="10" t="s">
        <v>71</v>
      </c>
      <c r="C369" s="5" t="s">
        <v>6</v>
      </c>
      <c r="D369" s="5">
        <v>6.8</v>
      </c>
      <c r="E369" s="4">
        <f>D369*E367</f>
        <v>9.5961599999999994</v>
      </c>
      <c r="F369" s="9"/>
      <c r="G369" s="85">
        <f t="shared" si="20"/>
        <v>0</v>
      </c>
      <c r="H369" s="4"/>
      <c r="I369" s="85">
        <f t="shared" si="21"/>
        <v>0</v>
      </c>
      <c r="J369" s="4"/>
      <c r="K369" s="100">
        <f t="shared" si="22"/>
        <v>0</v>
      </c>
      <c r="L369" s="85">
        <f t="shared" si="23"/>
        <v>0</v>
      </c>
    </row>
    <row r="370" spans="1:12" s="60" customFormat="1" x14ac:dyDescent="0.35">
      <c r="A370" s="21"/>
      <c r="B370" s="129" t="s">
        <v>175</v>
      </c>
      <c r="C370" s="130" t="s">
        <v>5</v>
      </c>
      <c r="D370" s="131" t="s">
        <v>29</v>
      </c>
      <c r="E370" s="12">
        <f>0.502*2*1.05</f>
        <v>1.0542</v>
      </c>
      <c r="F370" s="4"/>
      <c r="G370" s="85">
        <f t="shared" si="20"/>
        <v>0</v>
      </c>
      <c r="H370" s="4"/>
      <c r="I370" s="85">
        <f t="shared" si="21"/>
        <v>0</v>
      </c>
      <c r="J370" s="4"/>
      <c r="K370" s="100">
        <f t="shared" si="22"/>
        <v>0</v>
      </c>
      <c r="L370" s="85">
        <f t="shared" si="23"/>
        <v>0</v>
      </c>
    </row>
    <row r="371" spans="1:12" s="60" customFormat="1" x14ac:dyDescent="0.35">
      <c r="A371" s="21"/>
      <c r="B371" s="132" t="s">
        <v>173</v>
      </c>
      <c r="C371" s="130" t="s">
        <v>5</v>
      </c>
      <c r="D371" s="131" t="s">
        <v>29</v>
      </c>
      <c r="E371" s="12">
        <f>0.17*2*1.05</f>
        <v>0.35700000000000004</v>
      </c>
      <c r="F371" s="4"/>
      <c r="G371" s="85">
        <f t="shared" si="20"/>
        <v>0</v>
      </c>
      <c r="H371" s="4"/>
      <c r="I371" s="85">
        <f t="shared" si="21"/>
        <v>0</v>
      </c>
      <c r="J371" s="4"/>
      <c r="K371" s="100">
        <f t="shared" si="22"/>
        <v>0</v>
      </c>
      <c r="L371" s="85">
        <f t="shared" si="23"/>
        <v>0</v>
      </c>
    </row>
    <row r="372" spans="1:12" s="60" customFormat="1" x14ac:dyDescent="0.35">
      <c r="A372" s="21"/>
      <c r="B372" s="10" t="s">
        <v>14</v>
      </c>
      <c r="C372" s="5" t="s">
        <v>6</v>
      </c>
      <c r="D372" s="5">
        <v>12.2</v>
      </c>
      <c r="E372" s="4">
        <f>D372*E367</f>
        <v>17.216639999999998</v>
      </c>
      <c r="F372" s="9"/>
      <c r="G372" s="85">
        <f t="shared" si="20"/>
        <v>0</v>
      </c>
      <c r="H372" s="4"/>
      <c r="I372" s="85">
        <f t="shared" si="21"/>
        <v>0</v>
      </c>
      <c r="J372" s="4"/>
      <c r="K372" s="100">
        <f t="shared" si="22"/>
        <v>0</v>
      </c>
      <c r="L372" s="85">
        <f t="shared" si="23"/>
        <v>0</v>
      </c>
    </row>
    <row r="373" spans="1:12" s="60" customFormat="1" ht="27" x14ac:dyDescent="0.35">
      <c r="A373" s="68">
        <v>54</v>
      </c>
      <c r="B373" s="36" t="s">
        <v>174</v>
      </c>
      <c r="C373" s="37" t="s">
        <v>56</v>
      </c>
      <c r="D373" s="37"/>
      <c r="E373" s="38">
        <f>5.83*2</f>
        <v>11.66</v>
      </c>
      <c r="F373" s="9"/>
      <c r="G373" s="85">
        <f t="shared" si="20"/>
        <v>0</v>
      </c>
      <c r="H373" s="4"/>
      <c r="I373" s="85">
        <f t="shared" si="21"/>
        <v>0</v>
      </c>
      <c r="J373" s="4"/>
      <c r="K373" s="100">
        <f t="shared" si="22"/>
        <v>0</v>
      </c>
      <c r="L373" s="85">
        <f t="shared" si="23"/>
        <v>0</v>
      </c>
    </row>
    <row r="374" spans="1:12" s="60" customFormat="1" x14ac:dyDescent="0.35">
      <c r="A374" s="68"/>
      <c r="B374" s="45" t="s">
        <v>39</v>
      </c>
      <c r="C374" s="46" t="s">
        <v>24</v>
      </c>
      <c r="D374" s="4">
        <v>1</v>
      </c>
      <c r="E374" s="4">
        <f>E373*D374</f>
        <v>11.66</v>
      </c>
      <c r="F374" s="9"/>
      <c r="G374" s="85">
        <f t="shared" si="20"/>
        <v>0</v>
      </c>
      <c r="H374" s="4"/>
      <c r="I374" s="85">
        <f t="shared" si="21"/>
        <v>0</v>
      </c>
      <c r="J374" s="4"/>
      <c r="K374" s="100">
        <f t="shared" si="22"/>
        <v>0</v>
      </c>
      <c r="L374" s="85">
        <f t="shared" si="23"/>
        <v>0</v>
      </c>
    </row>
    <row r="375" spans="1:12" s="60" customFormat="1" x14ac:dyDescent="0.35">
      <c r="A375" s="68"/>
      <c r="B375" s="10" t="s">
        <v>25</v>
      </c>
      <c r="C375" s="5" t="s">
        <v>6</v>
      </c>
      <c r="D375" s="5">
        <v>1.21</v>
      </c>
      <c r="E375" s="4">
        <f>E373*D375</f>
        <v>14.108599999999999</v>
      </c>
      <c r="F375" s="9"/>
      <c r="G375" s="85">
        <f t="shared" si="20"/>
        <v>0</v>
      </c>
      <c r="H375" s="4"/>
      <c r="I375" s="85">
        <f t="shared" si="21"/>
        <v>0</v>
      </c>
      <c r="J375" s="4"/>
      <c r="K375" s="100">
        <f t="shared" si="22"/>
        <v>0</v>
      </c>
      <c r="L375" s="85">
        <f t="shared" si="23"/>
        <v>0</v>
      </c>
    </row>
    <row r="376" spans="1:12" s="60" customFormat="1" x14ac:dyDescent="0.35">
      <c r="A376" s="68"/>
      <c r="B376" s="133" t="s">
        <v>80</v>
      </c>
      <c r="C376" s="130" t="s">
        <v>16</v>
      </c>
      <c r="D376" s="130">
        <v>1.0149999999999999</v>
      </c>
      <c r="E376" s="4">
        <f>E373*D376</f>
        <v>11.834899999999999</v>
      </c>
      <c r="F376" s="9"/>
      <c r="G376" s="85">
        <f t="shared" si="20"/>
        <v>0</v>
      </c>
      <c r="H376" s="4"/>
      <c r="I376" s="85">
        <f t="shared" si="21"/>
        <v>0</v>
      </c>
      <c r="J376" s="4"/>
      <c r="K376" s="100">
        <f t="shared" si="22"/>
        <v>0</v>
      </c>
      <c r="L376" s="85">
        <f t="shared" si="23"/>
        <v>0</v>
      </c>
    </row>
    <row r="377" spans="1:12" s="60" customFormat="1" x14ac:dyDescent="0.35">
      <c r="A377" s="68"/>
      <c r="B377" s="133" t="s">
        <v>68</v>
      </c>
      <c r="C377" s="130" t="s">
        <v>16</v>
      </c>
      <c r="D377" s="131">
        <v>1</v>
      </c>
      <c r="E377" s="4">
        <f>D377*E373</f>
        <v>11.66</v>
      </c>
      <c r="F377" s="9"/>
      <c r="G377" s="85">
        <f t="shared" si="20"/>
        <v>0</v>
      </c>
      <c r="H377" s="4"/>
      <c r="I377" s="85">
        <f t="shared" si="21"/>
        <v>0</v>
      </c>
      <c r="J377" s="4"/>
      <c r="K377" s="100">
        <f t="shared" si="22"/>
        <v>0</v>
      </c>
      <c r="L377" s="85">
        <f t="shared" si="23"/>
        <v>0</v>
      </c>
    </row>
    <row r="378" spans="1:12" s="60" customFormat="1" x14ac:dyDescent="0.35">
      <c r="A378" s="68"/>
      <c r="B378" s="10" t="s">
        <v>74</v>
      </c>
      <c r="C378" s="5" t="s">
        <v>17</v>
      </c>
      <c r="D378" s="5">
        <v>2.46</v>
      </c>
      <c r="E378" s="4">
        <f>D378*E373</f>
        <v>28.683599999999998</v>
      </c>
      <c r="F378" s="9"/>
      <c r="G378" s="85">
        <f t="shared" si="20"/>
        <v>0</v>
      </c>
      <c r="H378" s="4"/>
      <c r="I378" s="85">
        <f t="shared" si="21"/>
        <v>0</v>
      </c>
      <c r="J378" s="4"/>
      <c r="K378" s="100">
        <f t="shared" si="22"/>
        <v>0</v>
      </c>
      <c r="L378" s="85">
        <f t="shared" si="23"/>
        <v>0</v>
      </c>
    </row>
    <row r="379" spans="1:12" s="60" customFormat="1" x14ac:dyDescent="0.35">
      <c r="A379" s="68"/>
      <c r="B379" s="17" t="s">
        <v>75</v>
      </c>
      <c r="C379" s="5" t="s">
        <v>16</v>
      </c>
      <c r="D379" s="5">
        <v>2.3E-2</v>
      </c>
      <c r="E379" s="12">
        <f>D379*E373</f>
        <v>0.26817999999999997</v>
      </c>
      <c r="F379" s="9"/>
      <c r="G379" s="85">
        <f t="shared" si="20"/>
        <v>0</v>
      </c>
      <c r="H379" s="4"/>
      <c r="I379" s="85">
        <f t="shared" si="21"/>
        <v>0</v>
      </c>
      <c r="J379" s="4"/>
      <c r="K379" s="100">
        <f t="shared" si="22"/>
        <v>0</v>
      </c>
      <c r="L379" s="85">
        <f t="shared" si="23"/>
        <v>0</v>
      </c>
    </row>
    <row r="380" spans="1:12" s="60" customFormat="1" x14ac:dyDescent="0.35">
      <c r="A380" s="68"/>
      <c r="B380" s="27" t="s">
        <v>78</v>
      </c>
      <c r="C380" s="5" t="s">
        <v>18</v>
      </c>
      <c r="D380" s="5">
        <v>5.55</v>
      </c>
      <c r="E380" s="4">
        <f>D380*E373</f>
        <v>64.712999999999994</v>
      </c>
      <c r="F380" s="9"/>
      <c r="G380" s="85">
        <f t="shared" si="20"/>
        <v>0</v>
      </c>
      <c r="H380" s="4"/>
      <c r="I380" s="85">
        <f t="shared" si="21"/>
        <v>0</v>
      </c>
      <c r="J380" s="4"/>
      <c r="K380" s="100">
        <f t="shared" si="22"/>
        <v>0</v>
      </c>
      <c r="L380" s="85">
        <f t="shared" si="23"/>
        <v>0</v>
      </c>
    </row>
    <row r="381" spans="1:12" s="60" customFormat="1" x14ac:dyDescent="0.35">
      <c r="A381" s="68"/>
      <c r="B381" s="17" t="s">
        <v>79</v>
      </c>
      <c r="C381" s="5" t="s">
        <v>7</v>
      </c>
      <c r="D381" s="5">
        <v>3.3</v>
      </c>
      <c r="E381" s="12">
        <f>D381*E373</f>
        <v>38.478000000000002</v>
      </c>
      <c r="F381" s="9"/>
      <c r="G381" s="85">
        <f t="shared" si="20"/>
        <v>0</v>
      </c>
      <c r="H381" s="4"/>
      <c r="I381" s="85">
        <f t="shared" si="21"/>
        <v>0</v>
      </c>
      <c r="J381" s="4"/>
      <c r="K381" s="100">
        <f t="shared" si="22"/>
        <v>0</v>
      </c>
      <c r="L381" s="85">
        <f t="shared" si="23"/>
        <v>0</v>
      </c>
    </row>
    <row r="382" spans="1:12" s="60" customFormat="1" x14ac:dyDescent="0.35">
      <c r="A382" s="68"/>
      <c r="B382" s="10" t="s">
        <v>30</v>
      </c>
      <c r="C382" s="5" t="s">
        <v>6</v>
      </c>
      <c r="D382" s="5">
        <v>0.9</v>
      </c>
      <c r="E382" s="4">
        <f>D382*E373</f>
        <v>10.494</v>
      </c>
      <c r="F382" s="9"/>
      <c r="G382" s="85">
        <f t="shared" si="20"/>
        <v>0</v>
      </c>
      <c r="H382" s="4"/>
      <c r="I382" s="85">
        <f t="shared" si="21"/>
        <v>0</v>
      </c>
      <c r="J382" s="4"/>
      <c r="K382" s="100">
        <f t="shared" si="22"/>
        <v>0</v>
      </c>
      <c r="L382" s="85">
        <f t="shared" si="23"/>
        <v>0</v>
      </c>
    </row>
    <row r="383" spans="1:12" s="60" customFormat="1" x14ac:dyDescent="0.35">
      <c r="A383" s="21">
        <v>55</v>
      </c>
      <c r="B383" s="74" t="s">
        <v>70</v>
      </c>
      <c r="C383" s="39" t="s">
        <v>5</v>
      </c>
      <c r="D383" s="39"/>
      <c r="E383" s="75">
        <f>E386+E387+E388</f>
        <v>1.97295</v>
      </c>
      <c r="F383" s="9"/>
      <c r="G383" s="85">
        <f t="shared" si="20"/>
        <v>0</v>
      </c>
      <c r="H383" s="3"/>
      <c r="I383" s="85">
        <f t="shared" si="21"/>
        <v>0</v>
      </c>
      <c r="J383" s="3"/>
      <c r="K383" s="100">
        <f t="shared" si="22"/>
        <v>0</v>
      </c>
      <c r="L383" s="85">
        <f t="shared" si="23"/>
        <v>0</v>
      </c>
    </row>
    <row r="384" spans="1:12" s="60" customFormat="1" x14ac:dyDescent="0.35">
      <c r="A384" s="21"/>
      <c r="B384" s="45" t="s">
        <v>39</v>
      </c>
      <c r="C384" s="46" t="s">
        <v>5</v>
      </c>
      <c r="D384" s="4">
        <v>1</v>
      </c>
      <c r="E384" s="4">
        <f>E383*D384</f>
        <v>1.97295</v>
      </c>
      <c r="F384" s="4"/>
      <c r="G384" s="85">
        <f t="shared" si="20"/>
        <v>0</v>
      </c>
      <c r="H384" s="4"/>
      <c r="I384" s="85">
        <f t="shared" si="21"/>
        <v>0</v>
      </c>
      <c r="J384" s="4"/>
      <c r="K384" s="100">
        <f t="shared" si="22"/>
        <v>0</v>
      </c>
      <c r="L384" s="85">
        <f t="shared" si="23"/>
        <v>0</v>
      </c>
    </row>
    <row r="385" spans="1:12" s="60" customFormat="1" x14ac:dyDescent="0.35">
      <c r="A385" s="21"/>
      <c r="B385" s="10" t="s">
        <v>71</v>
      </c>
      <c r="C385" s="5" t="s">
        <v>6</v>
      </c>
      <c r="D385" s="5">
        <v>6.8</v>
      </c>
      <c r="E385" s="4">
        <f>D385*E383</f>
        <v>13.41606</v>
      </c>
      <c r="F385" s="9"/>
      <c r="G385" s="85">
        <f t="shared" si="20"/>
        <v>0</v>
      </c>
      <c r="H385" s="4"/>
      <c r="I385" s="85">
        <f t="shared" si="21"/>
        <v>0</v>
      </c>
      <c r="J385" s="4"/>
      <c r="K385" s="100">
        <f t="shared" si="22"/>
        <v>0</v>
      </c>
      <c r="L385" s="85">
        <f t="shared" si="23"/>
        <v>0</v>
      </c>
    </row>
    <row r="386" spans="1:12" s="60" customFormat="1" x14ac:dyDescent="0.35">
      <c r="A386" s="21"/>
      <c r="B386" s="129" t="s">
        <v>180</v>
      </c>
      <c r="C386" s="130" t="s">
        <v>5</v>
      </c>
      <c r="D386" s="131" t="s">
        <v>29</v>
      </c>
      <c r="E386" s="12">
        <f>0.6343*2*1.05</f>
        <v>1.33203</v>
      </c>
      <c r="F386" s="4"/>
      <c r="G386" s="85">
        <f t="shared" si="20"/>
        <v>0</v>
      </c>
      <c r="H386" s="4"/>
      <c r="I386" s="85">
        <f t="shared" si="21"/>
        <v>0</v>
      </c>
      <c r="J386" s="4"/>
      <c r="K386" s="100">
        <f t="shared" si="22"/>
        <v>0</v>
      </c>
      <c r="L386" s="85">
        <f t="shared" si="23"/>
        <v>0</v>
      </c>
    </row>
    <row r="387" spans="1:12" s="60" customFormat="1" x14ac:dyDescent="0.35">
      <c r="A387" s="21"/>
      <c r="B387" s="129" t="s">
        <v>177</v>
      </c>
      <c r="C387" s="130" t="s">
        <v>5</v>
      </c>
      <c r="D387" s="131" t="s">
        <v>29</v>
      </c>
      <c r="E387" s="12">
        <f>0.0672*2*1.05</f>
        <v>0.14112</v>
      </c>
      <c r="F387" s="4"/>
      <c r="G387" s="85">
        <f t="shared" si="20"/>
        <v>0</v>
      </c>
      <c r="H387" s="4"/>
      <c r="I387" s="85">
        <f t="shared" si="21"/>
        <v>0</v>
      </c>
      <c r="J387" s="4"/>
      <c r="K387" s="100">
        <f t="shared" si="22"/>
        <v>0</v>
      </c>
      <c r="L387" s="85">
        <f t="shared" si="23"/>
        <v>0</v>
      </c>
    </row>
    <row r="388" spans="1:12" s="60" customFormat="1" x14ac:dyDescent="0.35">
      <c r="A388" s="21"/>
      <c r="B388" s="132" t="s">
        <v>178</v>
      </c>
      <c r="C388" s="130" t="s">
        <v>5</v>
      </c>
      <c r="D388" s="131" t="s">
        <v>29</v>
      </c>
      <c r="E388" s="12">
        <f>0.238*2*1.05</f>
        <v>0.49980000000000002</v>
      </c>
      <c r="F388" s="4"/>
      <c r="G388" s="85">
        <f t="shared" si="20"/>
        <v>0</v>
      </c>
      <c r="H388" s="4"/>
      <c r="I388" s="85">
        <f t="shared" si="21"/>
        <v>0</v>
      </c>
      <c r="J388" s="4"/>
      <c r="K388" s="100">
        <f t="shared" si="22"/>
        <v>0</v>
      </c>
      <c r="L388" s="85">
        <f t="shared" si="23"/>
        <v>0</v>
      </c>
    </row>
    <row r="389" spans="1:12" s="60" customFormat="1" x14ac:dyDescent="0.35">
      <c r="A389" s="21"/>
      <c r="B389" s="10" t="s">
        <v>14</v>
      </c>
      <c r="C389" s="5" t="s">
        <v>6</v>
      </c>
      <c r="D389" s="5">
        <v>12.2</v>
      </c>
      <c r="E389" s="4">
        <f>D389*E383</f>
        <v>24.069989999999997</v>
      </c>
      <c r="F389" s="9"/>
      <c r="G389" s="85">
        <f t="shared" si="20"/>
        <v>0</v>
      </c>
      <c r="H389" s="4"/>
      <c r="I389" s="85">
        <f t="shared" si="21"/>
        <v>0</v>
      </c>
      <c r="J389" s="4"/>
      <c r="K389" s="100">
        <f t="shared" si="22"/>
        <v>0</v>
      </c>
      <c r="L389" s="85">
        <f t="shared" si="23"/>
        <v>0</v>
      </c>
    </row>
    <row r="390" spans="1:12" s="60" customFormat="1" ht="27" x14ac:dyDescent="0.35">
      <c r="A390" s="68">
        <v>56</v>
      </c>
      <c r="B390" s="36" t="s">
        <v>179</v>
      </c>
      <c r="C390" s="37" t="s">
        <v>56</v>
      </c>
      <c r="D390" s="37"/>
      <c r="E390" s="38">
        <f>5.83*2</f>
        <v>11.66</v>
      </c>
      <c r="F390" s="9"/>
      <c r="G390" s="85">
        <f t="shared" si="20"/>
        <v>0</v>
      </c>
      <c r="H390" s="4"/>
      <c r="I390" s="85">
        <f t="shared" si="21"/>
        <v>0</v>
      </c>
      <c r="J390" s="4"/>
      <c r="K390" s="100">
        <f t="shared" si="22"/>
        <v>0</v>
      </c>
      <c r="L390" s="85">
        <f t="shared" si="23"/>
        <v>0</v>
      </c>
    </row>
    <row r="391" spans="1:12" s="60" customFormat="1" x14ac:dyDescent="0.35">
      <c r="A391" s="68"/>
      <c r="B391" s="45" t="s">
        <v>39</v>
      </c>
      <c r="C391" s="46" t="s">
        <v>24</v>
      </c>
      <c r="D391" s="4">
        <v>1</v>
      </c>
      <c r="E391" s="4">
        <f>E390*D391</f>
        <v>11.66</v>
      </c>
      <c r="F391" s="9"/>
      <c r="G391" s="85">
        <f t="shared" si="20"/>
        <v>0</v>
      </c>
      <c r="H391" s="4"/>
      <c r="I391" s="85">
        <f t="shared" si="21"/>
        <v>0</v>
      </c>
      <c r="J391" s="4"/>
      <c r="K391" s="100">
        <f t="shared" si="22"/>
        <v>0</v>
      </c>
      <c r="L391" s="85">
        <f t="shared" si="23"/>
        <v>0</v>
      </c>
    </row>
    <row r="392" spans="1:12" s="60" customFormat="1" x14ac:dyDescent="0.35">
      <c r="A392" s="68"/>
      <c r="B392" s="133" t="s">
        <v>25</v>
      </c>
      <c r="C392" s="130" t="s">
        <v>6</v>
      </c>
      <c r="D392" s="130">
        <v>1.21</v>
      </c>
      <c r="E392" s="4">
        <f>E390*D392</f>
        <v>14.108599999999999</v>
      </c>
      <c r="F392" s="9"/>
      <c r="G392" s="85">
        <f t="shared" si="20"/>
        <v>0</v>
      </c>
      <c r="H392" s="4"/>
      <c r="I392" s="85">
        <f t="shared" si="21"/>
        <v>0</v>
      </c>
      <c r="J392" s="4"/>
      <c r="K392" s="100">
        <f t="shared" si="22"/>
        <v>0</v>
      </c>
      <c r="L392" s="85">
        <f t="shared" si="23"/>
        <v>0</v>
      </c>
    </row>
    <row r="393" spans="1:12" s="60" customFormat="1" x14ac:dyDescent="0.35">
      <c r="A393" s="68"/>
      <c r="B393" s="133" t="s">
        <v>80</v>
      </c>
      <c r="C393" s="130" t="s">
        <v>16</v>
      </c>
      <c r="D393" s="130">
        <v>1.0149999999999999</v>
      </c>
      <c r="E393" s="4">
        <f>E390*D393</f>
        <v>11.834899999999999</v>
      </c>
      <c r="F393" s="9"/>
      <c r="G393" s="85">
        <f t="shared" si="20"/>
        <v>0</v>
      </c>
      <c r="H393" s="4"/>
      <c r="I393" s="85">
        <f t="shared" si="21"/>
        <v>0</v>
      </c>
      <c r="J393" s="4"/>
      <c r="K393" s="100">
        <f t="shared" si="22"/>
        <v>0</v>
      </c>
      <c r="L393" s="85">
        <f t="shared" si="23"/>
        <v>0</v>
      </c>
    </row>
    <row r="394" spans="1:12" s="60" customFormat="1" x14ac:dyDescent="0.35">
      <c r="A394" s="68"/>
      <c r="B394" s="10" t="s">
        <v>68</v>
      </c>
      <c r="C394" s="5" t="s">
        <v>16</v>
      </c>
      <c r="D394" s="4">
        <v>1</v>
      </c>
      <c r="E394" s="4">
        <f>D394*E390</f>
        <v>11.66</v>
      </c>
      <c r="F394" s="9"/>
      <c r="G394" s="85">
        <f t="shared" si="20"/>
        <v>0</v>
      </c>
      <c r="H394" s="4"/>
      <c r="I394" s="85">
        <f t="shared" si="21"/>
        <v>0</v>
      </c>
      <c r="J394" s="4"/>
      <c r="K394" s="100">
        <f t="shared" si="22"/>
        <v>0</v>
      </c>
      <c r="L394" s="85">
        <f t="shared" si="23"/>
        <v>0</v>
      </c>
    </row>
    <row r="395" spans="1:12" s="60" customFormat="1" x14ac:dyDescent="0.35">
      <c r="A395" s="68"/>
      <c r="B395" s="10" t="s">
        <v>74</v>
      </c>
      <c r="C395" s="5" t="s">
        <v>17</v>
      </c>
      <c r="D395" s="5">
        <v>2.46</v>
      </c>
      <c r="E395" s="4">
        <f>D395*E390</f>
        <v>28.683599999999998</v>
      </c>
      <c r="F395" s="9"/>
      <c r="G395" s="85">
        <f t="shared" si="20"/>
        <v>0</v>
      </c>
      <c r="H395" s="4"/>
      <c r="I395" s="85">
        <f t="shared" si="21"/>
        <v>0</v>
      </c>
      <c r="J395" s="4"/>
      <c r="K395" s="100">
        <f t="shared" si="22"/>
        <v>0</v>
      </c>
      <c r="L395" s="85">
        <f t="shared" si="23"/>
        <v>0</v>
      </c>
    </row>
    <row r="396" spans="1:12" s="60" customFormat="1" x14ac:dyDescent="0.35">
      <c r="A396" s="68"/>
      <c r="B396" s="17" t="s">
        <v>75</v>
      </c>
      <c r="C396" s="5" t="s">
        <v>16</v>
      </c>
      <c r="D396" s="5">
        <v>2.3E-2</v>
      </c>
      <c r="E396" s="12">
        <f>D396*E390</f>
        <v>0.26817999999999997</v>
      </c>
      <c r="F396" s="9"/>
      <c r="G396" s="85">
        <f t="shared" ref="G396:G459" si="24">F396*E396</f>
        <v>0</v>
      </c>
      <c r="H396" s="4"/>
      <c r="I396" s="85">
        <f t="shared" ref="I396:I459" si="25">H396*E396</f>
        <v>0</v>
      </c>
      <c r="J396" s="4"/>
      <c r="K396" s="100">
        <f t="shared" ref="K396:K459" si="26">J396*E396</f>
        <v>0</v>
      </c>
      <c r="L396" s="85">
        <f t="shared" ref="L396:L459" si="27">K396+I396+G396</f>
        <v>0</v>
      </c>
    </row>
    <row r="397" spans="1:12" s="60" customFormat="1" x14ac:dyDescent="0.35">
      <c r="A397" s="68"/>
      <c r="B397" s="27" t="s">
        <v>78</v>
      </c>
      <c r="C397" s="5" t="s">
        <v>18</v>
      </c>
      <c r="D397" s="5">
        <v>5.55</v>
      </c>
      <c r="E397" s="4">
        <f>D397*E390</f>
        <v>64.712999999999994</v>
      </c>
      <c r="F397" s="9"/>
      <c r="G397" s="85">
        <f t="shared" si="24"/>
        <v>0</v>
      </c>
      <c r="H397" s="4"/>
      <c r="I397" s="85">
        <f t="shared" si="25"/>
        <v>0</v>
      </c>
      <c r="J397" s="4"/>
      <c r="K397" s="100">
        <f t="shared" si="26"/>
        <v>0</v>
      </c>
      <c r="L397" s="85">
        <f t="shared" si="27"/>
        <v>0</v>
      </c>
    </row>
    <row r="398" spans="1:12" s="60" customFormat="1" x14ac:dyDescent="0.35">
      <c r="A398" s="68"/>
      <c r="B398" s="17" t="s">
        <v>79</v>
      </c>
      <c r="C398" s="5" t="s">
        <v>7</v>
      </c>
      <c r="D398" s="5">
        <v>3.3</v>
      </c>
      <c r="E398" s="12">
        <f>D398*E390</f>
        <v>38.478000000000002</v>
      </c>
      <c r="F398" s="9"/>
      <c r="G398" s="85">
        <f t="shared" si="24"/>
        <v>0</v>
      </c>
      <c r="H398" s="4"/>
      <c r="I398" s="85">
        <f t="shared" si="25"/>
        <v>0</v>
      </c>
      <c r="J398" s="4"/>
      <c r="K398" s="100">
        <f t="shared" si="26"/>
        <v>0</v>
      </c>
      <c r="L398" s="85">
        <f t="shared" si="27"/>
        <v>0</v>
      </c>
    </row>
    <row r="399" spans="1:12" s="60" customFormat="1" x14ac:dyDescent="0.35">
      <c r="A399" s="68"/>
      <c r="B399" s="10" t="s">
        <v>30</v>
      </c>
      <c r="C399" s="5" t="s">
        <v>6</v>
      </c>
      <c r="D399" s="5">
        <v>0.9</v>
      </c>
      <c r="E399" s="4">
        <f>D399*E390</f>
        <v>10.494</v>
      </c>
      <c r="F399" s="9"/>
      <c r="G399" s="85">
        <f t="shared" si="24"/>
        <v>0</v>
      </c>
      <c r="H399" s="4"/>
      <c r="I399" s="85">
        <f t="shared" si="25"/>
        <v>0</v>
      </c>
      <c r="J399" s="4"/>
      <c r="K399" s="100">
        <f t="shared" si="26"/>
        <v>0</v>
      </c>
      <c r="L399" s="85">
        <f t="shared" si="27"/>
        <v>0</v>
      </c>
    </row>
    <row r="400" spans="1:12" s="60" customFormat="1" x14ac:dyDescent="0.35">
      <c r="A400" s="21">
        <v>57</v>
      </c>
      <c r="B400" s="74" t="s">
        <v>70</v>
      </c>
      <c r="C400" s="39" t="s">
        <v>5</v>
      </c>
      <c r="D400" s="39"/>
      <c r="E400" s="75">
        <f>E403+E404</f>
        <v>1.9746300000000001</v>
      </c>
      <c r="F400" s="9"/>
      <c r="G400" s="85">
        <f t="shared" si="24"/>
        <v>0</v>
      </c>
      <c r="H400" s="3"/>
      <c r="I400" s="85">
        <f t="shared" si="25"/>
        <v>0</v>
      </c>
      <c r="J400" s="3"/>
      <c r="K400" s="100">
        <f t="shared" si="26"/>
        <v>0</v>
      </c>
      <c r="L400" s="85">
        <f t="shared" si="27"/>
        <v>0</v>
      </c>
    </row>
    <row r="401" spans="1:12" s="60" customFormat="1" x14ac:dyDescent="0.35">
      <c r="A401" s="21"/>
      <c r="B401" s="45" t="s">
        <v>39</v>
      </c>
      <c r="C401" s="46" t="s">
        <v>5</v>
      </c>
      <c r="D401" s="4">
        <v>1</v>
      </c>
      <c r="E401" s="4">
        <f>E400*D401</f>
        <v>1.9746300000000001</v>
      </c>
      <c r="F401" s="4"/>
      <c r="G401" s="85">
        <f t="shared" si="24"/>
        <v>0</v>
      </c>
      <c r="H401" s="4"/>
      <c r="I401" s="85">
        <f t="shared" si="25"/>
        <v>0</v>
      </c>
      <c r="J401" s="4"/>
      <c r="K401" s="100">
        <f t="shared" si="26"/>
        <v>0</v>
      </c>
      <c r="L401" s="85">
        <f t="shared" si="27"/>
        <v>0</v>
      </c>
    </row>
    <row r="402" spans="1:12" s="60" customFormat="1" x14ac:dyDescent="0.35">
      <c r="A402" s="21"/>
      <c r="B402" s="10" t="s">
        <v>71</v>
      </c>
      <c r="C402" s="5" t="s">
        <v>6</v>
      </c>
      <c r="D402" s="5">
        <v>6.8</v>
      </c>
      <c r="E402" s="4">
        <f>D402*E400</f>
        <v>13.427484</v>
      </c>
      <c r="F402" s="9"/>
      <c r="G402" s="85">
        <f t="shared" si="24"/>
        <v>0</v>
      </c>
      <c r="H402" s="4"/>
      <c r="I402" s="85">
        <f t="shared" si="25"/>
        <v>0</v>
      </c>
      <c r="J402" s="4"/>
      <c r="K402" s="100">
        <f t="shared" si="26"/>
        <v>0</v>
      </c>
      <c r="L402" s="85">
        <f t="shared" si="27"/>
        <v>0</v>
      </c>
    </row>
    <row r="403" spans="1:12" s="60" customFormat="1" x14ac:dyDescent="0.35">
      <c r="A403" s="21"/>
      <c r="B403" s="129" t="s">
        <v>181</v>
      </c>
      <c r="C403" s="130" t="s">
        <v>5</v>
      </c>
      <c r="D403" s="131" t="s">
        <v>29</v>
      </c>
      <c r="E403" s="12">
        <f>0.7023*2*1.05</f>
        <v>1.4748300000000001</v>
      </c>
      <c r="F403" s="4"/>
      <c r="G403" s="85">
        <f t="shared" si="24"/>
        <v>0</v>
      </c>
      <c r="H403" s="4"/>
      <c r="I403" s="85">
        <f t="shared" si="25"/>
        <v>0</v>
      </c>
      <c r="J403" s="4"/>
      <c r="K403" s="100">
        <f t="shared" si="26"/>
        <v>0</v>
      </c>
      <c r="L403" s="85">
        <f t="shared" si="27"/>
        <v>0</v>
      </c>
    </row>
    <row r="404" spans="1:12" s="60" customFormat="1" x14ac:dyDescent="0.35">
      <c r="A404" s="21"/>
      <c r="B404" s="132" t="s">
        <v>178</v>
      </c>
      <c r="C404" s="130" t="s">
        <v>5</v>
      </c>
      <c r="D404" s="131" t="s">
        <v>29</v>
      </c>
      <c r="E404" s="12">
        <f>0.238*2*1.05</f>
        <v>0.49980000000000002</v>
      </c>
      <c r="F404" s="4"/>
      <c r="G404" s="85">
        <f t="shared" si="24"/>
        <v>0</v>
      </c>
      <c r="H404" s="4"/>
      <c r="I404" s="85">
        <f t="shared" si="25"/>
        <v>0</v>
      </c>
      <c r="J404" s="4"/>
      <c r="K404" s="100">
        <f t="shared" si="26"/>
        <v>0</v>
      </c>
      <c r="L404" s="85">
        <f t="shared" si="27"/>
        <v>0</v>
      </c>
    </row>
    <row r="405" spans="1:12" s="60" customFormat="1" x14ac:dyDescent="0.35">
      <c r="A405" s="21"/>
      <c r="B405" s="10" t="s">
        <v>14</v>
      </c>
      <c r="C405" s="5" t="s">
        <v>6</v>
      </c>
      <c r="D405" s="5">
        <v>12.2</v>
      </c>
      <c r="E405" s="4">
        <f>D405*E400</f>
        <v>24.090485999999999</v>
      </c>
      <c r="F405" s="9"/>
      <c r="G405" s="85">
        <f t="shared" si="24"/>
        <v>0</v>
      </c>
      <c r="H405" s="4"/>
      <c r="I405" s="85">
        <f t="shared" si="25"/>
        <v>0</v>
      </c>
      <c r="J405" s="4"/>
      <c r="K405" s="100">
        <f t="shared" si="26"/>
        <v>0</v>
      </c>
      <c r="L405" s="85">
        <f t="shared" si="27"/>
        <v>0</v>
      </c>
    </row>
    <row r="406" spans="1:12" s="60" customFormat="1" ht="27" x14ac:dyDescent="0.35">
      <c r="A406" s="68">
        <v>58</v>
      </c>
      <c r="B406" s="36" t="s">
        <v>182</v>
      </c>
      <c r="C406" s="37" t="s">
        <v>56</v>
      </c>
      <c r="D406" s="37"/>
      <c r="E406" s="38">
        <f>5.65*2</f>
        <v>11.3</v>
      </c>
      <c r="F406" s="9"/>
      <c r="G406" s="85">
        <f t="shared" si="24"/>
        <v>0</v>
      </c>
      <c r="H406" s="4"/>
      <c r="I406" s="85">
        <f t="shared" si="25"/>
        <v>0</v>
      </c>
      <c r="J406" s="4"/>
      <c r="K406" s="100">
        <f t="shared" si="26"/>
        <v>0</v>
      </c>
      <c r="L406" s="85">
        <f t="shared" si="27"/>
        <v>0</v>
      </c>
    </row>
    <row r="407" spans="1:12" s="60" customFormat="1" x14ac:dyDescent="0.35">
      <c r="A407" s="68"/>
      <c r="B407" s="45" t="s">
        <v>39</v>
      </c>
      <c r="C407" s="46" t="s">
        <v>24</v>
      </c>
      <c r="D407" s="4">
        <v>1</v>
      </c>
      <c r="E407" s="4">
        <f>E406*D407</f>
        <v>11.3</v>
      </c>
      <c r="F407" s="9"/>
      <c r="G407" s="85">
        <f t="shared" si="24"/>
        <v>0</v>
      </c>
      <c r="H407" s="4"/>
      <c r="I407" s="85">
        <f t="shared" si="25"/>
        <v>0</v>
      </c>
      <c r="J407" s="4"/>
      <c r="K407" s="100">
        <f t="shared" si="26"/>
        <v>0</v>
      </c>
      <c r="L407" s="85">
        <f t="shared" si="27"/>
        <v>0</v>
      </c>
    </row>
    <row r="408" spans="1:12" s="60" customFormat="1" x14ac:dyDescent="0.35">
      <c r="A408" s="68"/>
      <c r="B408" s="10" t="s">
        <v>25</v>
      </c>
      <c r="C408" s="5" t="s">
        <v>6</v>
      </c>
      <c r="D408" s="5">
        <v>1.21</v>
      </c>
      <c r="E408" s="4">
        <f>E406*D408</f>
        <v>13.673</v>
      </c>
      <c r="F408" s="9"/>
      <c r="G408" s="85">
        <f t="shared" si="24"/>
        <v>0</v>
      </c>
      <c r="H408" s="4"/>
      <c r="I408" s="85">
        <f t="shared" si="25"/>
        <v>0</v>
      </c>
      <c r="J408" s="4"/>
      <c r="K408" s="100">
        <f t="shared" si="26"/>
        <v>0</v>
      </c>
      <c r="L408" s="85">
        <f t="shared" si="27"/>
        <v>0</v>
      </c>
    </row>
    <row r="409" spans="1:12" s="60" customFormat="1" x14ac:dyDescent="0.35">
      <c r="A409" s="68"/>
      <c r="B409" s="133" t="s">
        <v>80</v>
      </c>
      <c r="C409" s="130" t="s">
        <v>16</v>
      </c>
      <c r="D409" s="130">
        <v>1.0149999999999999</v>
      </c>
      <c r="E409" s="4">
        <f>E406*D409</f>
        <v>11.4695</v>
      </c>
      <c r="F409" s="9"/>
      <c r="G409" s="85">
        <f t="shared" si="24"/>
        <v>0</v>
      </c>
      <c r="H409" s="4"/>
      <c r="I409" s="85">
        <f t="shared" si="25"/>
        <v>0</v>
      </c>
      <c r="J409" s="4"/>
      <c r="K409" s="100">
        <f t="shared" si="26"/>
        <v>0</v>
      </c>
      <c r="L409" s="85">
        <f t="shared" si="27"/>
        <v>0</v>
      </c>
    </row>
    <row r="410" spans="1:12" s="60" customFormat="1" x14ac:dyDescent="0.35">
      <c r="A410" s="68"/>
      <c r="B410" s="133" t="s">
        <v>68</v>
      </c>
      <c r="C410" s="130" t="s">
        <v>16</v>
      </c>
      <c r="D410" s="131">
        <v>1</v>
      </c>
      <c r="E410" s="4">
        <f>D410*E406</f>
        <v>11.3</v>
      </c>
      <c r="F410" s="9"/>
      <c r="G410" s="85">
        <f t="shared" si="24"/>
        <v>0</v>
      </c>
      <c r="H410" s="4"/>
      <c r="I410" s="85">
        <f t="shared" si="25"/>
        <v>0</v>
      </c>
      <c r="J410" s="4"/>
      <c r="K410" s="100">
        <f t="shared" si="26"/>
        <v>0</v>
      </c>
      <c r="L410" s="85">
        <f t="shared" si="27"/>
        <v>0</v>
      </c>
    </row>
    <row r="411" spans="1:12" s="60" customFormat="1" x14ac:dyDescent="0.35">
      <c r="A411" s="68"/>
      <c r="B411" s="10" t="s">
        <v>74</v>
      </c>
      <c r="C411" s="5" t="s">
        <v>17</v>
      </c>
      <c r="D411" s="5">
        <v>2.46</v>
      </c>
      <c r="E411" s="4">
        <f>D411*E406</f>
        <v>27.798000000000002</v>
      </c>
      <c r="F411" s="9"/>
      <c r="G411" s="85">
        <f t="shared" si="24"/>
        <v>0</v>
      </c>
      <c r="H411" s="4"/>
      <c r="I411" s="85">
        <f t="shared" si="25"/>
        <v>0</v>
      </c>
      <c r="J411" s="4"/>
      <c r="K411" s="100">
        <f t="shared" si="26"/>
        <v>0</v>
      </c>
      <c r="L411" s="85">
        <f t="shared" si="27"/>
        <v>0</v>
      </c>
    </row>
    <row r="412" spans="1:12" s="60" customFormat="1" x14ac:dyDescent="0.35">
      <c r="A412" s="68"/>
      <c r="B412" s="17" t="s">
        <v>75</v>
      </c>
      <c r="C412" s="5" t="s">
        <v>16</v>
      </c>
      <c r="D412" s="5">
        <v>2.3E-2</v>
      </c>
      <c r="E412" s="12">
        <f>D412*E406</f>
        <v>0.25990000000000002</v>
      </c>
      <c r="F412" s="9"/>
      <c r="G412" s="85">
        <f t="shared" si="24"/>
        <v>0</v>
      </c>
      <c r="H412" s="4"/>
      <c r="I412" s="85">
        <f t="shared" si="25"/>
        <v>0</v>
      </c>
      <c r="J412" s="4"/>
      <c r="K412" s="100">
        <f t="shared" si="26"/>
        <v>0</v>
      </c>
      <c r="L412" s="85">
        <f t="shared" si="27"/>
        <v>0</v>
      </c>
    </row>
    <row r="413" spans="1:12" s="60" customFormat="1" x14ac:dyDescent="0.35">
      <c r="A413" s="68"/>
      <c r="B413" s="27" t="s">
        <v>78</v>
      </c>
      <c r="C413" s="5" t="s">
        <v>18</v>
      </c>
      <c r="D413" s="5">
        <v>5.55</v>
      </c>
      <c r="E413" s="4">
        <f>D413*E406</f>
        <v>62.715000000000003</v>
      </c>
      <c r="F413" s="9"/>
      <c r="G413" s="85">
        <f t="shared" si="24"/>
        <v>0</v>
      </c>
      <c r="H413" s="4"/>
      <c r="I413" s="85">
        <f t="shared" si="25"/>
        <v>0</v>
      </c>
      <c r="J413" s="4"/>
      <c r="K413" s="100">
        <f t="shared" si="26"/>
        <v>0</v>
      </c>
      <c r="L413" s="85">
        <f t="shared" si="27"/>
        <v>0</v>
      </c>
    </row>
    <row r="414" spans="1:12" s="60" customFormat="1" x14ac:dyDescent="0.35">
      <c r="A414" s="68"/>
      <c r="B414" s="17" t="s">
        <v>79</v>
      </c>
      <c r="C414" s="5" t="s">
        <v>7</v>
      </c>
      <c r="D414" s="5">
        <v>3.3</v>
      </c>
      <c r="E414" s="12">
        <f>D414*E406</f>
        <v>37.29</v>
      </c>
      <c r="F414" s="9"/>
      <c r="G414" s="85">
        <f t="shared" si="24"/>
        <v>0</v>
      </c>
      <c r="H414" s="4"/>
      <c r="I414" s="85">
        <f t="shared" si="25"/>
        <v>0</v>
      </c>
      <c r="J414" s="4"/>
      <c r="K414" s="100">
        <f t="shared" si="26"/>
        <v>0</v>
      </c>
      <c r="L414" s="85">
        <f t="shared" si="27"/>
        <v>0</v>
      </c>
    </row>
    <row r="415" spans="1:12" s="60" customFormat="1" x14ac:dyDescent="0.35">
      <c r="A415" s="68"/>
      <c r="B415" s="10" t="s">
        <v>30</v>
      </c>
      <c r="C415" s="5" t="s">
        <v>6</v>
      </c>
      <c r="D415" s="5">
        <v>0.9</v>
      </c>
      <c r="E415" s="4">
        <f>D415*E406</f>
        <v>10.170000000000002</v>
      </c>
      <c r="F415" s="9"/>
      <c r="G415" s="85">
        <f t="shared" si="24"/>
        <v>0</v>
      </c>
      <c r="H415" s="4"/>
      <c r="I415" s="85">
        <f t="shared" si="25"/>
        <v>0</v>
      </c>
      <c r="J415" s="4"/>
      <c r="K415" s="100">
        <f t="shared" si="26"/>
        <v>0</v>
      </c>
      <c r="L415" s="85">
        <f t="shared" si="27"/>
        <v>0</v>
      </c>
    </row>
    <row r="416" spans="1:12" s="60" customFormat="1" x14ac:dyDescent="0.35">
      <c r="A416" s="21">
        <v>59</v>
      </c>
      <c r="B416" s="74" t="s">
        <v>70</v>
      </c>
      <c r="C416" s="39" t="s">
        <v>5</v>
      </c>
      <c r="D416" s="39"/>
      <c r="E416" s="75">
        <f>E419+E420+E421</f>
        <v>1.8757200000000001</v>
      </c>
      <c r="F416" s="9"/>
      <c r="G416" s="85">
        <f t="shared" si="24"/>
        <v>0</v>
      </c>
      <c r="H416" s="3"/>
      <c r="I416" s="85">
        <f t="shared" si="25"/>
        <v>0</v>
      </c>
      <c r="J416" s="3"/>
      <c r="K416" s="100">
        <f t="shared" si="26"/>
        <v>0</v>
      </c>
      <c r="L416" s="85">
        <f t="shared" si="27"/>
        <v>0</v>
      </c>
    </row>
    <row r="417" spans="1:12" s="60" customFormat="1" x14ac:dyDescent="0.35">
      <c r="A417" s="21"/>
      <c r="B417" s="45" t="s">
        <v>39</v>
      </c>
      <c r="C417" s="46" t="s">
        <v>5</v>
      </c>
      <c r="D417" s="4">
        <v>1</v>
      </c>
      <c r="E417" s="4">
        <f>E416*D417</f>
        <v>1.8757200000000001</v>
      </c>
      <c r="F417" s="4"/>
      <c r="G417" s="85">
        <f t="shared" si="24"/>
        <v>0</v>
      </c>
      <c r="H417" s="4"/>
      <c r="I417" s="85">
        <f t="shared" si="25"/>
        <v>0</v>
      </c>
      <c r="J417" s="4"/>
      <c r="K417" s="100">
        <f t="shared" si="26"/>
        <v>0</v>
      </c>
      <c r="L417" s="85">
        <f t="shared" si="27"/>
        <v>0</v>
      </c>
    </row>
    <row r="418" spans="1:12" s="60" customFormat="1" x14ac:dyDescent="0.35">
      <c r="A418" s="21"/>
      <c r="B418" s="10" t="s">
        <v>71</v>
      </c>
      <c r="C418" s="5" t="s">
        <v>6</v>
      </c>
      <c r="D418" s="5">
        <v>6.8</v>
      </c>
      <c r="E418" s="4">
        <f>D418*E416</f>
        <v>12.754896</v>
      </c>
      <c r="F418" s="9"/>
      <c r="G418" s="85">
        <f t="shared" si="24"/>
        <v>0</v>
      </c>
      <c r="H418" s="4"/>
      <c r="I418" s="85">
        <f t="shared" si="25"/>
        <v>0</v>
      </c>
      <c r="J418" s="4"/>
      <c r="K418" s="100">
        <f t="shared" si="26"/>
        <v>0</v>
      </c>
      <c r="L418" s="85">
        <f t="shared" si="27"/>
        <v>0</v>
      </c>
    </row>
    <row r="419" spans="1:12" s="60" customFormat="1" x14ac:dyDescent="0.35">
      <c r="A419" s="21"/>
      <c r="B419" s="129" t="s">
        <v>183</v>
      </c>
      <c r="C419" s="130" t="s">
        <v>5</v>
      </c>
      <c r="D419" s="131" t="s">
        <v>29</v>
      </c>
      <c r="E419" s="12">
        <f>0.596*2*1.05</f>
        <v>1.2516</v>
      </c>
      <c r="F419" s="4"/>
      <c r="G419" s="85">
        <f t="shared" si="24"/>
        <v>0</v>
      </c>
      <c r="H419" s="4"/>
      <c r="I419" s="85">
        <f t="shared" si="25"/>
        <v>0</v>
      </c>
      <c r="J419" s="4"/>
      <c r="K419" s="100">
        <f t="shared" si="26"/>
        <v>0</v>
      </c>
      <c r="L419" s="85">
        <f t="shared" si="27"/>
        <v>0</v>
      </c>
    </row>
    <row r="420" spans="1:12" s="60" customFormat="1" x14ac:dyDescent="0.35">
      <c r="A420" s="21"/>
      <c r="B420" s="129" t="s">
        <v>184</v>
      </c>
      <c r="C420" s="130" t="s">
        <v>5</v>
      </c>
      <c r="D420" s="131" t="s">
        <v>29</v>
      </c>
      <c r="E420" s="12">
        <f>0.0672*2*1.05</f>
        <v>0.14112</v>
      </c>
      <c r="F420" s="4"/>
      <c r="G420" s="85">
        <f t="shared" si="24"/>
        <v>0</v>
      </c>
      <c r="H420" s="4"/>
      <c r="I420" s="85">
        <f t="shared" si="25"/>
        <v>0</v>
      </c>
      <c r="J420" s="4"/>
      <c r="K420" s="100">
        <f t="shared" si="26"/>
        <v>0</v>
      </c>
      <c r="L420" s="85">
        <f t="shared" si="27"/>
        <v>0</v>
      </c>
    </row>
    <row r="421" spans="1:12" s="60" customFormat="1" x14ac:dyDescent="0.35">
      <c r="A421" s="21"/>
      <c r="B421" s="132" t="s">
        <v>185</v>
      </c>
      <c r="C421" s="130" t="s">
        <v>5</v>
      </c>
      <c r="D421" s="131" t="s">
        <v>29</v>
      </c>
      <c r="E421" s="12">
        <f>0.23*2*1.05</f>
        <v>0.48300000000000004</v>
      </c>
      <c r="F421" s="4"/>
      <c r="G421" s="85">
        <f t="shared" si="24"/>
        <v>0</v>
      </c>
      <c r="H421" s="4"/>
      <c r="I421" s="85">
        <f t="shared" si="25"/>
        <v>0</v>
      </c>
      <c r="J421" s="4"/>
      <c r="K421" s="100">
        <f t="shared" si="26"/>
        <v>0</v>
      </c>
      <c r="L421" s="85">
        <f t="shared" si="27"/>
        <v>0</v>
      </c>
    </row>
    <row r="422" spans="1:12" s="60" customFormat="1" x14ac:dyDescent="0.35">
      <c r="A422" s="21"/>
      <c r="B422" s="10" t="s">
        <v>14</v>
      </c>
      <c r="C422" s="5" t="s">
        <v>6</v>
      </c>
      <c r="D422" s="5">
        <v>12.2</v>
      </c>
      <c r="E422" s="4">
        <f>D422*E416</f>
        <v>22.883783999999999</v>
      </c>
      <c r="F422" s="9"/>
      <c r="G422" s="85">
        <f t="shared" si="24"/>
        <v>0</v>
      </c>
      <c r="H422" s="4"/>
      <c r="I422" s="85">
        <f t="shared" si="25"/>
        <v>0</v>
      </c>
      <c r="J422" s="4"/>
      <c r="K422" s="100">
        <f t="shared" si="26"/>
        <v>0</v>
      </c>
      <c r="L422" s="85">
        <f t="shared" si="27"/>
        <v>0</v>
      </c>
    </row>
    <row r="423" spans="1:12" s="60" customFormat="1" ht="27" x14ac:dyDescent="0.35">
      <c r="A423" s="68">
        <v>60</v>
      </c>
      <c r="B423" s="36" t="s">
        <v>200</v>
      </c>
      <c r="C423" s="37" t="s">
        <v>56</v>
      </c>
      <c r="D423" s="37"/>
      <c r="E423" s="38">
        <v>2.0499999999999998</v>
      </c>
      <c r="F423" s="9"/>
      <c r="G423" s="85">
        <f t="shared" si="24"/>
        <v>0</v>
      </c>
      <c r="H423" s="4"/>
      <c r="I423" s="85">
        <f t="shared" si="25"/>
        <v>0</v>
      </c>
      <c r="J423" s="4"/>
      <c r="K423" s="100">
        <f t="shared" si="26"/>
        <v>0</v>
      </c>
      <c r="L423" s="85">
        <f t="shared" si="27"/>
        <v>0</v>
      </c>
    </row>
    <row r="424" spans="1:12" s="60" customFormat="1" x14ac:dyDescent="0.35">
      <c r="A424" s="68"/>
      <c r="B424" s="45" t="s">
        <v>39</v>
      </c>
      <c r="C424" s="46" t="s">
        <v>24</v>
      </c>
      <c r="D424" s="4">
        <v>1</v>
      </c>
      <c r="E424" s="4">
        <f>E423*D424</f>
        <v>2.0499999999999998</v>
      </c>
      <c r="F424" s="9"/>
      <c r="G424" s="85">
        <f t="shared" si="24"/>
        <v>0</v>
      </c>
      <c r="H424" s="4"/>
      <c r="I424" s="85">
        <f t="shared" si="25"/>
        <v>0</v>
      </c>
      <c r="J424" s="4"/>
      <c r="K424" s="100">
        <f t="shared" si="26"/>
        <v>0</v>
      </c>
      <c r="L424" s="85">
        <f t="shared" si="27"/>
        <v>0</v>
      </c>
    </row>
    <row r="425" spans="1:12" s="60" customFormat="1" x14ac:dyDescent="0.35">
      <c r="A425" s="68"/>
      <c r="B425" s="10" t="s">
        <v>25</v>
      </c>
      <c r="C425" s="5" t="s">
        <v>6</v>
      </c>
      <c r="D425" s="5">
        <v>1.21</v>
      </c>
      <c r="E425" s="4">
        <f>E423*D425</f>
        <v>2.4804999999999997</v>
      </c>
      <c r="F425" s="9"/>
      <c r="G425" s="85">
        <f t="shared" si="24"/>
        <v>0</v>
      </c>
      <c r="H425" s="4"/>
      <c r="I425" s="85">
        <f t="shared" si="25"/>
        <v>0</v>
      </c>
      <c r="J425" s="4"/>
      <c r="K425" s="100">
        <f t="shared" si="26"/>
        <v>0</v>
      </c>
      <c r="L425" s="85">
        <f t="shared" si="27"/>
        <v>0</v>
      </c>
    </row>
    <row r="426" spans="1:12" s="60" customFormat="1" x14ac:dyDescent="0.35">
      <c r="A426" s="68"/>
      <c r="B426" s="133" t="s">
        <v>80</v>
      </c>
      <c r="C426" s="130" t="s">
        <v>16</v>
      </c>
      <c r="D426" s="130">
        <v>1.0149999999999999</v>
      </c>
      <c r="E426" s="4">
        <f>E423*D426</f>
        <v>2.0807499999999997</v>
      </c>
      <c r="F426" s="9"/>
      <c r="G426" s="85">
        <f t="shared" si="24"/>
        <v>0</v>
      </c>
      <c r="H426" s="4"/>
      <c r="I426" s="85">
        <f t="shared" si="25"/>
        <v>0</v>
      </c>
      <c r="J426" s="4"/>
      <c r="K426" s="100">
        <f t="shared" si="26"/>
        <v>0</v>
      </c>
      <c r="L426" s="85">
        <f t="shared" si="27"/>
        <v>0</v>
      </c>
    </row>
    <row r="427" spans="1:12" s="60" customFormat="1" x14ac:dyDescent="0.35">
      <c r="A427" s="68"/>
      <c r="B427" s="133" t="s">
        <v>68</v>
      </c>
      <c r="C427" s="130" t="s">
        <v>16</v>
      </c>
      <c r="D427" s="131">
        <v>1</v>
      </c>
      <c r="E427" s="4">
        <f>D427*E423</f>
        <v>2.0499999999999998</v>
      </c>
      <c r="F427" s="9"/>
      <c r="G427" s="85">
        <f t="shared" si="24"/>
        <v>0</v>
      </c>
      <c r="H427" s="4"/>
      <c r="I427" s="85">
        <f t="shared" si="25"/>
        <v>0</v>
      </c>
      <c r="J427" s="4"/>
      <c r="K427" s="100">
        <f t="shared" si="26"/>
        <v>0</v>
      </c>
      <c r="L427" s="85">
        <f t="shared" si="27"/>
        <v>0</v>
      </c>
    </row>
    <row r="428" spans="1:12" s="60" customFormat="1" x14ac:dyDescent="0.35">
      <c r="A428" s="68"/>
      <c r="B428" s="10" t="s">
        <v>74</v>
      </c>
      <c r="C428" s="5" t="s">
        <v>17</v>
      </c>
      <c r="D428" s="5">
        <v>2.46</v>
      </c>
      <c r="E428" s="4">
        <f>D428*E423</f>
        <v>5.0429999999999993</v>
      </c>
      <c r="F428" s="9"/>
      <c r="G428" s="85">
        <f t="shared" si="24"/>
        <v>0</v>
      </c>
      <c r="H428" s="4"/>
      <c r="I428" s="85">
        <f t="shared" si="25"/>
        <v>0</v>
      </c>
      <c r="J428" s="4"/>
      <c r="K428" s="100">
        <f t="shared" si="26"/>
        <v>0</v>
      </c>
      <c r="L428" s="85">
        <f t="shared" si="27"/>
        <v>0</v>
      </c>
    </row>
    <row r="429" spans="1:12" s="60" customFormat="1" x14ac:dyDescent="0.35">
      <c r="A429" s="68"/>
      <c r="B429" s="17" t="s">
        <v>75</v>
      </c>
      <c r="C429" s="5" t="s">
        <v>16</v>
      </c>
      <c r="D429" s="5">
        <v>2.3E-2</v>
      </c>
      <c r="E429" s="12">
        <f>D429*E423</f>
        <v>4.7149999999999997E-2</v>
      </c>
      <c r="F429" s="9"/>
      <c r="G429" s="85">
        <f t="shared" si="24"/>
        <v>0</v>
      </c>
      <c r="H429" s="4"/>
      <c r="I429" s="85">
        <f t="shared" si="25"/>
        <v>0</v>
      </c>
      <c r="J429" s="4"/>
      <c r="K429" s="100">
        <f t="shared" si="26"/>
        <v>0</v>
      </c>
      <c r="L429" s="85">
        <f t="shared" si="27"/>
        <v>0</v>
      </c>
    </row>
    <row r="430" spans="1:12" s="60" customFormat="1" x14ac:dyDescent="0.35">
      <c r="A430" s="68"/>
      <c r="B430" s="27" t="s">
        <v>78</v>
      </c>
      <c r="C430" s="5" t="s">
        <v>18</v>
      </c>
      <c r="D430" s="5">
        <v>5.55</v>
      </c>
      <c r="E430" s="4">
        <f>D430*E423</f>
        <v>11.3775</v>
      </c>
      <c r="F430" s="9"/>
      <c r="G430" s="85">
        <f t="shared" si="24"/>
        <v>0</v>
      </c>
      <c r="H430" s="4"/>
      <c r="I430" s="85">
        <f t="shared" si="25"/>
        <v>0</v>
      </c>
      <c r="J430" s="4"/>
      <c r="K430" s="100">
        <f t="shared" si="26"/>
        <v>0</v>
      </c>
      <c r="L430" s="85">
        <f t="shared" si="27"/>
        <v>0</v>
      </c>
    </row>
    <row r="431" spans="1:12" s="60" customFormat="1" x14ac:dyDescent="0.35">
      <c r="A431" s="68"/>
      <c r="B431" s="17" t="s">
        <v>79</v>
      </c>
      <c r="C431" s="5" t="s">
        <v>7</v>
      </c>
      <c r="D431" s="5">
        <v>3.3</v>
      </c>
      <c r="E431" s="12">
        <f>D431*E423</f>
        <v>6.7649999999999988</v>
      </c>
      <c r="F431" s="9"/>
      <c r="G431" s="85">
        <f t="shared" si="24"/>
        <v>0</v>
      </c>
      <c r="H431" s="4"/>
      <c r="I431" s="85">
        <f t="shared" si="25"/>
        <v>0</v>
      </c>
      <c r="J431" s="4"/>
      <c r="K431" s="100">
        <f t="shared" si="26"/>
        <v>0</v>
      </c>
      <c r="L431" s="85">
        <f t="shared" si="27"/>
        <v>0</v>
      </c>
    </row>
    <row r="432" spans="1:12" s="60" customFormat="1" x14ac:dyDescent="0.35">
      <c r="A432" s="68"/>
      <c r="B432" s="10" t="s">
        <v>30</v>
      </c>
      <c r="C432" s="5" t="s">
        <v>6</v>
      </c>
      <c r="D432" s="5">
        <v>0.9</v>
      </c>
      <c r="E432" s="4">
        <f>D432*E423</f>
        <v>1.845</v>
      </c>
      <c r="F432" s="9"/>
      <c r="G432" s="85">
        <f t="shared" si="24"/>
        <v>0</v>
      </c>
      <c r="H432" s="4"/>
      <c r="I432" s="85">
        <f t="shared" si="25"/>
        <v>0</v>
      </c>
      <c r="J432" s="4"/>
      <c r="K432" s="100">
        <f t="shared" si="26"/>
        <v>0</v>
      </c>
      <c r="L432" s="85">
        <f t="shared" si="27"/>
        <v>0</v>
      </c>
    </row>
    <row r="433" spans="1:12" s="60" customFormat="1" x14ac:dyDescent="0.35">
      <c r="A433" s="21">
        <v>61</v>
      </c>
      <c r="B433" s="74" t="s">
        <v>70</v>
      </c>
      <c r="C433" s="39" t="s">
        <v>5</v>
      </c>
      <c r="D433" s="39"/>
      <c r="E433" s="75">
        <f>E436+E437+E438</f>
        <v>0.31709999999999999</v>
      </c>
      <c r="F433" s="9"/>
      <c r="G433" s="85">
        <f t="shared" si="24"/>
        <v>0</v>
      </c>
      <c r="H433" s="3"/>
      <c r="I433" s="85">
        <f t="shared" si="25"/>
        <v>0</v>
      </c>
      <c r="J433" s="3"/>
      <c r="K433" s="100">
        <f t="shared" si="26"/>
        <v>0</v>
      </c>
      <c r="L433" s="85">
        <f t="shared" si="27"/>
        <v>0</v>
      </c>
    </row>
    <row r="434" spans="1:12" s="60" customFormat="1" x14ac:dyDescent="0.35">
      <c r="A434" s="21"/>
      <c r="B434" s="45" t="s">
        <v>39</v>
      </c>
      <c r="C434" s="46" t="s">
        <v>5</v>
      </c>
      <c r="D434" s="4">
        <v>1</v>
      </c>
      <c r="E434" s="4">
        <f>E433*D434</f>
        <v>0.31709999999999999</v>
      </c>
      <c r="F434" s="4"/>
      <c r="G434" s="85">
        <f t="shared" si="24"/>
        <v>0</v>
      </c>
      <c r="H434" s="4"/>
      <c r="I434" s="85">
        <f t="shared" si="25"/>
        <v>0</v>
      </c>
      <c r="J434" s="4"/>
      <c r="K434" s="100">
        <f t="shared" si="26"/>
        <v>0</v>
      </c>
      <c r="L434" s="85">
        <f t="shared" si="27"/>
        <v>0</v>
      </c>
    </row>
    <row r="435" spans="1:12" s="60" customFormat="1" x14ac:dyDescent="0.35">
      <c r="A435" s="21"/>
      <c r="B435" s="10" t="s">
        <v>71</v>
      </c>
      <c r="C435" s="5" t="s">
        <v>6</v>
      </c>
      <c r="D435" s="5">
        <v>6.8</v>
      </c>
      <c r="E435" s="4">
        <f>D435*E433</f>
        <v>2.1562799999999998</v>
      </c>
      <c r="F435" s="9"/>
      <c r="G435" s="85">
        <f t="shared" si="24"/>
        <v>0</v>
      </c>
      <c r="H435" s="4"/>
      <c r="I435" s="85">
        <f t="shared" si="25"/>
        <v>0</v>
      </c>
      <c r="J435" s="4"/>
      <c r="K435" s="100">
        <f t="shared" si="26"/>
        <v>0</v>
      </c>
      <c r="L435" s="85">
        <f t="shared" si="27"/>
        <v>0</v>
      </c>
    </row>
    <row r="436" spans="1:12" s="60" customFormat="1" x14ac:dyDescent="0.35">
      <c r="A436" s="21"/>
      <c r="B436" s="129" t="s">
        <v>201</v>
      </c>
      <c r="C436" s="130" t="s">
        <v>5</v>
      </c>
      <c r="D436" s="131" t="s">
        <v>29</v>
      </c>
      <c r="E436" s="12">
        <f>0.071*1.05</f>
        <v>7.4549999999999991E-2</v>
      </c>
      <c r="F436" s="4"/>
      <c r="G436" s="85">
        <f t="shared" si="24"/>
        <v>0</v>
      </c>
      <c r="H436" s="4"/>
      <c r="I436" s="85">
        <f t="shared" si="25"/>
        <v>0</v>
      </c>
      <c r="J436" s="4"/>
      <c r="K436" s="100">
        <f t="shared" si="26"/>
        <v>0</v>
      </c>
      <c r="L436" s="85">
        <f t="shared" si="27"/>
        <v>0</v>
      </c>
    </row>
    <row r="437" spans="1:12" s="60" customFormat="1" x14ac:dyDescent="0.35">
      <c r="A437" s="21"/>
      <c r="B437" s="129" t="s">
        <v>207</v>
      </c>
      <c r="C437" s="130" t="s">
        <v>5</v>
      </c>
      <c r="D437" s="131" t="s">
        <v>29</v>
      </c>
      <c r="E437" s="12">
        <f>0.146*1.05</f>
        <v>0.15329999999999999</v>
      </c>
      <c r="F437" s="4"/>
      <c r="G437" s="85">
        <f t="shared" si="24"/>
        <v>0</v>
      </c>
      <c r="H437" s="4"/>
      <c r="I437" s="85">
        <f t="shared" si="25"/>
        <v>0</v>
      </c>
      <c r="J437" s="4"/>
      <c r="K437" s="100">
        <f t="shared" si="26"/>
        <v>0</v>
      </c>
      <c r="L437" s="85">
        <f t="shared" si="27"/>
        <v>0</v>
      </c>
    </row>
    <row r="438" spans="1:12" s="60" customFormat="1" x14ac:dyDescent="0.35">
      <c r="A438" s="21"/>
      <c r="B438" s="132" t="s">
        <v>202</v>
      </c>
      <c r="C438" s="130" t="s">
        <v>5</v>
      </c>
      <c r="D438" s="131" t="s">
        <v>29</v>
      </c>
      <c r="E438" s="12">
        <f>0.085*1.05</f>
        <v>8.925000000000001E-2</v>
      </c>
      <c r="F438" s="4"/>
      <c r="G438" s="85">
        <f t="shared" si="24"/>
        <v>0</v>
      </c>
      <c r="H438" s="4"/>
      <c r="I438" s="85">
        <f t="shared" si="25"/>
        <v>0</v>
      </c>
      <c r="J438" s="4"/>
      <c r="K438" s="100">
        <f t="shared" si="26"/>
        <v>0</v>
      </c>
      <c r="L438" s="85">
        <f t="shared" si="27"/>
        <v>0</v>
      </c>
    </row>
    <row r="439" spans="1:12" s="60" customFormat="1" x14ac:dyDescent="0.35">
      <c r="A439" s="21"/>
      <c r="B439" s="10" t="s">
        <v>14</v>
      </c>
      <c r="C439" s="5" t="s">
        <v>6</v>
      </c>
      <c r="D439" s="5">
        <v>12.2</v>
      </c>
      <c r="E439" s="4">
        <f>D439*E433</f>
        <v>3.8686199999999995</v>
      </c>
      <c r="F439" s="9"/>
      <c r="G439" s="85">
        <f t="shared" si="24"/>
        <v>0</v>
      </c>
      <c r="H439" s="4"/>
      <c r="I439" s="85">
        <f t="shared" si="25"/>
        <v>0</v>
      </c>
      <c r="J439" s="4"/>
      <c r="K439" s="100">
        <f t="shared" si="26"/>
        <v>0</v>
      </c>
      <c r="L439" s="85">
        <f t="shared" si="27"/>
        <v>0</v>
      </c>
    </row>
    <row r="440" spans="1:12" s="60" customFormat="1" ht="27" x14ac:dyDescent="0.35">
      <c r="A440" s="68">
        <v>62</v>
      </c>
      <c r="B440" s="36" t="s">
        <v>203</v>
      </c>
      <c r="C440" s="37" t="s">
        <v>56</v>
      </c>
      <c r="D440" s="37"/>
      <c r="E440" s="38">
        <v>8.1999999999999993</v>
      </c>
      <c r="F440" s="9"/>
      <c r="G440" s="85">
        <f t="shared" si="24"/>
        <v>0</v>
      </c>
      <c r="H440" s="4"/>
      <c r="I440" s="85">
        <f t="shared" si="25"/>
        <v>0</v>
      </c>
      <c r="J440" s="4"/>
      <c r="K440" s="100">
        <f t="shared" si="26"/>
        <v>0</v>
      </c>
      <c r="L440" s="85">
        <f t="shared" si="27"/>
        <v>0</v>
      </c>
    </row>
    <row r="441" spans="1:12" s="60" customFormat="1" x14ac:dyDescent="0.35">
      <c r="A441" s="68"/>
      <c r="B441" s="45" t="s">
        <v>39</v>
      </c>
      <c r="C441" s="46" t="s">
        <v>24</v>
      </c>
      <c r="D441" s="4">
        <v>1</v>
      </c>
      <c r="E441" s="4">
        <f>E440*D441</f>
        <v>8.1999999999999993</v>
      </c>
      <c r="F441" s="9"/>
      <c r="G441" s="85">
        <f t="shared" si="24"/>
        <v>0</v>
      </c>
      <c r="H441" s="4"/>
      <c r="I441" s="85">
        <f t="shared" si="25"/>
        <v>0</v>
      </c>
      <c r="J441" s="4"/>
      <c r="K441" s="100">
        <f t="shared" si="26"/>
        <v>0</v>
      </c>
      <c r="L441" s="85">
        <f t="shared" si="27"/>
        <v>0</v>
      </c>
    </row>
    <row r="442" spans="1:12" s="60" customFormat="1" x14ac:dyDescent="0.35">
      <c r="A442" s="68"/>
      <c r="B442" s="10" t="s">
        <v>25</v>
      </c>
      <c r="C442" s="5" t="s">
        <v>6</v>
      </c>
      <c r="D442" s="5">
        <v>1.21</v>
      </c>
      <c r="E442" s="4">
        <f>E440*D442</f>
        <v>9.9219999999999988</v>
      </c>
      <c r="F442" s="9"/>
      <c r="G442" s="85">
        <f t="shared" si="24"/>
        <v>0</v>
      </c>
      <c r="H442" s="4"/>
      <c r="I442" s="85">
        <f t="shared" si="25"/>
        <v>0</v>
      </c>
      <c r="J442" s="4"/>
      <c r="K442" s="100">
        <f t="shared" si="26"/>
        <v>0</v>
      </c>
      <c r="L442" s="85">
        <f t="shared" si="27"/>
        <v>0</v>
      </c>
    </row>
    <row r="443" spans="1:12" s="60" customFormat="1" x14ac:dyDescent="0.35">
      <c r="A443" s="68"/>
      <c r="B443" s="133" t="s">
        <v>80</v>
      </c>
      <c r="C443" s="130" t="s">
        <v>16</v>
      </c>
      <c r="D443" s="130">
        <v>1.0149999999999999</v>
      </c>
      <c r="E443" s="4">
        <f>E440*D443</f>
        <v>8.3229999999999986</v>
      </c>
      <c r="F443" s="9"/>
      <c r="G443" s="85">
        <f t="shared" si="24"/>
        <v>0</v>
      </c>
      <c r="H443" s="4"/>
      <c r="I443" s="85">
        <f t="shared" si="25"/>
        <v>0</v>
      </c>
      <c r="J443" s="4"/>
      <c r="K443" s="100">
        <f t="shared" si="26"/>
        <v>0</v>
      </c>
      <c r="L443" s="85">
        <f t="shared" si="27"/>
        <v>0</v>
      </c>
    </row>
    <row r="444" spans="1:12" s="60" customFormat="1" x14ac:dyDescent="0.35">
      <c r="A444" s="68"/>
      <c r="B444" s="133" t="s">
        <v>68</v>
      </c>
      <c r="C444" s="130" t="s">
        <v>16</v>
      </c>
      <c r="D444" s="131">
        <v>1</v>
      </c>
      <c r="E444" s="4">
        <f>D444*E440</f>
        <v>8.1999999999999993</v>
      </c>
      <c r="F444" s="9"/>
      <c r="G444" s="85">
        <f t="shared" si="24"/>
        <v>0</v>
      </c>
      <c r="H444" s="4"/>
      <c r="I444" s="85">
        <f t="shared" si="25"/>
        <v>0</v>
      </c>
      <c r="J444" s="4"/>
      <c r="K444" s="100">
        <f t="shared" si="26"/>
        <v>0</v>
      </c>
      <c r="L444" s="85">
        <f t="shared" si="27"/>
        <v>0</v>
      </c>
    </row>
    <row r="445" spans="1:12" s="60" customFormat="1" x14ac:dyDescent="0.35">
      <c r="A445" s="68"/>
      <c r="B445" s="10" t="s">
        <v>74</v>
      </c>
      <c r="C445" s="5" t="s">
        <v>17</v>
      </c>
      <c r="D445" s="5">
        <v>2.46</v>
      </c>
      <c r="E445" s="4">
        <f>D445*E440</f>
        <v>20.171999999999997</v>
      </c>
      <c r="F445" s="9"/>
      <c r="G445" s="85">
        <f t="shared" si="24"/>
        <v>0</v>
      </c>
      <c r="H445" s="4"/>
      <c r="I445" s="85">
        <f t="shared" si="25"/>
        <v>0</v>
      </c>
      <c r="J445" s="4"/>
      <c r="K445" s="100">
        <f t="shared" si="26"/>
        <v>0</v>
      </c>
      <c r="L445" s="85">
        <f t="shared" si="27"/>
        <v>0</v>
      </c>
    </row>
    <row r="446" spans="1:12" s="60" customFormat="1" x14ac:dyDescent="0.35">
      <c r="A446" s="68"/>
      <c r="B446" s="17" t="s">
        <v>75</v>
      </c>
      <c r="C446" s="5" t="s">
        <v>16</v>
      </c>
      <c r="D446" s="5">
        <v>2.3E-2</v>
      </c>
      <c r="E446" s="12">
        <f>D446*E440</f>
        <v>0.18859999999999999</v>
      </c>
      <c r="F446" s="9"/>
      <c r="G446" s="85">
        <f t="shared" si="24"/>
        <v>0</v>
      </c>
      <c r="H446" s="4"/>
      <c r="I446" s="85">
        <f t="shared" si="25"/>
        <v>0</v>
      </c>
      <c r="J446" s="4"/>
      <c r="K446" s="100">
        <f t="shared" si="26"/>
        <v>0</v>
      </c>
      <c r="L446" s="85">
        <f t="shared" si="27"/>
        <v>0</v>
      </c>
    </row>
    <row r="447" spans="1:12" s="60" customFormat="1" x14ac:dyDescent="0.35">
      <c r="A447" s="68"/>
      <c r="B447" s="27" t="s">
        <v>78</v>
      </c>
      <c r="C447" s="5" t="s">
        <v>18</v>
      </c>
      <c r="D447" s="5">
        <v>5.55</v>
      </c>
      <c r="E447" s="4">
        <f>D447*E440</f>
        <v>45.51</v>
      </c>
      <c r="F447" s="9"/>
      <c r="G447" s="85">
        <f t="shared" si="24"/>
        <v>0</v>
      </c>
      <c r="H447" s="4"/>
      <c r="I447" s="85">
        <f t="shared" si="25"/>
        <v>0</v>
      </c>
      <c r="J447" s="4"/>
      <c r="K447" s="100">
        <f t="shared" si="26"/>
        <v>0</v>
      </c>
      <c r="L447" s="85">
        <f t="shared" si="27"/>
        <v>0</v>
      </c>
    </row>
    <row r="448" spans="1:12" s="60" customFormat="1" x14ac:dyDescent="0.35">
      <c r="A448" s="68"/>
      <c r="B448" s="17" t="s">
        <v>79</v>
      </c>
      <c r="C448" s="5" t="s">
        <v>7</v>
      </c>
      <c r="D448" s="5">
        <v>3.3</v>
      </c>
      <c r="E448" s="12">
        <f>D448*E440</f>
        <v>27.059999999999995</v>
      </c>
      <c r="F448" s="9"/>
      <c r="G448" s="85">
        <f t="shared" si="24"/>
        <v>0</v>
      </c>
      <c r="H448" s="4"/>
      <c r="I448" s="85">
        <f t="shared" si="25"/>
        <v>0</v>
      </c>
      <c r="J448" s="4"/>
      <c r="K448" s="100">
        <f t="shared" si="26"/>
        <v>0</v>
      </c>
      <c r="L448" s="85">
        <f t="shared" si="27"/>
        <v>0</v>
      </c>
    </row>
    <row r="449" spans="1:12" s="60" customFormat="1" x14ac:dyDescent="0.35">
      <c r="A449" s="68"/>
      <c r="B449" s="10" t="s">
        <v>30</v>
      </c>
      <c r="C449" s="5" t="s">
        <v>6</v>
      </c>
      <c r="D449" s="5">
        <v>0.9</v>
      </c>
      <c r="E449" s="4">
        <f>D449*E440</f>
        <v>7.38</v>
      </c>
      <c r="F449" s="9"/>
      <c r="G449" s="85">
        <f t="shared" si="24"/>
        <v>0</v>
      </c>
      <c r="H449" s="4"/>
      <c r="I449" s="85">
        <f t="shared" si="25"/>
        <v>0</v>
      </c>
      <c r="J449" s="4"/>
      <c r="K449" s="100">
        <f t="shared" si="26"/>
        <v>0</v>
      </c>
      <c r="L449" s="85">
        <f t="shared" si="27"/>
        <v>0</v>
      </c>
    </row>
    <row r="450" spans="1:12" s="60" customFormat="1" x14ac:dyDescent="0.35">
      <c r="A450" s="21">
        <v>63</v>
      </c>
      <c r="B450" s="74" t="s">
        <v>70</v>
      </c>
      <c r="C450" s="39" t="s">
        <v>5</v>
      </c>
      <c r="D450" s="39"/>
      <c r="E450" s="75">
        <f>E453+E454+E455</f>
        <v>1.2684</v>
      </c>
      <c r="F450" s="9"/>
      <c r="G450" s="85">
        <f t="shared" si="24"/>
        <v>0</v>
      </c>
      <c r="H450" s="3"/>
      <c r="I450" s="85">
        <f t="shared" si="25"/>
        <v>0</v>
      </c>
      <c r="J450" s="3"/>
      <c r="K450" s="100">
        <f t="shared" si="26"/>
        <v>0</v>
      </c>
      <c r="L450" s="85">
        <f t="shared" si="27"/>
        <v>0</v>
      </c>
    </row>
    <row r="451" spans="1:12" s="60" customFormat="1" x14ac:dyDescent="0.35">
      <c r="A451" s="21"/>
      <c r="B451" s="45" t="s">
        <v>39</v>
      </c>
      <c r="C451" s="46" t="s">
        <v>5</v>
      </c>
      <c r="D451" s="4">
        <v>1</v>
      </c>
      <c r="E451" s="4">
        <f>E450*D451</f>
        <v>1.2684</v>
      </c>
      <c r="F451" s="4"/>
      <c r="G451" s="85">
        <f t="shared" si="24"/>
        <v>0</v>
      </c>
      <c r="H451" s="4"/>
      <c r="I451" s="85">
        <f t="shared" si="25"/>
        <v>0</v>
      </c>
      <c r="J451" s="4"/>
      <c r="K451" s="100">
        <f t="shared" si="26"/>
        <v>0</v>
      </c>
      <c r="L451" s="85">
        <f t="shared" si="27"/>
        <v>0</v>
      </c>
    </row>
    <row r="452" spans="1:12" s="60" customFormat="1" x14ac:dyDescent="0.35">
      <c r="A452" s="21"/>
      <c r="B452" s="10" t="s">
        <v>71</v>
      </c>
      <c r="C452" s="5" t="s">
        <v>6</v>
      </c>
      <c r="D452" s="5">
        <v>6.8</v>
      </c>
      <c r="E452" s="4">
        <f>D452*E450</f>
        <v>8.625119999999999</v>
      </c>
      <c r="F452" s="9"/>
      <c r="G452" s="85">
        <f t="shared" si="24"/>
        <v>0</v>
      </c>
      <c r="H452" s="4"/>
      <c r="I452" s="85">
        <f t="shared" si="25"/>
        <v>0</v>
      </c>
      <c r="J452" s="4"/>
      <c r="K452" s="100">
        <f t="shared" si="26"/>
        <v>0</v>
      </c>
      <c r="L452" s="85">
        <f t="shared" si="27"/>
        <v>0</v>
      </c>
    </row>
    <row r="453" spans="1:12" s="60" customFormat="1" x14ac:dyDescent="0.35">
      <c r="A453" s="21"/>
      <c r="B453" s="129" t="s">
        <v>204</v>
      </c>
      <c r="C453" s="130" t="s">
        <v>5</v>
      </c>
      <c r="D453" s="131" t="s">
        <v>29</v>
      </c>
      <c r="E453" s="12">
        <f>0.284*1.05</f>
        <v>0.29819999999999997</v>
      </c>
      <c r="F453" s="4"/>
      <c r="G453" s="85">
        <f t="shared" si="24"/>
        <v>0</v>
      </c>
      <c r="H453" s="4"/>
      <c r="I453" s="85">
        <f t="shared" si="25"/>
        <v>0</v>
      </c>
      <c r="J453" s="4"/>
      <c r="K453" s="100">
        <f t="shared" si="26"/>
        <v>0</v>
      </c>
      <c r="L453" s="85">
        <f t="shared" si="27"/>
        <v>0</v>
      </c>
    </row>
    <row r="454" spans="1:12" s="60" customFormat="1" x14ac:dyDescent="0.35">
      <c r="A454" s="21"/>
      <c r="B454" s="129" t="s">
        <v>206</v>
      </c>
      <c r="C454" s="130" t="s">
        <v>5</v>
      </c>
      <c r="D454" s="131" t="s">
        <v>29</v>
      </c>
      <c r="E454" s="12">
        <f>0.584*1.05</f>
        <v>0.61319999999999997</v>
      </c>
      <c r="F454" s="4"/>
      <c r="G454" s="85">
        <f t="shared" si="24"/>
        <v>0</v>
      </c>
      <c r="H454" s="4"/>
      <c r="I454" s="85">
        <f t="shared" si="25"/>
        <v>0</v>
      </c>
      <c r="J454" s="4"/>
      <c r="K454" s="100">
        <f t="shared" si="26"/>
        <v>0</v>
      </c>
      <c r="L454" s="85">
        <f t="shared" si="27"/>
        <v>0</v>
      </c>
    </row>
    <row r="455" spans="1:12" s="60" customFormat="1" x14ac:dyDescent="0.35">
      <c r="A455" s="21"/>
      <c r="B455" s="132" t="s">
        <v>205</v>
      </c>
      <c r="C455" s="130" t="s">
        <v>5</v>
      </c>
      <c r="D455" s="131" t="s">
        <v>29</v>
      </c>
      <c r="E455" s="12">
        <f>0.34*1.05</f>
        <v>0.35700000000000004</v>
      </c>
      <c r="F455" s="4"/>
      <c r="G455" s="85">
        <f t="shared" si="24"/>
        <v>0</v>
      </c>
      <c r="H455" s="4"/>
      <c r="I455" s="85">
        <f t="shared" si="25"/>
        <v>0</v>
      </c>
      <c r="J455" s="4"/>
      <c r="K455" s="100">
        <f t="shared" si="26"/>
        <v>0</v>
      </c>
      <c r="L455" s="85">
        <f t="shared" si="27"/>
        <v>0</v>
      </c>
    </row>
    <row r="456" spans="1:12" s="60" customFormat="1" x14ac:dyDescent="0.35">
      <c r="A456" s="21"/>
      <c r="B456" s="10" t="s">
        <v>14</v>
      </c>
      <c r="C456" s="5" t="s">
        <v>6</v>
      </c>
      <c r="D456" s="5">
        <v>12.2</v>
      </c>
      <c r="E456" s="4">
        <f>D456*E450</f>
        <v>15.474479999999998</v>
      </c>
      <c r="F456" s="9"/>
      <c r="G456" s="85">
        <f t="shared" si="24"/>
        <v>0</v>
      </c>
      <c r="H456" s="4"/>
      <c r="I456" s="85">
        <f t="shared" si="25"/>
        <v>0</v>
      </c>
      <c r="J456" s="4"/>
      <c r="K456" s="100">
        <f t="shared" si="26"/>
        <v>0</v>
      </c>
      <c r="L456" s="85">
        <f t="shared" si="27"/>
        <v>0</v>
      </c>
    </row>
    <row r="457" spans="1:12" s="60" customFormat="1" ht="27" x14ac:dyDescent="0.35">
      <c r="A457" s="68">
        <v>64</v>
      </c>
      <c r="B457" s="36" t="s">
        <v>208</v>
      </c>
      <c r="C457" s="37" t="s">
        <v>56</v>
      </c>
      <c r="D457" s="37"/>
      <c r="E457" s="38">
        <v>0.88</v>
      </c>
      <c r="F457" s="9"/>
      <c r="G457" s="85">
        <f t="shared" si="24"/>
        <v>0</v>
      </c>
      <c r="H457" s="4"/>
      <c r="I457" s="85">
        <f t="shared" si="25"/>
        <v>0</v>
      </c>
      <c r="J457" s="4"/>
      <c r="K457" s="100">
        <f t="shared" si="26"/>
        <v>0</v>
      </c>
      <c r="L457" s="85">
        <f t="shared" si="27"/>
        <v>0</v>
      </c>
    </row>
    <row r="458" spans="1:12" s="60" customFormat="1" x14ac:dyDescent="0.35">
      <c r="A458" s="68"/>
      <c r="B458" s="45" t="s">
        <v>39</v>
      </c>
      <c r="C458" s="46" t="s">
        <v>24</v>
      </c>
      <c r="D458" s="4">
        <v>1</v>
      </c>
      <c r="E458" s="4">
        <f>E457*D458</f>
        <v>0.88</v>
      </c>
      <c r="F458" s="9"/>
      <c r="G458" s="85">
        <f t="shared" si="24"/>
        <v>0</v>
      </c>
      <c r="H458" s="4"/>
      <c r="I458" s="85">
        <f t="shared" si="25"/>
        <v>0</v>
      </c>
      <c r="J458" s="4"/>
      <c r="K458" s="100">
        <f t="shared" si="26"/>
        <v>0</v>
      </c>
      <c r="L458" s="85">
        <f t="shared" si="27"/>
        <v>0</v>
      </c>
    </row>
    <row r="459" spans="1:12" s="60" customFormat="1" x14ac:dyDescent="0.35">
      <c r="A459" s="68"/>
      <c r="B459" s="10" t="s">
        <v>25</v>
      </c>
      <c r="C459" s="5" t="s">
        <v>6</v>
      </c>
      <c r="D459" s="5">
        <v>1.21</v>
      </c>
      <c r="E459" s="4">
        <f>E457*D459</f>
        <v>1.0648</v>
      </c>
      <c r="F459" s="9"/>
      <c r="G459" s="85">
        <f t="shared" si="24"/>
        <v>0</v>
      </c>
      <c r="H459" s="4"/>
      <c r="I459" s="85">
        <f t="shared" si="25"/>
        <v>0</v>
      </c>
      <c r="J459" s="4"/>
      <c r="K459" s="100">
        <f t="shared" si="26"/>
        <v>0</v>
      </c>
      <c r="L459" s="85">
        <f t="shared" si="27"/>
        <v>0</v>
      </c>
    </row>
    <row r="460" spans="1:12" s="60" customFormat="1" x14ac:dyDescent="0.35">
      <c r="A460" s="68"/>
      <c r="B460" s="133" t="s">
        <v>80</v>
      </c>
      <c r="C460" s="130" t="s">
        <v>16</v>
      </c>
      <c r="D460" s="130">
        <v>1.0149999999999999</v>
      </c>
      <c r="E460" s="4">
        <f>E457*D460</f>
        <v>0.89319999999999988</v>
      </c>
      <c r="F460" s="9"/>
      <c r="G460" s="85">
        <f t="shared" ref="G460:G523" si="28">F460*E460</f>
        <v>0</v>
      </c>
      <c r="H460" s="4"/>
      <c r="I460" s="85">
        <f t="shared" ref="I460:I523" si="29">H460*E460</f>
        <v>0</v>
      </c>
      <c r="J460" s="4"/>
      <c r="K460" s="100">
        <f t="shared" ref="K460:K523" si="30">J460*E460</f>
        <v>0</v>
      </c>
      <c r="L460" s="85">
        <f t="shared" ref="L460:L523" si="31">K460+I460+G460</f>
        <v>0</v>
      </c>
    </row>
    <row r="461" spans="1:12" s="60" customFormat="1" x14ac:dyDescent="0.35">
      <c r="A461" s="68"/>
      <c r="B461" s="133" t="s">
        <v>68</v>
      </c>
      <c r="C461" s="130" t="s">
        <v>16</v>
      </c>
      <c r="D461" s="131">
        <v>1</v>
      </c>
      <c r="E461" s="4">
        <f>D461*E457</f>
        <v>0.88</v>
      </c>
      <c r="F461" s="9"/>
      <c r="G461" s="85">
        <f t="shared" si="28"/>
        <v>0</v>
      </c>
      <c r="H461" s="4"/>
      <c r="I461" s="85">
        <f t="shared" si="29"/>
        <v>0</v>
      </c>
      <c r="J461" s="4"/>
      <c r="K461" s="100">
        <f t="shared" si="30"/>
        <v>0</v>
      </c>
      <c r="L461" s="85">
        <f t="shared" si="31"/>
        <v>0</v>
      </c>
    </row>
    <row r="462" spans="1:12" s="60" customFormat="1" x14ac:dyDescent="0.35">
      <c r="A462" s="68"/>
      <c r="B462" s="10" t="s">
        <v>74</v>
      </c>
      <c r="C462" s="5" t="s">
        <v>17</v>
      </c>
      <c r="D462" s="5">
        <v>2.46</v>
      </c>
      <c r="E462" s="4">
        <f>D462*E457</f>
        <v>2.1648000000000001</v>
      </c>
      <c r="F462" s="9"/>
      <c r="G462" s="85">
        <f t="shared" si="28"/>
        <v>0</v>
      </c>
      <c r="H462" s="4"/>
      <c r="I462" s="85">
        <f t="shared" si="29"/>
        <v>0</v>
      </c>
      <c r="J462" s="4"/>
      <c r="K462" s="100">
        <f t="shared" si="30"/>
        <v>0</v>
      </c>
      <c r="L462" s="85">
        <f t="shared" si="31"/>
        <v>0</v>
      </c>
    </row>
    <row r="463" spans="1:12" s="60" customFormat="1" x14ac:dyDescent="0.35">
      <c r="A463" s="68"/>
      <c r="B463" s="17" t="s">
        <v>75</v>
      </c>
      <c r="C463" s="5" t="s">
        <v>16</v>
      </c>
      <c r="D463" s="5">
        <v>2.3E-2</v>
      </c>
      <c r="E463" s="12">
        <f>D463*E457</f>
        <v>2.0240000000000001E-2</v>
      </c>
      <c r="F463" s="9"/>
      <c r="G463" s="85">
        <f t="shared" si="28"/>
        <v>0</v>
      </c>
      <c r="H463" s="4"/>
      <c r="I463" s="85">
        <f t="shared" si="29"/>
        <v>0</v>
      </c>
      <c r="J463" s="4"/>
      <c r="K463" s="100">
        <f t="shared" si="30"/>
        <v>0</v>
      </c>
      <c r="L463" s="85">
        <f t="shared" si="31"/>
        <v>0</v>
      </c>
    </row>
    <row r="464" spans="1:12" s="60" customFormat="1" x14ac:dyDescent="0.35">
      <c r="A464" s="68"/>
      <c r="B464" s="27" t="s">
        <v>78</v>
      </c>
      <c r="C464" s="5" t="s">
        <v>18</v>
      </c>
      <c r="D464" s="5">
        <v>5.55</v>
      </c>
      <c r="E464" s="4">
        <f>D464*E457</f>
        <v>4.8839999999999995</v>
      </c>
      <c r="F464" s="9"/>
      <c r="G464" s="85">
        <f t="shared" si="28"/>
        <v>0</v>
      </c>
      <c r="H464" s="4"/>
      <c r="I464" s="85">
        <f t="shared" si="29"/>
        <v>0</v>
      </c>
      <c r="J464" s="4"/>
      <c r="K464" s="100">
        <f t="shared" si="30"/>
        <v>0</v>
      </c>
      <c r="L464" s="85">
        <f t="shared" si="31"/>
        <v>0</v>
      </c>
    </row>
    <row r="465" spans="1:12" s="60" customFormat="1" x14ac:dyDescent="0.35">
      <c r="A465" s="68"/>
      <c r="B465" s="17" t="s">
        <v>79</v>
      </c>
      <c r="C465" s="5" t="s">
        <v>7</v>
      </c>
      <c r="D465" s="5">
        <v>3.3</v>
      </c>
      <c r="E465" s="12">
        <f>D465*E457</f>
        <v>2.9039999999999999</v>
      </c>
      <c r="F465" s="9"/>
      <c r="G465" s="85">
        <f t="shared" si="28"/>
        <v>0</v>
      </c>
      <c r="H465" s="4"/>
      <c r="I465" s="85">
        <f t="shared" si="29"/>
        <v>0</v>
      </c>
      <c r="J465" s="4"/>
      <c r="K465" s="100">
        <f t="shared" si="30"/>
        <v>0</v>
      </c>
      <c r="L465" s="85">
        <f t="shared" si="31"/>
        <v>0</v>
      </c>
    </row>
    <row r="466" spans="1:12" s="60" customFormat="1" x14ac:dyDescent="0.35">
      <c r="A466" s="68"/>
      <c r="B466" s="10" t="s">
        <v>30</v>
      </c>
      <c r="C466" s="5" t="s">
        <v>6</v>
      </c>
      <c r="D466" s="5">
        <v>0.9</v>
      </c>
      <c r="E466" s="4">
        <f>D466*E457</f>
        <v>0.79200000000000004</v>
      </c>
      <c r="F466" s="9"/>
      <c r="G466" s="85">
        <f t="shared" si="28"/>
        <v>0</v>
      </c>
      <c r="H466" s="4"/>
      <c r="I466" s="85">
        <f t="shared" si="29"/>
        <v>0</v>
      </c>
      <c r="J466" s="4"/>
      <c r="K466" s="100">
        <f t="shared" si="30"/>
        <v>0</v>
      </c>
      <c r="L466" s="85">
        <f t="shared" si="31"/>
        <v>0</v>
      </c>
    </row>
    <row r="467" spans="1:12" s="60" customFormat="1" x14ac:dyDescent="0.35">
      <c r="A467" s="21">
        <v>65</v>
      </c>
      <c r="B467" s="74" t="s">
        <v>70</v>
      </c>
      <c r="C467" s="39" t="s">
        <v>5</v>
      </c>
      <c r="D467" s="39"/>
      <c r="E467" s="75">
        <f>E470+E471</f>
        <v>0.12809999999999999</v>
      </c>
      <c r="F467" s="9"/>
      <c r="G467" s="85">
        <f t="shared" si="28"/>
        <v>0</v>
      </c>
      <c r="H467" s="3"/>
      <c r="I467" s="85">
        <f t="shared" si="29"/>
        <v>0</v>
      </c>
      <c r="J467" s="3"/>
      <c r="K467" s="100">
        <f t="shared" si="30"/>
        <v>0</v>
      </c>
      <c r="L467" s="85">
        <f t="shared" si="31"/>
        <v>0</v>
      </c>
    </row>
    <row r="468" spans="1:12" s="60" customFormat="1" x14ac:dyDescent="0.35">
      <c r="A468" s="21"/>
      <c r="B468" s="45" t="s">
        <v>39</v>
      </c>
      <c r="C468" s="46" t="s">
        <v>5</v>
      </c>
      <c r="D468" s="4">
        <v>1</v>
      </c>
      <c r="E468" s="4">
        <f>E467*D468</f>
        <v>0.12809999999999999</v>
      </c>
      <c r="F468" s="4"/>
      <c r="G468" s="85">
        <f t="shared" si="28"/>
        <v>0</v>
      </c>
      <c r="H468" s="4"/>
      <c r="I468" s="85">
        <f t="shared" si="29"/>
        <v>0</v>
      </c>
      <c r="J468" s="4"/>
      <c r="K468" s="100">
        <f t="shared" si="30"/>
        <v>0</v>
      </c>
      <c r="L468" s="85">
        <f t="shared" si="31"/>
        <v>0</v>
      </c>
    </row>
    <row r="469" spans="1:12" s="60" customFormat="1" x14ac:dyDescent="0.35">
      <c r="A469" s="21"/>
      <c r="B469" s="10" t="s">
        <v>71</v>
      </c>
      <c r="C469" s="5" t="s">
        <v>6</v>
      </c>
      <c r="D469" s="5">
        <v>6.8</v>
      </c>
      <c r="E469" s="4">
        <f>D469*E467</f>
        <v>0.87107999999999997</v>
      </c>
      <c r="F469" s="9"/>
      <c r="G469" s="85">
        <f t="shared" si="28"/>
        <v>0</v>
      </c>
      <c r="H469" s="4"/>
      <c r="I469" s="85">
        <f t="shared" si="29"/>
        <v>0</v>
      </c>
      <c r="J469" s="4"/>
      <c r="K469" s="100">
        <f t="shared" si="30"/>
        <v>0</v>
      </c>
      <c r="L469" s="85">
        <f t="shared" si="31"/>
        <v>0</v>
      </c>
    </row>
    <row r="470" spans="1:12" s="60" customFormat="1" x14ac:dyDescent="0.35">
      <c r="A470" s="21"/>
      <c r="B470" s="129" t="s">
        <v>209</v>
      </c>
      <c r="C470" s="130" t="s">
        <v>5</v>
      </c>
      <c r="D470" s="131" t="s">
        <v>29</v>
      </c>
      <c r="E470" s="12">
        <f>0.0888*1.05</f>
        <v>9.3240000000000003E-2</v>
      </c>
      <c r="F470" s="4"/>
      <c r="G470" s="85">
        <f t="shared" si="28"/>
        <v>0</v>
      </c>
      <c r="H470" s="4"/>
      <c r="I470" s="85">
        <f t="shared" si="29"/>
        <v>0</v>
      </c>
      <c r="J470" s="4"/>
      <c r="K470" s="100">
        <f t="shared" si="30"/>
        <v>0</v>
      </c>
      <c r="L470" s="85">
        <f t="shared" si="31"/>
        <v>0</v>
      </c>
    </row>
    <row r="471" spans="1:12" s="60" customFormat="1" x14ac:dyDescent="0.35">
      <c r="A471" s="21"/>
      <c r="B471" s="132" t="s">
        <v>210</v>
      </c>
      <c r="C471" s="130" t="s">
        <v>5</v>
      </c>
      <c r="D471" s="131" t="s">
        <v>29</v>
      </c>
      <c r="E471" s="12">
        <f>0.0332*1.05</f>
        <v>3.4860000000000002E-2</v>
      </c>
      <c r="F471" s="4"/>
      <c r="G471" s="85">
        <f t="shared" si="28"/>
        <v>0</v>
      </c>
      <c r="H471" s="4"/>
      <c r="I471" s="85">
        <f t="shared" si="29"/>
        <v>0</v>
      </c>
      <c r="J471" s="4"/>
      <c r="K471" s="100">
        <f t="shared" si="30"/>
        <v>0</v>
      </c>
      <c r="L471" s="85">
        <f t="shared" si="31"/>
        <v>0</v>
      </c>
    </row>
    <row r="472" spans="1:12" s="60" customFormat="1" x14ac:dyDescent="0.35">
      <c r="A472" s="21"/>
      <c r="B472" s="10" t="s">
        <v>14</v>
      </c>
      <c r="C472" s="5" t="s">
        <v>6</v>
      </c>
      <c r="D472" s="5">
        <v>12.2</v>
      </c>
      <c r="E472" s="4">
        <f>D472*E467</f>
        <v>1.5628199999999999</v>
      </c>
      <c r="F472" s="9"/>
      <c r="G472" s="85">
        <f t="shared" si="28"/>
        <v>0</v>
      </c>
      <c r="H472" s="4"/>
      <c r="I472" s="85">
        <f t="shared" si="29"/>
        <v>0</v>
      </c>
      <c r="J472" s="4"/>
      <c r="K472" s="100">
        <f t="shared" si="30"/>
        <v>0</v>
      </c>
      <c r="L472" s="85">
        <f t="shared" si="31"/>
        <v>0</v>
      </c>
    </row>
    <row r="473" spans="1:12" s="60" customFormat="1" ht="27" x14ac:dyDescent="0.35">
      <c r="A473" s="68">
        <v>66</v>
      </c>
      <c r="B473" s="36" t="s">
        <v>211</v>
      </c>
      <c r="C473" s="37" t="s">
        <v>56</v>
      </c>
      <c r="D473" s="37"/>
      <c r="E473" s="38">
        <v>4.0999999999999996</v>
      </c>
      <c r="F473" s="9"/>
      <c r="G473" s="85">
        <f t="shared" si="28"/>
        <v>0</v>
      </c>
      <c r="H473" s="4"/>
      <c r="I473" s="85">
        <f t="shared" si="29"/>
        <v>0</v>
      </c>
      <c r="J473" s="4"/>
      <c r="K473" s="100">
        <f t="shared" si="30"/>
        <v>0</v>
      </c>
      <c r="L473" s="85">
        <f t="shared" si="31"/>
        <v>0</v>
      </c>
    </row>
    <row r="474" spans="1:12" s="60" customFormat="1" x14ac:dyDescent="0.35">
      <c r="A474" s="68"/>
      <c r="B474" s="45" t="s">
        <v>39</v>
      </c>
      <c r="C474" s="46" t="s">
        <v>24</v>
      </c>
      <c r="D474" s="4">
        <v>1</v>
      </c>
      <c r="E474" s="4">
        <f>E473*D474</f>
        <v>4.0999999999999996</v>
      </c>
      <c r="F474" s="9"/>
      <c r="G474" s="85">
        <f t="shared" si="28"/>
        <v>0</v>
      </c>
      <c r="H474" s="4"/>
      <c r="I474" s="85">
        <f t="shared" si="29"/>
        <v>0</v>
      </c>
      <c r="J474" s="4"/>
      <c r="K474" s="100">
        <f t="shared" si="30"/>
        <v>0</v>
      </c>
      <c r="L474" s="85">
        <f t="shared" si="31"/>
        <v>0</v>
      </c>
    </row>
    <row r="475" spans="1:12" s="60" customFormat="1" x14ac:dyDescent="0.35">
      <c r="A475" s="68"/>
      <c r="B475" s="10" t="s">
        <v>25</v>
      </c>
      <c r="C475" s="5" t="s">
        <v>6</v>
      </c>
      <c r="D475" s="5">
        <v>1.21</v>
      </c>
      <c r="E475" s="4">
        <f>E473*D475</f>
        <v>4.9609999999999994</v>
      </c>
      <c r="F475" s="9"/>
      <c r="G475" s="85">
        <f t="shared" si="28"/>
        <v>0</v>
      </c>
      <c r="H475" s="4"/>
      <c r="I475" s="85">
        <f t="shared" si="29"/>
        <v>0</v>
      </c>
      <c r="J475" s="4"/>
      <c r="K475" s="100">
        <f t="shared" si="30"/>
        <v>0</v>
      </c>
      <c r="L475" s="85">
        <f t="shared" si="31"/>
        <v>0</v>
      </c>
    </row>
    <row r="476" spans="1:12" s="60" customFormat="1" x14ac:dyDescent="0.35">
      <c r="A476" s="68"/>
      <c r="B476" s="133" t="s">
        <v>80</v>
      </c>
      <c r="C476" s="130" t="s">
        <v>16</v>
      </c>
      <c r="D476" s="130">
        <v>1.0149999999999999</v>
      </c>
      <c r="E476" s="4">
        <f>E473*D476</f>
        <v>4.1614999999999993</v>
      </c>
      <c r="F476" s="9"/>
      <c r="G476" s="85">
        <f t="shared" si="28"/>
        <v>0</v>
      </c>
      <c r="H476" s="4"/>
      <c r="I476" s="85">
        <f t="shared" si="29"/>
        <v>0</v>
      </c>
      <c r="J476" s="4"/>
      <c r="K476" s="100">
        <f t="shared" si="30"/>
        <v>0</v>
      </c>
      <c r="L476" s="85">
        <f t="shared" si="31"/>
        <v>0</v>
      </c>
    </row>
    <row r="477" spans="1:12" s="60" customFormat="1" x14ac:dyDescent="0.35">
      <c r="A477" s="68"/>
      <c r="B477" s="133" t="s">
        <v>68</v>
      </c>
      <c r="C477" s="130" t="s">
        <v>16</v>
      </c>
      <c r="D477" s="131">
        <v>1</v>
      </c>
      <c r="E477" s="4">
        <f>D477*E473</f>
        <v>4.0999999999999996</v>
      </c>
      <c r="F477" s="9"/>
      <c r="G477" s="85">
        <f t="shared" si="28"/>
        <v>0</v>
      </c>
      <c r="H477" s="4"/>
      <c r="I477" s="85">
        <f t="shared" si="29"/>
        <v>0</v>
      </c>
      <c r="J477" s="4"/>
      <c r="K477" s="100">
        <f t="shared" si="30"/>
        <v>0</v>
      </c>
      <c r="L477" s="85">
        <f t="shared" si="31"/>
        <v>0</v>
      </c>
    </row>
    <row r="478" spans="1:12" s="60" customFormat="1" x14ac:dyDescent="0.35">
      <c r="A478" s="68"/>
      <c r="B478" s="10" t="s">
        <v>74</v>
      </c>
      <c r="C478" s="5" t="s">
        <v>17</v>
      </c>
      <c r="D478" s="5">
        <v>2.46</v>
      </c>
      <c r="E478" s="4">
        <f>D478*E473</f>
        <v>10.085999999999999</v>
      </c>
      <c r="F478" s="9"/>
      <c r="G478" s="85">
        <f t="shared" si="28"/>
        <v>0</v>
      </c>
      <c r="H478" s="4"/>
      <c r="I478" s="85">
        <f t="shared" si="29"/>
        <v>0</v>
      </c>
      <c r="J478" s="4"/>
      <c r="K478" s="100">
        <f t="shared" si="30"/>
        <v>0</v>
      </c>
      <c r="L478" s="85">
        <f t="shared" si="31"/>
        <v>0</v>
      </c>
    </row>
    <row r="479" spans="1:12" s="60" customFormat="1" x14ac:dyDescent="0.35">
      <c r="A479" s="68"/>
      <c r="B479" s="17" t="s">
        <v>75</v>
      </c>
      <c r="C479" s="5" t="s">
        <v>16</v>
      </c>
      <c r="D479" s="5">
        <v>2.3E-2</v>
      </c>
      <c r="E479" s="12">
        <f>D479*E473</f>
        <v>9.4299999999999995E-2</v>
      </c>
      <c r="F479" s="9"/>
      <c r="G479" s="85">
        <f t="shared" si="28"/>
        <v>0</v>
      </c>
      <c r="H479" s="4"/>
      <c r="I479" s="85">
        <f t="shared" si="29"/>
        <v>0</v>
      </c>
      <c r="J479" s="4"/>
      <c r="K479" s="100">
        <f t="shared" si="30"/>
        <v>0</v>
      </c>
      <c r="L479" s="85">
        <f t="shared" si="31"/>
        <v>0</v>
      </c>
    </row>
    <row r="480" spans="1:12" s="60" customFormat="1" x14ac:dyDescent="0.35">
      <c r="A480" s="68"/>
      <c r="B480" s="27" t="s">
        <v>78</v>
      </c>
      <c r="C480" s="5" t="s">
        <v>18</v>
      </c>
      <c r="D480" s="5">
        <v>5.55</v>
      </c>
      <c r="E480" s="4">
        <f>D480*E473</f>
        <v>22.754999999999999</v>
      </c>
      <c r="F480" s="9"/>
      <c r="G480" s="85">
        <f t="shared" si="28"/>
        <v>0</v>
      </c>
      <c r="H480" s="4"/>
      <c r="I480" s="85">
        <f t="shared" si="29"/>
        <v>0</v>
      </c>
      <c r="J480" s="4"/>
      <c r="K480" s="100">
        <f t="shared" si="30"/>
        <v>0</v>
      </c>
      <c r="L480" s="85">
        <f t="shared" si="31"/>
        <v>0</v>
      </c>
    </row>
    <row r="481" spans="1:12" s="60" customFormat="1" x14ac:dyDescent="0.35">
      <c r="A481" s="68"/>
      <c r="B481" s="17" t="s">
        <v>79</v>
      </c>
      <c r="C481" s="5" t="s">
        <v>7</v>
      </c>
      <c r="D481" s="5">
        <v>3.3</v>
      </c>
      <c r="E481" s="12">
        <f>D481*E473</f>
        <v>13.529999999999998</v>
      </c>
      <c r="F481" s="9"/>
      <c r="G481" s="85">
        <f t="shared" si="28"/>
        <v>0</v>
      </c>
      <c r="H481" s="4"/>
      <c r="I481" s="85">
        <f t="shared" si="29"/>
        <v>0</v>
      </c>
      <c r="J481" s="4"/>
      <c r="K481" s="100">
        <f t="shared" si="30"/>
        <v>0</v>
      </c>
      <c r="L481" s="85">
        <f t="shared" si="31"/>
        <v>0</v>
      </c>
    </row>
    <row r="482" spans="1:12" s="60" customFormat="1" x14ac:dyDescent="0.35">
      <c r="A482" s="68"/>
      <c r="B482" s="10" t="s">
        <v>30</v>
      </c>
      <c r="C482" s="5" t="s">
        <v>6</v>
      </c>
      <c r="D482" s="5">
        <v>0.9</v>
      </c>
      <c r="E482" s="4">
        <f>D482*E473</f>
        <v>3.69</v>
      </c>
      <c r="F482" s="9"/>
      <c r="G482" s="85">
        <f t="shared" si="28"/>
        <v>0</v>
      </c>
      <c r="H482" s="4"/>
      <c r="I482" s="85">
        <f t="shared" si="29"/>
        <v>0</v>
      </c>
      <c r="J482" s="4"/>
      <c r="K482" s="100">
        <f t="shared" si="30"/>
        <v>0</v>
      </c>
      <c r="L482" s="85">
        <f t="shared" si="31"/>
        <v>0</v>
      </c>
    </row>
    <row r="483" spans="1:12" s="60" customFormat="1" x14ac:dyDescent="0.35">
      <c r="A483" s="21">
        <v>67</v>
      </c>
      <c r="B483" s="74" t="s">
        <v>70</v>
      </c>
      <c r="C483" s="39" t="s">
        <v>5</v>
      </c>
      <c r="D483" s="39"/>
      <c r="E483" s="75">
        <f>E486+E487+E488</f>
        <v>0.63419999999999999</v>
      </c>
      <c r="F483" s="9"/>
      <c r="G483" s="85">
        <f t="shared" si="28"/>
        <v>0</v>
      </c>
      <c r="H483" s="3"/>
      <c r="I483" s="85">
        <f t="shared" si="29"/>
        <v>0</v>
      </c>
      <c r="J483" s="3"/>
      <c r="K483" s="100">
        <f t="shared" si="30"/>
        <v>0</v>
      </c>
      <c r="L483" s="85">
        <f t="shared" si="31"/>
        <v>0</v>
      </c>
    </row>
    <row r="484" spans="1:12" s="60" customFormat="1" x14ac:dyDescent="0.35">
      <c r="A484" s="21"/>
      <c r="B484" s="45" t="s">
        <v>39</v>
      </c>
      <c r="C484" s="46" t="s">
        <v>5</v>
      </c>
      <c r="D484" s="4">
        <v>1</v>
      </c>
      <c r="E484" s="4">
        <f>E483*D484</f>
        <v>0.63419999999999999</v>
      </c>
      <c r="F484" s="4"/>
      <c r="G484" s="85">
        <f t="shared" si="28"/>
        <v>0</v>
      </c>
      <c r="H484" s="4"/>
      <c r="I484" s="85">
        <f t="shared" si="29"/>
        <v>0</v>
      </c>
      <c r="J484" s="4"/>
      <c r="K484" s="100">
        <f t="shared" si="30"/>
        <v>0</v>
      </c>
      <c r="L484" s="85">
        <f t="shared" si="31"/>
        <v>0</v>
      </c>
    </row>
    <row r="485" spans="1:12" s="60" customFormat="1" x14ac:dyDescent="0.35">
      <c r="A485" s="21"/>
      <c r="B485" s="10" t="s">
        <v>71</v>
      </c>
      <c r="C485" s="5" t="s">
        <v>6</v>
      </c>
      <c r="D485" s="5">
        <v>6.8</v>
      </c>
      <c r="E485" s="4">
        <f>D485*E483</f>
        <v>4.3125599999999995</v>
      </c>
      <c r="F485" s="9"/>
      <c r="G485" s="85">
        <f t="shared" si="28"/>
        <v>0</v>
      </c>
      <c r="H485" s="4"/>
      <c r="I485" s="85">
        <f t="shared" si="29"/>
        <v>0</v>
      </c>
      <c r="J485" s="4"/>
      <c r="K485" s="100">
        <f t="shared" si="30"/>
        <v>0</v>
      </c>
      <c r="L485" s="85">
        <f t="shared" si="31"/>
        <v>0</v>
      </c>
    </row>
    <row r="486" spans="1:12" s="60" customFormat="1" x14ac:dyDescent="0.35">
      <c r="A486" s="21"/>
      <c r="B486" s="129" t="s">
        <v>212</v>
      </c>
      <c r="C486" s="130" t="s">
        <v>5</v>
      </c>
      <c r="D486" s="131" t="s">
        <v>29</v>
      </c>
      <c r="E486" s="12">
        <f>0.142*1.05</f>
        <v>0.14909999999999998</v>
      </c>
      <c r="F486" s="4"/>
      <c r="G486" s="85">
        <f t="shared" si="28"/>
        <v>0</v>
      </c>
      <c r="H486" s="4"/>
      <c r="I486" s="85">
        <f t="shared" si="29"/>
        <v>0</v>
      </c>
      <c r="J486" s="4"/>
      <c r="K486" s="100">
        <f t="shared" si="30"/>
        <v>0</v>
      </c>
      <c r="L486" s="85">
        <f t="shared" si="31"/>
        <v>0</v>
      </c>
    </row>
    <row r="487" spans="1:12" s="60" customFormat="1" x14ac:dyDescent="0.35">
      <c r="A487" s="21"/>
      <c r="B487" s="129" t="s">
        <v>213</v>
      </c>
      <c r="C487" s="130" t="s">
        <v>5</v>
      </c>
      <c r="D487" s="131" t="s">
        <v>29</v>
      </c>
      <c r="E487" s="12">
        <f>0.292*1.05</f>
        <v>0.30659999999999998</v>
      </c>
      <c r="F487" s="4"/>
      <c r="G487" s="85">
        <f t="shared" si="28"/>
        <v>0</v>
      </c>
      <c r="H487" s="4"/>
      <c r="I487" s="85">
        <f t="shared" si="29"/>
        <v>0</v>
      </c>
      <c r="J487" s="4"/>
      <c r="K487" s="100">
        <f t="shared" si="30"/>
        <v>0</v>
      </c>
      <c r="L487" s="85">
        <f t="shared" si="31"/>
        <v>0</v>
      </c>
    </row>
    <row r="488" spans="1:12" s="60" customFormat="1" x14ac:dyDescent="0.35">
      <c r="A488" s="21"/>
      <c r="B488" s="132" t="s">
        <v>214</v>
      </c>
      <c r="C488" s="130" t="s">
        <v>5</v>
      </c>
      <c r="D488" s="131" t="s">
        <v>29</v>
      </c>
      <c r="E488" s="12">
        <f>0.17*1.05</f>
        <v>0.17850000000000002</v>
      </c>
      <c r="F488" s="4"/>
      <c r="G488" s="85">
        <f t="shared" si="28"/>
        <v>0</v>
      </c>
      <c r="H488" s="4"/>
      <c r="I488" s="85">
        <f t="shared" si="29"/>
        <v>0</v>
      </c>
      <c r="J488" s="4"/>
      <c r="K488" s="100">
        <f t="shared" si="30"/>
        <v>0</v>
      </c>
      <c r="L488" s="85">
        <f t="shared" si="31"/>
        <v>0</v>
      </c>
    </row>
    <row r="489" spans="1:12" s="60" customFormat="1" x14ac:dyDescent="0.35">
      <c r="A489" s="21"/>
      <c r="B489" s="10" t="s">
        <v>14</v>
      </c>
      <c r="C489" s="5" t="s">
        <v>6</v>
      </c>
      <c r="D489" s="5">
        <v>12.2</v>
      </c>
      <c r="E489" s="4">
        <f>D489*E483</f>
        <v>7.737239999999999</v>
      </c>
      <c r="F489" s="9"/>
      <c r="G489" s="85">
        <f t="shared" si="28"/>
        <v>0</v>
      </c>
      <c r="H489" s="4"/>
      <c r="I489" s="85">
        <f t="shared" si="29"/>
        <v>0</v>
      </c>
      <c r="J489" s="4"/>
      <c r="K489" s="100">
        <f t="shared" si="30"/>
        <v>0</v>
      </c>
      <c r="L489" s="85">
        <f t="shared" si="31"/>
        <v>0</v>
      </c>
    </row>
    <row r="490" spans="1:12" s="60" customFormat="1" ht="27" x14ac:dyDescent="0.35">
      <c r="A490" s="68">
        <v>68</v>
      </c>
      <c r="B490" s="36" t="s">
        <v>215</v>
      </c>
      <c r="C490" s="37" t="s">
        <v>56</v>
      </c>
      <c r="D490" s="37"/>
      <c r="E490" s="38">
        <v>5.83</v>
      </c>
      <c r="F490" s="9"/>
      <c r="G490" s="85">
        <f t="shared" si="28"/>
        <v>0</v>
      </c>
      <c r="H490" s="4"/>
      <c r="I490" s="85">
        <f t="shared" si="29"/>
        <v>0</v>
      </c>
      <c r="J490" s="4"/>
      <c r="K490" s="100">
        <f t="shared" si="30"/>
        <v>0</v>
      </c>
      <c r="L490" s="85">
        <f t="shared" si="31"/>
        <v>0</v>
      </c>
    </row>
    <row r="491" spans="1:12" s="60" customFormat="1" x14ac:dyDescent="0.35">
      <c r="A491" s="68"/>
      <c r="B491" s="45" t="s">
        <v>39</v>
      </c>
      <c r="C491" s="46" t="s">
        <v>24</v>
      </c>
      <c r="D491" s="4">
        <v>1</v>
      </c>
      <c r="E491" s="4">
        <f>E490*D491</f>
        <v>5.83</v>
      </c>
      <c r="F491" s="9"/>
      <c r="G491" s="85">
        <f t="shared" si="28"/>
        <v>0</v>
      </c>
      <c r="H491" s="4"/>
      <c r="I491" s="85">
        <f t="shared" si="29"/>
        <v>0</v>
      </c>
      <c r="J491" s="4"/>
      <c r="K491" s="100">
        <f t="shared" si="30"/>
        <v>0</v>
      </c>
      <c r="L491" s="85">
        <f t="shared" si="31"/>
        <v>0</v>
      </c>
    </row>
    <row r="492" spans="1:12" s="60" customFormat="1" x14ac:dyDescent="0.35">
      <c r="A492" s="68"/>
      <c r="B492" s="10" t="s">
        <v>25</v>
      </c>
      <c r="C492" s="5" t="s">
        <v>6</v>
      </c>
      <c r="D492" s="5">
        <v>1.21</v>
      </c>
      <c r="E492" s="4">
        <f>E490*D492</f>
        <v>7.0542999999999996</v>
      </c>
      <c r="F492" s="9"/>
      <c r="G492" s="85">
        <f t="shared" si="28"/>
        <v>0</v>
      </c>
      <c r="H492" s="4"/>
      <c r="I492" s="85">
        <f t="shared" si="29"/>
        <v>0</v>
      </c>
      <c r="J492" s="4"/>
      <c r="K492" s="100">
        <f t="shared" si="30"/>
        <v>0</v>
      </c>
      <c r="L492" s="85">
        <f t="shared" si="31"/>
        <v>0</v>
      </c>
    </row>
    <row r="493" spans="1:12" s="60" customFormat="1" x14ac:dyDescent="0.35">
      <c r="A493" s="68"/>
      <c r="B493" s="133" t="s">
        <v>80</v>
      </c>
      <c r="C493" s="130" t="s">
        <v>16</v>
      </c>
      <c r="D493" s="130">
        <v>1.0149999999999999</v>
      </c>
      <c r="E493" s="4">
        <f>E490*D493</f>
        <v>5.9174499999999997</v>
      </c>
      <c r="F493" s="9"/>
      <c r="G493" s="85">
        <f t="shared" si="28"/>
        <v>0</v>
      </c>
      <c r="H493" s="4"/>
      <c r="I493" s="85">
        <f t="shared" si="29"/>
        <v>0</v>
      </c>
      <c r="J493" s="4"/>
      <c r="K493" s="100">
        <f t="shared" si="30"/>
        <v>0</v>
      </c>
      <c r="L493" s="85">
        <f t="shared" si="31"/>
        <v>0</v>
      </c>
    </row>
    <row r="494" spans="1:12" s="60" customFormat="1" x14ac:dyDescent="0.35">
      <c r="A494" s="68"/>
      <c r="B494" s="133" t="s">
        <v>68</v>
      </c>
      <c r="C494" s="130" t="s">
        <v>16</v>
      </c>
      <c r="D494" s="131">
        <v>1</v>
      </c>
      <c r="E494" s="4">
        <f>D494*E490</f>
        <v>5.83</v>
      </c>
      <c r="F494" s="9"/>
      <c r="G494" s="85">
        <f t="shared" si="28"/>
        <v>0</v>
      </c>
      <c r="H494" s="4"/>
      <c r="I494" s="85">
        <f t="shared" si="29"/>
        <v>0</v>
      </c>
      <c r="J494" s="4"/>
      <c r="K494" s="100">
        <f t="shared" si="30"/>
        <v>0</v>
      </c>
      <c r="L494" s="85">
        <f t="shared" si="31"/>
        <v>0</v>
      </c>
    </row>
    <row r="495" spans="1:12" s="60" customFormat="1" x14ac:dyDescent="0.35">
      <c r="A495" s="68"/>
      <c r="B495" s="10" t="s">
        <v>74</v>
      </c>
      <c r="C495" s="5" t="s">
        <v>17</v>
      </c>
      <c r="D495" s="5">
        <v>2.46</v>
      </c>
      <c r="E495" s="4">
        <f>D495*E490</f>
        <v>14.341799999999999</v>
      </c>
      <c r="F495" s="9"/>
      <c r="G495" s="85">
        <f t="shared" si="28"/>
        <v>0</v>
      </c>
      <c r="H495" s="4"/>
      <c r="I495" s="85">
        <f t="shared" si="29"/>
        <v>0</v>
      </c>
      <c r="J495" s="4"/>
      <c r="K495" s="100">
        <f t="shared" si="30"/>
        <v>0</v>
      </c>
      <c r="L495" s="85">
        <f t="shared" si="31"/>
        <v>0</v>
      </c>
    </row>
    <row r="496" spans="1:12" s="60" customFormat="1" x14ac:dyDescent="0.35">
      <c r="A496" s="68"/>
      <c r="B496" s="17" t="s">
        <v>75</v>
      </c>
      <c r="C496" s="5" t="s">
        <v>16</v>
      </c>
      <c r="D496" s="5">
        <v>2.3E-2</v>
      </c>
      <c r="E496" s="12">
        <f>D496*E490</f>
        <v>0.13408999999999999</v>
      </c>
      <c r="F496" s="9"/>
      <c r="G496" s="85">
        <f t="shared" si="28"/>
        <v>0</v>
      </c>
      <c r="H496" s="4"/>
      <c r="I496" s="85">
        <f t="shared" si="29"/>
        <v>0</v>
      </c>
      <c r="J496" s="4"/>
      <c r="K496" s="100">
        <f t="shared" si="30"/>
        <v>0</v>
      </c>
      <c r="L496" s="85">
        <f t="shared" si="31"/>
        <v>0</v>
      </c>
    </row>
    <row r="497" spans="1:12" s="60" customFormat="1" x14ac:dyDescent="0.35">
      <c r="A497" s="68"/>
      <c r="B497" s="27" t="s">
        <v>78</v>
      </c>
      <c r="C497" s="5" t="s">
        <v>18</v>
      </c>
      <c r="D497" s="5">
        <v>5.55</v>
      </c>
      <c r="E497" s="4">
        <f>D497*E490</f>
        <v>32.356499999999997</v>
      </c>
      <c r="F497" s="9"/>
      <c r="G497" s="85">
        <f t="shared" si="28"/>
        <v>0</v>
      </c>
      <c r="H497" s="4"/>
      <c r="I497" s="85">
        <f t="shared" si="29"/>
        <v>0</v>
      </c>
      <c r="J497" s="4"/>
      <c r="K497" s="100">
        <f t="shared" si="30"/>
        <v>0</v>
      </c>
      <c r="L497" s="85">
        <f t="shared" si="31"/>
        <v>0</v>
      </c>
    </row>
    <row r="498" spans="1:12" s="60" customFormat="1" x14ac:dyDescent="0.35">
      <c r="A498" s="68"/>
      <c r="B498" s="17" t="s">
        <v>79</v>
      </c>
      <c r="C498" s="5" t="s">
        <v>7</v>
      </c>
      <c r="D498" s="5">
        <v>3.3</v>
      </c>
      <c r="E498" s="12">
        <f>D498*E490</f>
        <v>19.239000000000001</v>
      </c>
      <c r="F498" s="9"/>
      <c r="G498" s="85">
        <f t="shared" si="28"/>
        <v>0</v>
      </c>
      <c r="H498" s="4"/>
      <c r="I498" s="85">
        <f t="shared" si="29"/>
        <v>0</v>
      </c>
      <c r="J498" s="4"/>
      <c r="K498" s="100">
        <f t="shared" si="30"/>
        <v>0</v>
      </c>
      <c r="L498" s="85">
        <f t="shared" si="31"/>
        <v>0</v>
      </c>
    </row>
    <row r="499" spans="1:12" s="60" customFormat="1" x14ac:dyDescent="0.35">
      <c r="A499" s="68"/>
      <c r="B499" s="10" t="s">
        <v>30</v>
      </c>
      <c r="C499" s="5" t="s">
        <v>6</v>
      </c>
      <c r="D499" s="5">
        <v>0.9</v>
      </c>
      <c r="E499" s="4">
        <f>D499*E490</f>
        <v>5.2469999999999999</v>
      </c>
      <c r="F499" s="9"/>
      <c r="G499" s="85">
        <f t="shared" si="28"/>
        <v>0</v>
      </c>
      <c r="H499" s="4"/>
      <c r="I499" s="85">
        <f t="shared" si="29"/>
        <v>0</v>
      </c>
      <c r="J499" s="4"/>
      <c r="K499" s="100">
        <f t="shared" si="30"/>
        <v>0</v>
      </c>
      <c r="L499" s="85">
        <f t="shared" si="31"/>
        <v>0</v>
      </c>
    </row>
    <row r="500" spans="1:12" s="60" customFormat="1" x14ac:dyDescent="0.35">
      <c r="A500" s="21">
        <v>69</v>
      </c>
      <c r="B500" s="74" t="s">
        <v>70</v>
      </c>
      <c r="C500" s="39" t="s">
        <v>5</v>
      </c>
      <c r="D500" s="39"/>
      <c r="E500" s="75">
        <f>E503+E504</f>
        <v>0.84839999999999993</v>
      </c>
      <c r="F500" s="9"/>
      <c r="G500" s="85">
        <f t="shared" si="28"/>
        <v>0</v>
      </c>
      <c r="H500" s="3"/>
      <c r="I500" s="85">
        <f t="shared" si="29"/>
        <v>0</v>
      </c>
      <c r="J500" s="3"/>
      <c r="K500" s="100">
        <f t="shared" si="30"/>
        <v>0</v>
      </c>
      <c r="L500" s="85">
        <f t="shared" si="31"/>
        <v>0</v>
      </c>
    </row>
    <row r="501" spans="1:12" s="60" customFormat="1" x14ac:dyDescent="0.35">
      <c r="A501" s="21"/>
      <c r="B501" s="45" t="s">
        <v>39</v>
      </c>
      <c r="C501" s="46" t="s">
        <v>5</v>
      </c>
      <c r="D501" s="4">
        <v>1</v>
      </c>
      <c r="E501" s="4">
        <f>E500*D501</f>
        <v>0.84839999999999993</v>
      </c>
      <c r="F501" s="4"/>
      <c r="G501" s="85">
        <f t="shared" si="28"/>
        <v>0</v>
      </c>
      <c r="H501" s="4"/>
      <c r="I501" s="85">
        <f t="shared" si="29"/>
        <v>0</v>
      </c>
      <c r="J501" s="4"/>
      <c r="K501" s="100">
        <f t="shared" si="30"/>
        <v>0</v>
      </c>
      <c r="L501" s="85">
        <f t="shared" si="31"/>
        <v>0</v>
      </c>
    </row>
    <row r="502" spans="1:12" s="60" customFormat="1" x14ac:dyDescent="0.35">
      <c r="A502" s="21"/>
      <c r="B502" s="10" t="s">
        <v>71</v>
      </c>
      <c r="C502" s="5" t="s">
        <v>6</v>
      </c>
      <c r="D502" s="5">
        <v>6.8</v>
      </c>
      <c r="E502" s="4">
        <f>D502*E500</f>
        <v>5.7691199999999991</v>
      </c>
      <c r="F502" s="9"/>
      <c r="G502" s="85">
        <f t="shared" si="28"/>
        <v>0</v>
      </c>
      <c r="H502" s="4"/>
      <c r="I502" s="85">
        <f t="shared" si="29"/>
        <v>0</v>
      </c>
      <c r="J502" s="4"/>
      <c r="K502" s="100">
        <f t="shared" si="30"/>
        <v>0</v>
      </c>
      <c r="L502" s="85">
        <f t="shared" si="31"/>
        <v>0</v>
      </c>
    </row>
    <row r="503" spans="1:12" s="60" customFormat="1" x14ac:dyDescent="0.35">
      <c r="A503" s="21"/>
      <c r="B503" s="129" t="s">
        <v>216</v>
      </c>
      <c r="C503" s="130" t="s">
        <v>5</v>
      </c>
      <c r="D503" s="131" t="s">
        <v>29</v>
      </c>
      <c r="E503" s="12">
        <f>0.57*1.05</f>
        <v>0.59849999999999992</v>
      </c>
      <c r="F503" s="4"/>
      <c r="G503" s="85">
        <f t="shared" si="28"/>
        <v>0</v>
      </c>
      <c r="H503" s="4"/>
      <c r="I503" s="85">
        <f t="shared" si="29"/>
        <v>0</v>
      </c>
      <c r="J503" s="4"/>
      <c r="K503" s="100">
        <f t="shared" si="30"/>
        <v>0</v>
      </c>
      <c r="L503" s="85">
        <f t="shared" si="31"/>
        <v>0</v>
      </c>
    </row>
    <row r="504" spans="1:12" s="60" customFormat="1" x14ac:dyDescent="0.35">
      <c r="A504" s="21"/>
      <c r="B504" s="132" t="s">
        <v>217</v>
      </c>
      <c r="C504" s="130" t="s">
        <v>5</v>
      </c>
      <c r="D504" s="131" t="s">
        <v>29</v>
      </c>
      <c r="E504" s="12">
        <f>0.238*1.05</f>
        <v>0.24990000000000001</v>
      </c>
      <c r="F504" s="4"/>
      <c r="G504" s="85">
        <f t="shared" si="28"/>
        <v>0</v>
      </c>
      <c r="H504" s="4"/>
      <c r="I504" s="85">
        <f t="shared" si="29"/>
        <v>0</v>
      </c>
      <c r="J504" s="4"/>
      <c r="K504" s="100">
        <f t="shared" si="30"/>
        <v>0</v>
      </c>
      <c r="L504" s="85">
        <f t="shared" si="31"/>
        <v>0</v>
      </c>
    </row>
    <row r="505" spans="1:12" s="60" customFormat="1" x14ac:dyDescent="0.35">
      <c r="A505" s="21"/>
      <c r="B505" s="10" t="s">
        <v>14</v>
      </c>
      <c r="C505" s="5" t="s">
        <v>6</v>
      </c>
      <c r="D505" s="5">
        <v>12.2</v>
      </c>
      <c r="E505" s="4">
        <f>D505*E500</f>
        <v>10.350479999999999</v>
      </c>
      <c r="F505" s="9"/>
      <c r="G505" s="85">
        <f t="shared" si="28"/>
        <v>0</v>
      </c>
      <c r="H505" s="4"/>
      <c r="I505" s="85">
        <f t="shared" si="29"/>
        <v>0</v>
      </c>
      <c r="J505" s="4"/>
      <c r="K505" s="100">
        <f t="shared" si="30"/>
        <v>0</v>
      </c>
      <c r="L505" s="85">
        <f t="shared" si="31"/>
        <v>0</v>
      </c>
    </row>
    <row r="506" spans="1:12" s="60" customFormat="1" ht="27" x14ac:dyDescent="0.35">
      <c r="A506" s="68">
        <v>70</v>
      </c>
      <c r="B506" s="36" t="s">
        <v>218</v>
      </c>
      <c r="C506" s="37" t="s">
        <v>56</v>
      </c>
      <c r="D506" s="37"/>
      <c r="E506" s="38">
        <v>5.83</v>
      </c>
      <c r="F506" s="9"/>
      <c r="G506" s="85">
        <f t="shared" si="28"/>
        <v>0</v>
      </c>
      <c r="H506" s="4"/>
      <c r="I506" s="85">
        <f t="shared" si="29"/>
        <v>0</v>
      </c>
      <c r="J506" s="4"/>
      <c r="K506" s="100">
        <f t="shared" si="30"/>
        <v>0</v>
      </c>
      <c r="L506" s="85">
        <f t="shared" si="31"/>
        <v>0</v>
      </c>
    </row>
    <row r="507" spans="1:12" s="60" customFormat="1" x14ac:dyDescent="0.35">
      <c r="A507" s="68"/>
      <c r="B507" s="45" t="s">
        <v>39</v>
      </c>
      <c r="C507" s="46" t="s">
        <v>24</v>
      </c>
      <c r="D507" s="4">
        <v>1</v>
      </c>
      <c r="E507" s="4">
        <f>E506*D507</f>
        <v>5.83</v>
      </c>
      <c r="F507" s="9"/>
      <c r="G507" s="85">
        <f t="shared" si="28"/>
        <v>0</v>
      </c>
      <c r="H507" s="4"/>
      <c r="I507" s="85">
        <f t="shared" si="29"/>
        <v>0</v>
      </c>
      <c r="J507" s="4"/>
      <c r="K507" s="100">
        <f t="shared" si="30"/>
        <v>0</v>
      </c>
      <c r="L507" s="85">
        <f t="shared" si="31"/>
        <v>0</v>
      </c>
    </row>
    <row r="508" spans="1:12" s="60" customFormat="1" x14ac:dyDescent="0.35">
      <c r="A508" s="68"/>
      <c r="B508" s="10" t="s">
        <v>25</v>
      </c>
      <c r="C508" s="5" t="s">
        <v>6</v>
      </c>
      <c r="D508" s="5">
        <v>1.21</v>
      </c>
      <c r="E508" s="4">
        <f>E506*D508</f>
        <v>7.0542999999999996</v>
      </c>
      <c r="F508" s="9"/>
      <c r="G508" s="85">
        <f t="shared" si="28"/>
        <v>0</v>
      </c>
      <c r="H508" s="4"/>
      <c r="I508" s="85">
        <f t="shared" si="29"/>
        <v>0</v>
      </c>
      <c r="J508" s="4"/>
      <c r="K508" s="100">
        <f t="shared" si="30"/>
        <v>0</v>
      </c>
      <c r="L508" s="85">
        <f t="shared" si="31"/>
        <v>0</v>
      </c>
    </row>
    <row r="509" spans="1:12" s="60" customFormat="1" x14ac:dyDescent="0.35">
      <c r="A509" s="68"/>
      <c r="B509" s="133" t="s">
        <v>80</v>
      </c>
      <c r="C509" s="130" t="s">
        <v>16</v>
      </c>
      <c r="D509" s="130">
        <v>1.0149999999999999</v>
      </c>
      <c r="E509" s="4">
        <f>E506*D509</f>
        <v>5.9174499999999997</v>
      </c>
      <c r="F509" s="9"/>
      <c r="G509" s="85">
        <f t="shared" si="28"/>
        <v>0</v>
      </c>
      <c r="H509" s="4"/>
      <c r="I509" s="85">
        <f t="shared" si="29"/>
        <v>0</v>
      </c>
      <c r="J509" s="4"/>
      <c r="K509" s="100">
        <f t="shared" si="30"/>
        <v>0</v>
      </c>
      <c r="L509" s="85">
        <f t="shared" si="31"/>
        <v>0</v>
      </c>
    </row>
    <row r="510" spans="1:12" s="60" customFormat="1" x14ac:dyDescent="0.35">
      <c r="A510" s="68"/>
      <c r="B510" s="133" t="s">
        <v>68</v>
      </c>
      <c r="C510" s="130" t="s">
        <v>16</v>
      </c>
      <c r="D510" s="131">
        <v>1</v>
      </c>
      <c r="E510" s="4">
        <f>D510*E506</f>
        <v>5.83</v>
      </c>
      <c r="F510" s="9"/>
      <c r="G510" s="85">
        <f t="shared" si="28"/>
        <v>0</v>
      </c>
      <c r="H510" s="4"/>
      <c r="I510" s="85">
        <f t="shared" si="29"/>
        <v>0</v>
      </c>
      <c r="J510" s="4"/>
      <c r="K510" s="100">
        <f t="shared" si="30"/>
        <v>0</v>
      </c>
      <c r="L510" s="85">
        <f t="shared" si="31"/>
        <v>0</v>
      </c>
    </row>
    <row r="511" spans="1:12" s="60" customFormat="1" x14ac:dyDescent="0.35">
      <c r="A511" s="68"/>
      <c r="B511" s="10" t="s">
        <v>74</v>
      </c>
      <c r="C511" s="5" t="s">
        <v>17</v>
      </c>
      <c r="D511" s="5">
        <v>2.46</v>
      </c>
      <c r="E511" s="4">
        <f>D511*E506</f>
        <v>14.341799999999999</v>
      </c>
      <c r="F511" s="9"/>
      <c r="G511" s="85">
        <f t="shared" si="28"/>
        <v>0</v>
      </c>
      <c r="H511" s="4"/>
      <c r="I511" s="85">
        <f t="shared" si="29"/>
        <v>0</v>
      </c>
      <c r="J511" s="4"/>
      <c r="K511" s="100">
        <f t="shared" si="30"/>
        <v>0</v>
      </c>
      <c r="L511" s="85">
        <f t="shared" si="31"/>
        <v>0</v>
      </c>
    </row>
    <row r="512" spans="1:12" s="60" customFormat="1" x14ac:dyDescent="0.35">
      <c r="A512" s="68"/>
      <c r="B512" s="17" t="s">
        <v>75</v>
      </c>
      <c r="C512" s="5" t="s">
        <v>16</v>
      </c>
      <c r="D512" s="5">
        <v>2.3E-2</v>
      </c>
      <c r="E512" s="12">
        <f>D512*E506</f>
        <v>0.13408999999999999</v>
      </c>
      <c r="F512" s="9"/>
      <c r="G512" s="85">
        <f t="shared" si="28"/>
        <v>0</v>
      </c>
      <c r="H512" s="4"/>
      <c r="I512" s="85">
        <f t="shared" si="29"/>
        <v>0</v>
      </c>
      <c r="J512" s="4"/>
      <c r="K512" s="100">
        <f t="shared" si="30"/>
        <v>0</v>
      </c>
      <c r="L512" s="85">
        <f t="shared" si="31"/>
        <v>0</v>
      </c>
    </row>
    <row r="513" spans="1:12" s="60" customFormat="1" x14ac:dyDescent="0.35">
      <c r="A513" s="68"/>
      <c r="B513" s="27" t="s">
        <v>78</v>
      </c>
      <c r="C513" s="5" t="s">
        <v>18</v>
      </c>
      <c r="D513" s="5">
        <v>5.55</v>
      </c>
      <c r="E513" s="4">
        <f>D513*E506</f>
        <v>32.356499999999997</v>
      </c>
      <c r="F513" s="9"/>
      <c r="G513" s="85">
        <f t="shared" si="28"/>
        <v>0</v>
      </c>
      <c r="H513" s="4"/>
      <c r="I513" s="85">
        <f t="shared" si="29"/>
        <v>0</v>
      </c>
      <c r="J513" s="4"/>
      <c r="K513" s="100">
        <f t="shared" si="30"/>
        <v>0</v>
      </c>
      <c r="L513" s="85">
        <f t="shared" si="31"/>
        <v>0</v>
      </c>
    </row>
    <row r="514" spans="1:12" s="60" customFormat="1" x14ac:dyDescent="0.35">
      <c r="A514" s="68"/>
      <c r="B514" s="17" t="s">
        <v>79</v>
      </c>
      <c r="C514" s="5" t="s">
        <v>7</v>
      </c>
      <c r="D514" s="5">
        <v>3.3</v>
      </c>
      <c r="E514" s="12">
        <f>D514*E506</f>
        <v>19.239000000000001</v>
      </c>
      <c r="F514" s="9"/>
      <c r="G514" s="85">
        <f t="shared" si="28"/>
        <v>0</v>
      </c>
      <c r="H514" s="4"/>
      <c r="I514" s="85">
        <f t="shared" si="29"/>
        <v>0</v>
      </c>
      <c r="J514" s="4"/>
      <c r="K514" s="100">
        <f t="shared" si="30"/>
        <v>0</v>
      </c>
      <c r="L514" s="85">
        <f t="shared" si="31"/>
        <v>0</v>
      </c>
    </row>
    <row r="515" spans="1:12" s="60" customFormat="1" x14ac:dyDescent="0.35">
      <c r="A515" s="68"/>
      <c r="B515" s="10" t="s">
        <v>30</v>
      </c>
      <c r="C515" s="5" t="s">
        <v>6</v>
      </c>
      <c r="D515" s="5">
        <v>0.9</v>
      </c>
      <c r="E515" s="4">
        <f>D515*E506</f>
        <v>5.2469999999999999</v>
      </c>
      <c r="F515" s="9"/>
      <c r="G515" s="85">
        <f t="shared" si="28"/>
        <v>0</v>
      </c>
      <c r="H515" s="4"/>
      <c r="I515" s="85">
        <f t="shared" si="29"/>
        <v>0</v>
      </c>
      <c r="J515" s="4"/>
      <c r="K515" s="100">
        <f t="shared" si="30"/>
        <v>0</v>
      </c>
      <c r="L515" s="85">
        <f t="shared" si="31"/>
        <v>0</v>
      </c>
    </row>
    <row r="516" spans="1:12" s="60" customFormat="1" x14ac:dyDescent="0.35">
      <c r="A516" s="21">
        <v>71</v>
      </c>
      <c r="B516" s="74" t="s">
        <v>70</v>
      </c>
      <c r="C516" s="39" t="s">
        <v>5</v>
      </c>
      <c r="D516" s="39"/>
      <c r="E516" s="75">
        <f>E520+E521</f>
        <v>0.65625</v>
      </c>
      <c r="F516" s="9"/>
      <c r="G516" s="85">
        <f t="shared" si="28"/>
        <v>0</v>
      </c>
      <c r="H516" s="3"/>
      <c r="I516" s="85">
        <f t="shared" si="29"/>
        <v>0</v>
      </c>
      <c r="J516" s="3"/>
      <c r="K516" s="100">
        <f t="shared" si="30"/>
        <v>0</v>
      </c>
      <c r="L516" s="85">
        <f t="shared" si="31"/>
        <v>0</v>
      </c>
    </row>
    <row r="517" spans="1:12" s="60" customFormat="1" x14ac:dyDescent="0.35">
      <c r="A517" s="21"/>
      <c r="B517" s="45" t="s">
        <v>39</v>
      </c>
      <c r="C517" s="46" t="s">
        <v>5</v>
      </c>
      <c r="D517" s="4">
        <v>1</v>
      </c>
      <c r="E517" s="4">
        <f>E516*D517</f>
        <v>0.65625</v>
      </c>
      <c r="F517" s="4"/>
      <c r="G517" s="85">
        <f t="shared" si="28"/>
        <v>0</v>
      </c>
      <c r="H517" s="4"/>
      <c r="I517" s="85">
        <f t="shared" si="29"/>
        <v>0</v>
      </c>
      <c r="J517" s="4"/>
      <c r="K517" s="100">
        <f t="shared" si="30"/>
        <v>0</v>
      </c>
      <c r="L517" s="85">
        <f t="shared" si="31"/>
        <v>0</v>
      </c>
    </row>
    <row r="518" spans="1:12" s="60" customFormat="1" x14ac:dyDescent="0.35">
      <c r="A518" s="21"/>
      <c r="B518" s="10" t="s">
        <v>71</v>
      </c>
      <c r="C518" s="5" t="s">
        <v>6</v>
      </c>
      <c r="D518" s="5">
        <v>6.8</v>
      </c>
      <c r="E518" s="4">
        <f>D518*E516</f>
        <v>4.4624999999999995</v>
      </c>
      <c r="F518" s="9"/>
      <c r="G518" s="85">
        <f t="shared" si="28"/>
        <v>0</v>
      </c>
      <c r="H518" s="4"/>
      <c r="I518" s="85">
        <f t="shared" si="29"/>
        <v>0</v>
      </c>
      <c r="J518" s="4"/>
      <c r="K518" s="100">
        <f t="shared" si="30"/>
        <v>0</v>
      </c>
      <c r="L518" s="85">
        <f t="shared" si="31"/>
        <v>0</v>
      </c>
    </row>
    <row r="519" spans="1:12" s="60" customFormat="1" x14ac:dyDescent="0.35">
      <c r="A519" s="21"/>
      <c r="B519" s="129" t="s">
        <v>219</v>
      </c>
      <c r="C519" s="130" t="s">
        <v>5</v>
      </c>
      <c r="D519" s="131" t="s">
        <v>29</v>
      </c>
      <c r="E519" s="12">
        <f>0.229*1.05</f>
        <v>0.24045000000000002</v>
      </c>
      <c r="F519" s="4"/>
      <c r="G519" s="85">
        <f t="shared" si="28"/>
        <v>0</v>
      </c>
      <c r="H519" s="4"/>
      <c r="I519" s="85">
        <f t="shared" si="29"/>
        <v>0</v>
      </c>
      <c r="J519" s="4"/>
      <c r="K519" s="100">
        <f t="shared" si="30"/>
        <v>0</v>
      </c>
      <c r="L519" s="85">
        <f t="shared" si="31"/>
        <v>0</v>
      </c>
    </row>
    <row r="520" spans="1:12" s="60" customFormat="1" x14ac:dyDescent="0.35">
      <c r="A520" s="21"/>
      <c r="B520" s="129" t="s">
        <v>220</v>
      </c>
      <c r="C520" s="130" t="s">
        <v>5</v>
      </c>
      <c r="D520" s="131" t="s">
        <v>29</v>
      </c>
      <c r="E520" s="12">
        <f>0.387*1.05</f>
        <v>0.40635000000000004</v>
      </c>
      <c r="F520" s="4"/>
      <c r="G520" s="85">
        <f t="shared" si="28"/>
        <v>0</v>
      </c>
      <c r="H520" s="4"/>
      <c r="I520" s="85">
        <f t="shared" si="29"/>
        <v>0</v>
      </c>
      <c r="J520" s="4"/>
      <c r="K520" s="100">
        <f t="shared" si="30"/>
        <v>0</v>
      </c>
      <c r="L520" s="85">
        <f t="shared" si="31"/>
        <v>0</v>
      </c>
    </row>
    <row r="521" spans="1:12" s="60" customFormat="1" x14ac:dyDescent="0.35">
      <c r="A521" s="21"/>
      <c r="B521" s="132" t="s">
        <v>217</v>
      </c>
      <c r="C521" s="130" t="s">
        <v>5</v>
      </c>
      <c r="D521" s="131" t="s">
        <v>29</v>
      </c>
      <c r="E521" s="12">
        <f>0.238*1.05</f>
        <v>0.24990000000000001</v>
      </c>
      <c r="F521" s="4"/>
      <c r="G521" s="85">
        <f t="shared" si="28"/>
        <v>0</v>
      </c>
      <c r="H521" s="4"/>
      <c r="I521" s="85">
        <f t="shared" si="29"/>
        <v>0</v>
      </c>
      <c r="J521" s="4"/>
      <c r="K521" s="100">
        <f t="shared" si="30"/>
        <v>0</v>
      </c>
      <c r="L521" s="85">
        <f t="shared" si="31"/>
        <v>0</v>
      </c>
    </row>
    <row r="522" spans="1:12" s="60" customFormat="1" x14ac:dyDescent="0.35">
      <c r="A522" s="21"/>
      <c r="B522" s="10" t="s">
        <v>14</v>
      </c>
      <c r="C522" s="5" t="s">
        <v>6</v>
      </c>
      <c r="D522" s="5">
        <v>12.2</v>
      </c>
      <c r="E522" s="4">
        <f>D522*E516</f>
        <v>8.0062499999999996</v>
      </c>
      <c r="F522" s="9"/>
      <c r="G522" s="85">
        <f t="shared" si="28"/>
        <v>0</v>
      </c>
      <c r="H522" s="4"/>
      <c r="I522" s="85">
        <f t="shared" si="29"/>
        <v>0</v>
      </c>
      <c r="J522" s="4"/>
      <c r="K522" s="100">
        <f t="shared" si="30"/>
        <v>0</v>
      </c>
      <c r="L522" s="85">
        <f t="shared" si="31"/>
        <v>0</v>
      </c>
    </row>
    <row r="523" spans="1:12" s="60" customFormat="1" ht="27" x14ac:dyDescent="0.35">
      <c r="A523" s="68">
        <v>72</v>
      </c>
      <c r="B523" s="36" t="s">
        <v>221</v>
      </c>
      <c r="C523" s="37" t="s">
        <v>56</v>
      </c>
      <c r="D523" s="37"/>
      <c r="E523" s="38">
        <v>6.23</v>
      </c>
      <c r="F523" s="9"/>
      <c r="G523" s="85">
        <f t="shared" si="28"/>
        <v>0</v>
      </c>
      <c r="H523" s="4"/>
      <c r="I523" s="85">
        <f t="shared" si="29"/>
        <v>0</v>
      </c>
      <c r="J523" s="4"/>
      <c r="K523" s="100">
        <f t="shared" si="30"/>
        <v>0</v>
      </c>
      <c r="L523" s="85">
        <f t="shared" si="31"/>
        <v>0</v>
      </c>
    </row>
    <row r="524" spans="1:12" s="60" customFormat="1" x14ac:dyDescent="0.35">
      <c r="A524" s="68"/>
      <c r="B524" s="45" t="s">
        <v>39</v>
      </c>
      <c r="C524" s="46" t="s">
        <v>24</v>
      </c>
      <c r="D524" s="4">
        <v>1</v>
      </c>
      <c r="E524" s="4">
        <f>E523*D524</f>
        <v>6.23</v>
      </c>
      <c r="F524" s="9"/>
      <c r="G524" s="85">
        <f t="shared" ref="G524:G587" si="32">F524*E524</f>
        <v>0</v>
      </c>
      <c r="H524" s="4"/>
      <c r="I524" s="85">
        <f t="shared" ref="I524:I587" si="33">H524*E524</f>
        <v>0</v>
      </c>
      <c r="J524" s="4"/>
      <c r="K524" s="100">
        <f t="shared" ref="K524:K587" si="34">J524*E524</f>
        <v>0</v>
      </c>
      <c r="L524" s="85">
        <f t="shared" ref="L524:L587" si="35">K524+I524+G524</f>
        <v>0</v>
      </c>
    </row>
    <row r="525" spans="1:12" s="60" customFormat="1" x14ac:dyDescent="0.35">
      <c r="A525" s="68"/>
      <c r="B525" s="10" t="s">
        <v>25</v>
      </c>
      <c r="C525" s="5" t="s">
        <v>6</v>
      </c>
      <c r="D525" s="5">
        <v>1.21</v>
      </c>
      <c r="E525" s="4">
        <f>E523*D525</f>
        <v>7.5383000000000004</v>
      </c>
      <c r="F525" s="9"/>
      <c r="G525" s="85">
        <f t="shared" si="32"/>
        <v>0</v>
      </c>
      <c r="H525" s="4"/>
      <c r="I525" s="85">
        <f t="shared" si="33"/>
        <v>0</v>
      </c>
      <c r="J525" s="4"/>
      <c r="K525" s="100">
        <f t="shared" si="34"/>
        <v>0</v>
      </c>
      <c r="L525" s="85">
        <f t="shared" si="35"/>
        <v>0</v>
      </c>
    </row>
    <row r="526" spans="1:12" s="60" customFormat="1" x14ac:dyDescent="0.35">
      <c r="A526" s="68"/>
      <c r="B526" s="133" t="s">
        <v>80</v>
      </c>
      <c r="C526" s="130" t="s">
        <v>16</v>
      </c>
      <c r="D526" s="130">
        <v>1.0149999999999999</v>
      </c>
      <c r="E526" s="4">
        <f>E523*D526</f>
        <v>6.3234500000000002</v>
      </c>
      <c r="F526" s="9"/>
      <c r="G526" s="85">
        <f t="shared" si="32"/>
        <v>0</v>
      </c>
      <c r="H526" s="4"/>
      <c r="I526" s="85">
        <f t="shared" si="33"/>
        <v>0</v>
      </c>
      <c r="J526" s="4"/>
      <c r="K526" s="100">
        <f t="shared" si="34"/>
        <v>0</v>
      </c>
      <c r="L526" s="85">
        <f t="shared" si="35"/>
        <v>0</v>
      </c>
    </row>
    <row r="527" spans="1:12" s="60" customFormat="1" x14ac:dyDescent="0.35">
      <c r="A527" s="68"/>
      <c r="B527" s="133" t="s">
        <v>68</v>
      </c>
      <c r="C527" s="130" t="s">
        <v>16</v>
      </c>
      <c r="D527" s="131">
        <v>1</v>
      </c>
      <c r="E527" s="4">
        <f>D527*E523</f>
        <v>6.23</v>
      </c>
      <c r="F527" s="9"/>
      <c r="G527" s="85">
        <f t="shared" si="32"/>
        <v>0</v>
      </c>
      <c r="H527" s="4"/>
      <c r="I527" s="85">
        <f t="shared" si="33"/>
        <v>0</v>
      </c>
      <c r="J527" s="4"/>
      <c r="K527" s="100">
        <f t="shared" si="34"/>
        <v>0</v>
      </c>
      <c r="L527" s="85">
        <f t="shared" si="35"/>
        <v>0</v>
      </c>
    </row>
    <row r="528" spans="1:12" s="60" customFormat="1" x14ac:dyDescent="0.35">
      <c r="A528" s="68"/>
      <c r="B528" s="10" t="s">
        <v>74</v>
      </c>
      <c r="C528" s="5" t="s">
        <v>17</v>
      </c>
      <c r="D528" s="5">
        <v>2.46</v>
      </c>
      <c r="E528" s="4">
        <f>D528*E523</f>
        <v>15.325800000000001</v>
      </c>
      <c r="F528" s="9"/>
      <c r="G528" s="85">
        <f t="shared" si="32"/>
        <v>0</v>
      </c>
      <c r="H528" s="4"/>
      <c r="I528" s="85">
        <f t="shared" si="33"/>
        <v>0</v>
      </c>
      <c r="J528" s="4"/>
      <c r="K528" s="100">
        <f t="shared" si="34"/>
        <v>0</v>
      </c>
      <c r="L528" s="85">
        <f t="shared" si="35"/>
        <v>0</v>
      </c>
    </row>
    <row r="529" spans="1:12" s="60" customFormat="1" x14ac:dyDescent="0.35">
      <c r="A529" s="68"/>
      <c r="B529" s="17" t="s">
        <v>75</v>
      </c>
      <c r="C529" s="5" t="s">
        <v>16</v>
      </c>
      <c r="D529" s="5">
        <v>2.3E-2</v>
      </c>
      <c r="E529" s="12">
        <f>D529*E523</f>
        <v>0.14329</v>
      </c>
      <c r="F529" s="9"/>
      <c r="G529" s="85">
        <f t="shared" si="32"/>
        <v>0</v>
      </c>
      <c r="H529" s="4"/>
      <c r="I529" s="85">
        <f t="shared" si="33"/>
        <v>0</v>
      </c>
      <c r="J529" s="4"/>
      <c r="K529" s="100">
        <f t="shared" si="34"/>
        <v>0</v>
      </c>
      <c r="L529" s="85">
        <f t="shared" si="35"/>
        <v>0</v>
      </c>
    </row>
    <row r="530" spans="1:12" s="60" customFormat="1" x14ac:dyDescent="0.35">
      <c r="A530" s="68"/>
      <c r="B530" s="27" t="s">
        <v>78</v>
      </c>
      <c r="C530" s="5" t="s">
        <v>18</v>
      </c>
      <c r="D530" s="5">
        <v>5.55</v>
      </c>
      <c r="E530" s="4">
        <f>D530*E523</f>
        <v>34.576500000000003</v>
      </c>
      <c r="F530" s="9"/>
      <c r="G530" s="85">
        <f t="shared" si="32"/>
        <v>0</v>
      </c>
      <c r="H530" s="4"/>
      <c r="I530" s="85">
        <f t="shared" si="33"/>
        <v>0</v>
      </c>
      <c r="J530" s="4"/>
      <c r="K530" s="100">
        <f t="shared" si="34"/>
        <v>0</v>
      </c>
      <c r="L530" s="85">
        <f t="shared" si="35"/>
        <v>0</v>
      </c>
    </row>
    <row r="531" spans="1:12" s="60" customFormat="1" x14ac:dyDescent="0.35">
      <c r="A531" s="68"/>
      <c r="B531" s="17" t="s">
        <v>79</v>
      </c>
      <c r="C531" s="5" t="s">
        <v>7</v>
      </c>
      <c r="D531" s="5">
        <v>3.3</v>
      </c>
      <c r="E531" s="12">
        <f>D531*E523</f>
        <v>20.559000000000001</v>
      </c>
      <c r="F531" s="9"/>
      <c r="G531" s="85">
        <f t="shared" si="32"/>
        <v>0</v>
      </c>
      <c r="H531" s="4"/>
      <c r="I531" s="85">
        <f t="shared" si="33"/>
        <v>0</v>
      </c>
      <c r="J531" s="4"/>
      <c r="K531" s="100">
        <f t="shared" si="34"/>
        <v>0</v>
      </c>
      <c r="L531" s="85">
        <f t="shared" si="35"/>
        <v>0</v>
      </c>
    </row>
    <row r="532" spans="1:12" s="60" customFormat="1" x14ac:dyDescent="0.35">
      <c r="A532" s="68"/>
      <c r="B532" s="10" t="s">
        <v>30</v>
      </c>
      <c r="C532" s="5" t="s">
        <v>6</v>
      </c>
      <c r="D532" s="5">
        <v>0.9</v>
      </c>
      <c r="E532" s="4">
        <f>D532*E523</f>
        <v>5.6070000000000002</v>
      </c>
      <c r="F532" s="9"/>
      <c r="G532" s="85">
        <f t="shared" si="32"/>
        <v>0</v>
      </c>
      <c r="H532" s="4"/>
      <c r="I532" s="85">
        <f t="shared" si="33"/>
        <v>0</v>
      </c>
      <c r="J532" s="4"/>
      <c r="K532" s="100">
        <f t="shared" si="34"/>
        <v>0</v>
      </c>
      <c r="L532" s="85">
        <f t="shared" si="35"/>
        <v>0</v>
      </c>
    </row>
    <row r="533" spans="1:12" s="60" customFormat="1" x14ac:dyDescent="0.35">
      <c r="A533" s="21">
        <v>73</v>
      </c>
      <c r="B533" s="74" t="s">
        <v>70</v>
      </c>
      <c r="C533" s="39" t="s">
        <v>5</v>
      </c>
      <c r="D533" s="39"/>
      <c r="E533" s="75">
        <f>E536+E537</f>
        <v>0.90195000000000003</v>
      </c>
      <c r="F533" s="9"/>
      <c r="G533" s="85">
        <f t="shared" si="32"/>
        <v>0</v>
      </c>
      <c r="H533" s="3"/>
      <c r="I533" s="85">
        <f t="shared" si="33"/>
        <v>0</v>
      </c>
      <c r="J533" s="3"/>
      <c r="K533" s="100">
        <f t="shared" si="34"/>
        <v>0</v>
      </c>
      <c r="L533" s="85">
        <f t="shared" si="35"/>
        <v>0</v>
      </c>
    </row>
    <row r="534" spans="1:12" s="60" customFormat="1" x14ac:dyDescent="0.35">
      <c r="A534" s="21"/>
      <c r="B534" s="45" t="s">
        <v>39</v>
      </c>
      <c r="C534" s="46" t="s">
        <v>5</v>
      </c>
      <c r="D534" s="4">
        <v>1</v>
      </c>
      <c r="E534" s="4">
        <f>E533*D534</f>
        <v>0.90195000000000003</v>
      </c>
      <c r="F534" s="4"/>
      <c r="G534" s="85">
        <f t="shared" si="32"/>
        <v>0</v>
      </c>
      <c r="H534" s="4"/>
      <c r="I534" s="85">
        <f t="shared" si="33"/>
        <v>0</v>
      </c>
      <c r="J534" s="4"/>
      <c r="K534" s="100">
        <f t="shared" si="34"/>
        <v>0</v>
      </c>
      <c r="L534" s="85">
        <f t="shared" si="35"/>
        <v>0</v>
      </c>
    </row>
    <row r="535" spans="1:12" s="60" customFormat="1" x14ac:dyDescent="0.35">
      <c r="A535" s="21"/>
      <c r="B535" s="10" t="s">
        <v>71</v>
      </c>
      <c r="C535" s="5" t="s">
        <v>6</v>
      </c>
      <c r="D535" s="5">
        <v>6.8</v>
      </c>
      <c r="E535" s="4">
        <f>D535*E533</f>
        <v>6.1332599999999999</v>
      </c>
      <c r="F535" s="9"/>
      <c r="G535" s="85">
        <f t="shared" si="32"/>
        <v>0</v>
      </c>
      <c r="H535" s="4"/>
      <c r="I535" s="85">
        <f t="shared" si="33"/>
        <v>0</v>
      </c>
      <c r="J535" s="4"/>
      <c r="K535" s="100">
        <f t="shared" si="34"/>
        <v>0</v>
      </c>
      <c r="L535" s="85">
        <f t="shared" si="35"/>
        <v>0</v>
      </c>
    </row>
    <row r="536" spans="1:12" s="60" customFormat="1" x14ac:dyDescent="0.35">
      <c r="A536" s="21"/>
      <c r="B536" s="129" t="s">
        <v>222</v>
      </c>
      <c r="C536" s="130" t="s">
        <v>5</v>
      </c>
      <c r="D536" s="131" t="s">
        <v>29</v>
      </c>
      <c r="E536" s="12">
        <f>0.621*1.05</f>
        <v>0.65205000000000002</v>
      </c>
      <c r="F536" s="4"/>
      <c r="G536" s="85">
        <f t="shared" si="32"/>
        <v>0</v>
      </c>
      <c r="H536" s="4"/>
      <c r="I536" s="85">
        <f t="shared" si="33"/>
        <v>0</v>
      </c>
      <c r="J536" s="4"/>
      <c r="K536" s="100">
        <f t="shared" si="34"/>
        <v>0</v>
      </c>
      <c r="L536" s="85">
        <f t="shared" si="35"/>
        <v>0</v>
      </c>
    </row>
    <row r="537" spans="1:12" s="60" customFormat="1" x14ac:dyDescent="0.35">
      <c r="A537" s="21"/>
      <c r="B537" s="132" t="s">
        <v>217</v>
      </c>
      <c r="C537" s="130" t="s">
        <v>5</v>
      </c>
      <c r="D537" s="131" t="s">
        <v>29</v>
      </c>
      <c r="E537" s="12">
        <f>0.238*1.05</f>
        <v>0.24990000000000001</v>
      </c>
      <c r="F537" s="4"/>
      <c r="G537" s="85">
        <f t="shared" si="32"/>
        <v>0</v>
      </c>
      <c r="H537" s="4"/>
      <c r="I537" s="85">
        <f t="shared" si="33"/>
        <v>0</v>
      </c>
      <c r="J537" s="4"/>
      <c r="K537" s="100">
        <f t="shared" si="34"/>
        <v>0</v>
      </c>
      <c r="L537" s="85">
        <f t="shared" si="35"/>
        <v>0</v>
      </c>
    </row>
    <row r="538" spans="1:12" s="60" customFormat="1" x14ac:dyDescent="0.35">
      <c r="A538" s="21"/>
      <c r="B538" s="10" t="s">
        <v>14</v>
      </c>
      <c r="C538" s="5" t="s">
        <v>6</v>
      </c>
      <c r="D538" s="5">
        <v>12.2</v>
      </c>
      <c r="E538" s="4">
        <f>D538*E533</f>
        <v>11.00379</v>
      </c>
      <c r="F538" s="9"/>
      <c r="G538" s="85">
        <f t="shared" si="32"/>
        <v>0</v>
      </c>
      <c r="H538" s="4"/>
      <c r="I538" s="85">
        <f t="shared" si="33"/>
        <v>0</v>
      </c>
      <c r="J538" s="4"/>
      <c r="K538" s="100">
        <f t="shared" si="34"/>
        <v>0</v>
      </c>
      <c r="L538" s="85">
        <f t="shared" si="35"/>
        <v>0</v>
      </c>
    </row>
    <row r="539" spans="1:12" s="60" customFormat="1" x14ac:dyDescent="0.35">
      <c r="A539" s="21"/>
      <c r="B539" s="43" t="s">
        <v>99</v>
      </c>
      <c r="C539" s="5"/>
      <c r="D539" s="5"/>
      <c r="E539" s="4"/>
      <c r="F539" s="9"/>
      <c r="G539" s="85">
        <f t="shared" si="32"/>
        <v>0</v>
      </c>
      <c r="H539" s="4"/>
      <c r="I539" s="85">
        <f t="shared" si="33"/>
        <v>0</v>
      </c>
      <c r="J539" s="4"/>
      <c r="K539" s="100">
        <f t="shared" si="34"/>
        <v>0</v>
      </c>
      <c r="L539" s="85">
        <f t="shared" si="35"/>
        <v>0</v>
      </c>
    </row>
    <row r="540" spans="1:12" s="60" customFormat="1" ht="27" x14ac:dyDescent="0.35">
      <c r="A540" s="68">
        <v>74</v>
      </c>
      <c r="B540" s="36" t="s">
        <v>186</v>
      </c>
      <c r="C540" s="37" t="s">
        <v>56</v>
      </c>
      <c r="D540" s="37"/>
      <c r="E540" s="38">
        <f>86.58*2</f>
        <v>173.16</v>
      </c>
      <c r="F540" s="9"/>
      <c r="G540" s="85">
        <f t="shared" si="32"/>
        <v>0</v>
      </c>
      <c r="H540" s="4"/>
      <c r="I540" s="85">
        <f t="shared" si="33"/>
        <v>0</v>
      </c>
      <c r="J540" s="4"/>
      <c r="K540" s="100">
        <f t="shared" si="34"/>
        <v>0</v>
      </c>
      <c r="L540" s="85">
        <f t="shared" si="35"/>
        <v>0</v>
      </c>
    </row>
    <row r="541" spans="1:12" s="60" customFormat="1" x14ac:dyDescent="0.35">
      <c r="A541" s="68"/>
      <c r="B541" s="45" t="s">
        <v>39</v>
      </c>
      <c r="C541" s="46" t="s">
        <v>24</v>
      </c>
      <c r="D541" s="4">
        <v>1</v>
      </c>
      <c r="E541" s="4">
        <f>E540*D541</f>
        <v>173.16</v>
      </c>
      <c r="F541" s="4"/>
      <c r="G541" s="85">
        <f t="shared" si="32"/>
        <v>0</v>
      </c>
      <c r="H541" s="4"/>
      <c r="I541" s="85">
        <f t="shared" si="33"/>
        <v>0</v>
      </c>
      <c r="J541" s="4"/>
      <c r="K541" s="100">
        <f t="shared" si="34"/>
        <v>0</v>
      </c>
      <c r="L541" s="85">
        <f t="shared" si="35"/>
        <v>0</v>
      </c>
    </row>
    <row r="542" spans="1:12" s="60" customFormat="1" x14ac:dyDescent="0.35">
      <c r="A542" s="68"/>
      <c r="B542" s="10" t="s">
        <v>71</v>
      </c>
      <c r="C542" s="5" t="s">
        <v>6</v>
      </c>
      <c r="D542" s="5">
        <v>1.28</v>
      </c>
      <c r="E542" s="4">
        <f>D542*E540</f>
        <v>221.6448</v>
      </c>
      <c r="F542" s="9"/>
      <c r="G542" s="85">
        <f t="shared" si="32"/>
        <v>0</v>
      </c>
      <c r="H542" s="4"/>
      <c r="I542" s="85">
        <f t="shared" si="33"/>
        <v>0</v>
      </c>
      <c r="J542" s="4"/>
      <c r="K542" s="100">
        <f t="shared" si="34"/>
        <v>0</v>
      </c>
      <c r="L542" s="85">
        <f t="shared" si="35"/>
        <v>0</v>
      </c>
    </row>
    <row r="543" spans="1:12" s="60" customFormat="1" x14ac:dyDescent="0.35">
      <c r="A543" s="68"/>
      <c r="B543" s="133" t="s">
        <v>77</v>
      </c>
      <c r="C543" s="130" t="s">
        <v>16</v>
      </c>
      <c r="D543" s="130">
        <v>1.0149999999999999</v>
      </c>
      <c r="E543" s="4">
        <f>D543*E540</f>
        <v>175.75739999999999</v>
      </c>
      <c r="F543" s="9"/>
      <c r="G543" s="85">
        <f t="shared" si="32"/>
        <v>0</v>
      </c>
      <c r="H543" s="4"/>
      <c r="I543" s="85">
        <f t="shared" si="33"/>
        <v>0</v>
      </c>
      <c r="J543" s="4"/>
      <c r="K543" s="100">
        <f t="shared" si="34"/>
        <v>0</v>
      </c>
      <c r="L543" s="85">
        <f t="shared" si="35"/>
        <v>0</v>
      </c>
    </row>
    <row r="544" spans="1:12" s="60" customFormat="1" x14ac:dyDescent="0.35">
      <c r="A544" s="68"/>
      <c r="B544" s="133" t="s">
        <v>68</v>
      </c>
      <c r="C544" s="130" t="s">
        <v>16</v>
      </c>
      <c r="D544" s="131">
        <v>1</v>
      </c>
      <c r="E544" s="4">
        <f>D544*E540</f>
        <v>173.16</v>
      </c>
      <c r="F544" s="9"/>
      <c r="G544" s="85">
        <f t="shared" si="32"/>
        <v>0</v>
      </c>
      <c r="H544" s="4"/>
      <c r="I544" s="85">
        <f t="shared" si="33"/>
        <v>0</v>
      </c>
      <c r="J544" s="4"/>
      <c r="K544" s="100">
        <f t="shared" si="34"/>
        <v>0</v>
      </c>
      <c r="L544" s="85">
        <f t="shared" si="35"/>
        <v>0</v>
      </c>
    </row>
    <row r="545" spans="1:12" s="60" customFormat="1" x14ac:dyDescent="0.35">
      <c r="A545" s="68"/>
      <c r="B545" s="10" t="s">
        <v>74</v>
      </c>
      <c r="C545" s="5" t="s">
        <v>17</v>
      </c>
      <c r="D545" s="5">
        <v>2.29</v>
      </c>
      <c r="E545" s="4">
        <f>D545*E540</f>
        <v>396.53640000000001</v>
      </c>
      <c r="F545" s="9"/>
      <c r="G545" s="85">
        <f t="shared" si="32"/>
        <v>0</v>
      </c>
      <c r="H545" s="4"/>
      <c r="I545" s="85">
        <f t="shared" si="33"/>
        <v>0</v>
      </c>
      <c r="J545" s="4"/>
      <c r="K545" s="100">
        <f t="shared" si="34"/>
        <v>0</v>
      </c>
      <c r="L545" s="85">
        <f t="shared" si="35"/>
        <v>0</v>
      </c>
    </row>
    <row r="546" spans="1:12" s="60" customFormat="1" x14ac:dyDescent="0.35">
      <c r="A546" s="68"/>
      <c r="B546" s="17" t="s">
        <v>75</v>
      </c>
      <c r="C546" s="5" t="s">
        <v>16</v>
      </c>
      <c r="D546" s="5">
        <v>5.8900000000000001E-2</v>
      </c>
      <c r="E546" s="12">
        <f>D546*E540</f>
        <v>10.199123999999999</v>
      </c>
      <c r="F546" s="9"/>
      <c r="G546" s="85">
        <f t="shared" si="32"/>
        <v>0</v>
      </c>
      <c r="H546" s="4"/>
      <c r="I546" s="85">
        <f t="shared" si="33"/>
        <v>0</v>
      </c>
      <c r="J546" s="4"/>
      <c r="K546" s="100">
        <f t="shared" si="34"/>
        <v>0</v>
      </c>
      <c r="L546" s="85">
        <f t="shared" si="35"/>
        <v>0</v>
      </c>
    </row>
    <row r="547" spans="1:12" s="60" customFormat="1" x14ac:dyDescent="0.35">
      <c r="A547" s="68"/>
      <c r="B547" s="27" t="s">
        <v>78</v>
      </c>
      <c r="C547" s="5" t="s">
        <v>18</v>
      </c>
      <c r="D547" s="4">
        <v>5</v>
      </c>
      <c r="E547" s="4">
        <f>D547*E540</f>
        <v>865.8</v>
      </c>
      <c r="F547" s="9"/>
      <c r="G547" s="85">
        <f t="shared" si="32"/>
        <v>0</v>
      </c>
      <c r="H547" s="4"/>
      <c r="I547" s="85">
        <f t="shared" si="33"/>
        <v>0</v>
      </c>
      <c r="J547" s="4"/>
      <c r="K547" s="100">
        <f t="shared" si="34"/>
        <v>0</v>
      </c>
      <c r="L547" s="85">
        <f t="shared" si="35"/>
        <v>0</v>
      </c>
    </row>
    <row r="548" spans="1:12" s="60" customFormat="1" x14ac:dyDescent="0.35">
      <c r="A548" s="68"/>
      <c r="B548" s="17" t="s">
        <v>79</v>
      </c>
      <c r="C548" s="5" t="s">
        <v>7</v>
      </c>
      <c r="D548" s="5">
        <v>2.5</v>
      </c>
      <c r="E548" s="4">
        <f>D548*E540</f>
        <v>432.9</v>
      </c>
      <c r="F548" s="9"/>
      <c r="G548" s="85">
        <f t="shared" si="32"/>
        <v>0</v>
      </c>
      <c r="H548" s="4"/>
      <c r="I548" s="85">
        <f t="shared" si="33"/>
        <v>0</v>
      </c>
      <c r="J548" s="4"/>
      <c r="K548" s="100">
        <f t="shared" si="34"/>
        <v>0</v>
      </c>
      <c r="L548" s="85">
        <f t="shared" si="35"/>
        <v>0</v>
      </c>
    </row>
    <row r="549" spans="1:12" s="60" customFormat="1" x14ac:dyDescent="0.35">
      <c r="A549" s="68"/>
      <c r="B549" s="10" t="s">
        <v>14</v>
      </c>
      <c r="C549" s="5" t="s">
        <v>6</v>
      </c>
      <c r="D549" s="5">
        <v>0.93</v>
      </c>
      <c r="E549" s="4">
        <f>D549*E540</f>
        <v>161.03880000000001</v>
      </c>
      <c r="F549" s="9"/>
      <c r="G549" s="85">
        <f t="shared" si="32"/>
        <v>0</v>
      </c>
      <c r="H549" s="4"/>
      <c r="I549" s="85">
        <f t="shared" si="33"/>
        <v>0</v>
      </c>
      <c r="J549" s="4"/>
      <c r="K549" s="100">
        <f t="shared" si="34"/>
        <v>0</v>
      </c>
      <c r="L549" s="85">
        <f t="shared" si="35"/>
        <v>0</v>
      </c>
    </row>
    <row r="550" spans="1:12" s="60" customFormat="1" x14ac:dyDescent="0.35">
      <c r="A550" s="21">
        <v>75</v>
      </c>
      <c r="B550" s="74" t="s">
        <v>70</v>
      </c>
      <c r="C550" s="39" t="s">
        <v>5</v>
      </c>
      <c r="D550" s="39"/>
      <c r="E550" s="75">
        <f>E553+E554+E555+E556</f>
        <v>24.133200000000002</v>
      </c>
      <c r="F550" s="9"/>
      <c r="G550" s="85">
        <f t="shared" si="32"/>
        <v>0</v>
      </c>
      <c r="H550" s="4"/>
      <c r="I550" s="85">
        <f t="shared" si="33"/>
        <v>0</v>
      </c>
      <c r="J550" s="3"/>
      <c r="K550" s="100">
        <f t="shared" si="34"/>
        <v>0</v>
      </c>
      <c r="L550" s="85">
        <f t="shared" si="35"/>
        <v>0</v>
      </c>
    </row>
    <row r="551" spans="1:12" s="60" customFormat="1" x14ac:dyDescent="0.35">
      <c r="A551" s="21"/>
      <c r="B551" s="6" t="s">
        <v>39</v>
      </c>
      <c r="C551" s="8" t="s">
        <v>5</v>
      </c>
      <c r="D551" s="18">
        <v>1</v>
      </c>
      <c r="E551" s="49">
        <f>E550*D551</f>
        <v>24.133200000000002</v>
      </c>
      <c r="F551" s="9"/>
      <c r="G551" s="85">
        <f t="shared" si="32"/>
        <v>0</v>
      </c>
      <c r="H551" s="4"/>
      <c r="I551" s="85">
        <f t="shared" si="33"/>
        <v>0</v>
      </c>
      <c r="J551" s="3"/>
      <c r="K551" s="100">
        <f t="shared" si="34"/>
        <v>0</v>
      </c>
      <c r="L551" s="85">
        <f t="shared" si="35"/>
        <v>0</v>
      </c>
    </row>
    <row r="552" spans="1:12" s="60" customFormat="1" x14ac:dyDescent="0.35">
      <c r="A552" s="21"/>
      <c r="B552" s="10" t="s">
        <v>71</v>
      </c>
      <c r="C552" s="5" t="s">
        <v>6</v>
      </c>
      <c r="D552" s="5">
        <v>6.8</v>
      </c>
      <c r="E552" s="4">
        <f>D552*E550</f>
        <v>164.10576</v>
      </c>
      <c r="F552" s="9"/>
      <c r="G552" s="85">
        <f t="shared" si="32"/>
        <v>0</v>
      </c>
      <c r="H552" s="4"/>
      <c r="I552" s="85">
        <f t="shared" si="33"/>
        <v>0</v>
      </c>
      <c r="J552" s="4"/>
      <c r="K552" s="100">
        <f t="shared" si="34"/>
        <v>0</v>
      </c>
      <c r="L552" s="85">
        <f t="shared" si="35"/>
        <v>0</v>
      </c>
    </row>
    <row r="553" spans="1:12" s="60" customFormat="1" x14ac:dyDescent="0.35">
      <c r="A553" s="21"/>
      <c r="B553" s="129" t="s">
        <v>187</v>
      </c>
      <c r="C553" s="130" t="s">
        <v>5</v>
      </c>
      <c r="D553" s="131" t="s">
        <v>29</v>
      </c>
      <c r="E553" s="12">
        <f>0.368*2*1.05</f>
        <v>0.77280000000000004</v>
      </c>
      <c r="F553" s="4"/>
      <c r="G553" s="85">
        <f t="shared" si="32"/>
        <v>0</v>
      </c>
      <c r="H553" s="4"/>
      <c r="I553" s="85">
        <f t="shared" si="33"/>
        <v>0</v>
      </c>
      <c r="J553" s="4"/>
      <c r="K553" s="100">
        <f t="shared" si="34"/>
        <v>0</v>
      </c>
      <c r="L553" s="85">
        <f t="shared" si="35"/>
        <v>0</v>
      </c>
    </row>
    <row r="554" spans="1:12" s="60" customFormat="1" x14ac:dyDescent="0.35">
      <c r="A554" s="21"/>
      <c r="B554" s="129" t="s">
        <v>188</v>
      </c>
      <c r="C554" s="130" t="s">
        <v>5</v>
      </c>
      <c r="D554" s="131" t="s">
        <v>29</v>
      </c>
      <c r="E554" s="12">
        <f>0.41*2*1.05</f>
        <v>0.86099999999999999</v>
      </c>
      <c r="F554" s="4"/>
      <c r="G554" s="85">
        <f t="shared" si="32"/>
        <v>0</v>
      </c>
      <c r="H554" s="4"/>
      <c r="I554" s="85">
        <f t="shared" si="33"/>
        <v>0</v>
      </c>
      <c r="J554" s="4"/>
      <c r="K554" s="100">
        <f t="shared" si="34"/>
        <v>0</v>
      </c>
      <c r="L554" s="85">
        <f t="shared" si="35"/>
        <v>0</v>
      </c>
    </row>
    <row r="555" spans="1:12" s="60" customFormat="1" x14ac:dyDescent="0.35">
      <c r="A555" s="21"/>
      <c r="B555" s="129" t="s">
        <v>189</v>
      </c>
      <c r="C555" s="130" t="s">
        <v>5</v>
      </c>
      <c r="D555" s="131" t="s">
        <v>29</v>
      </c>
      <c r="E555" s="12">
        <f>10.464*2*1.05</f>
        <v>21.974400000000003</v>
      </c>
      <c r="F555" s="4"/>
      <c r="G555" s="85">
        <f t="shared" si="32"/>
        <v>0</v>
      </c>
      <c r="H555" s="4"/>
      <c r="I555" s="85">
        <f t="shared" si="33"/>
        <v>0</v>
      </c>
      <c r="J555" s="4"/>
      <c r="K555" s="100">
        <f t="shared" si="34"/>
        <v>0</v>
      </c>
      <c r="L555" s="85">
        <f t="shared" si="35"/>
        <v>0</v>
      </c>
    </row>
    <row r="556" spans="1:12" s="60" customFormat="1" x14ac:dyDescent="0.35">
      <c r="A556" s="21"/>
      <c r="B556" s="132" t="s">
        <v>190</v>
      </c>
      <c r="C556" s="130" t="s">
        <v>5</v>
      </c>
      <c r="D556" s="131" t="s">
        <v>29</v>
      </c>
      <c r="E556" s="12">
        <f>0.25*2*1.05</f>
        <v>0.52500000000000002</v>
      </c>
      <c r="F556" s="4"/>
      <c r="G556" s="85">
        <f t="shared" si="32"/>
        <v>0</v>
      </c>
      <c r="H556" s="4"/>
      <c r="I556" s="85">
        <f t="shared" si="33"/>
        <v>0</v>
      </c>
      <c r="J556" s="4"/>
      <c r="K556" s="100">
        <f t="shared" si="34"/>
        <v>0</v>
      </c>
      <c r="L556" s="85">
        <f t="shared" si="35"/>
        <v>0</v>
      </c>
    </row>
    <row r="557" spans="1:12" s="60" customFormat="1" x14ac:dyDescent="0.35">
      <c r="A557" s="21"/>
      <c r="B557" s="10" t="s">
        <v>14</v>
      </c>
      <c r="C557" s="5" t="s">
        <v>6</v>
      </c>
      <c r="D557" s="5">
        <v>12.2</v>
      </c>
      <c r="E557" s="4">
        <f>D557*E550</f>
        <v>294.42504000000002</v>
      </c>
      <c r="F557" s="9"/>
      <c r="G557" s="85">
        <f t="shared" si="32"/>
        <v>0</v>
      </c>
      <c r="H557" s="4"/>
      <c r="I557" s="85">
        <f t="shared" si="33"/>
        <v>0</v>
      </c>
      <c r="J557" s="4"/>
      <c r="K557" s="100">
        <f t="shared" si="34"/>
        <v>0</v>
      </c>
      <c r="L557" s="85">
        <f t="shared" si="35"/>
        <v>0</v>
      </c>
    </row>
    <row r="558" spans="1:12" s="60" customFormat="1" ht="27" x14ac:dyDescent="0.35">
      <c r="A558" s="68">
        <v>76</v>
      </c>
      <c r="B558" s="36" t="s">
        <v>191</v>
      </c>
      <c r="C558" s="37" t="s">
        <v>56</v>
      </c>
      <c r="D558" s="37"/>
      <c r="E558" s="38">
        <v>45.13</v>
      </c>
      <c r="F558" s="9"/>
      <c r="G558" s="85">
        <f t="shared" si="32"/>
        <v>0</v>
      </c>
      <c r="H558" s="4"/>
      <c r="I558" s="85">
        <f t="shared" si="33"/>
        <v>0</v>
      </c>
      <c r="J558" s="4"/>
      <c r="K558" s="100">
        <f t="shared" si="34"/>
        <v>0</v>
      </c>
      <c r="L558" s="85">
        <f t="shared" si="35"/>
        <v>0</v>
      </c>
    </row>
    <row r="559" spans="1:12" s="60" customFormat="1" x14ac:dyDescent="0.35">
      <c r="A559" s="68"/>
      <c r="B559" s="45" t="s">
        <v>39</v>
      </c>
      <c r="C559" s="46" t="s">
        <v>24</v>
      </c>
      <c r="D559" s="4">
        <v>1</v>
      </c>
      <c r="E559" s="4">
        <f>E558*D559</f>
        <v>45.13</v>
      </c>
      <c r="F559" s="4"/>
      <c r="G559" s="85">
        <f t="shared" si="32"/>
        <v>0</v>
      </c>
      <c r="H559" s="4"/>
      <c r="I559" s="85">
        <f t="shared" si="33"/>
        <v>0</v>
      </c>
      <c r="J559" s="4"/>
      <c r="K559" s="100">
        <f t="shared" si="34"/>
        <v>0</v>
      </c>
      <c r="L559" s="85">
        <f t="shared" si="35"/>
        <v>0</v>
      </c>
    </row>
    <row r="560" spans="1:12" s="60" customFormat="1" x14ac:dyDescent="0.35">
      <c r="A560" s="68"/>
      <c r="B560" s="10" t="s">
        <v>71</v>
      </c>
      <c r="C560" s="5" t="s">
        <v>6</v>
      </c>
      <c r="D560" s="5">
        <v>1.28</v>
      </c>
      <c r="E560" s="4">
        <f>D560*E558</f>
        <v>57.766400000000004</v>
      </c>
      <c r="F560" s="9"/>
      <c r="G560" s="85">
        <f t="shared" si="32"/>
        <v>0</v>
      </c>
      <c r="H560" s="4"/>
      <c r="I560" s="85">
        <f t="shared" si="33"/>
        <v>0</v>
      </c>
      <c r="J560" s="4"/>
      <c r="K560" s="100">
        <f t="shared" si="34"/>
        <v>0</v>
      </c>
      <c r="L560" s="85">
        <f t="shared" si="35"/>
        <v>0</v>
      </c>
    </row>
    <row r="561" spans="1:12" s="60" customFormat="1" x14ac:dyDescent="0.35">
      <c r="A561" s="68"/>
      <c r="B561" s="133" t="s">
        <v>77</v>
      </c>
      <c r="C561" s="130" t="s">
        <v>16</v>
      </c>
      <c r="D561" s="130">
        <v>1.0149999999999999</v>
      </c>
      <c r="E561" s="4">
        <f>D561*E558</f>
        <v>45.806950000000001</v>
      </c>
      <c r="F561" s="9"/>
      <c r="G561" s="85">
        <f t="shared" si="32"/>
        <v>0</v>
      </c>
      <c r="H561" s="4"/>
      <c r="I561" s="85">
        <f t="shared" si="33"/>
        <v>0</v>
      </c>
      <c r="J561" s="4"/>
      <c r="K561" s="100">
        <f t="shared" si="34"/>
        <v>0</v>
      </c>
      <c r="L561" s="85">
        <f t="shared" si="35"/>
        <v>0</v>
      </c>
    </row>
    <row r="562" spans="1:12" s="60" customFormat="1" x14ac:dyDescent="0.35">
      <c r="A562" s="68"/>
      <c r="B562" s="133" t="s">
        <v>68</v>
      </c>
      <c r="C562" s="130" t="s">
        <v>16</v>
      </c>
      <c r="D562" s="131">
        <v>1</v>
      </c>
      <c r="E562" s="4">
        <f>D562*E558</f>
        <v>45.13</v>
      </c>
      <c r="F562" s="9"/>
      <c r="G562" s="85">
        <f t="shared" si="32"/>
        <v>0</v>
      </c>
      <c r="H562" s="4"/>
      <c r="I562" s="85">
        <f t="shared" si="33"/>
        <v>0</v>
      </c>
      <c r="J562" s="4"/>
      <c r="K562" s="100">
        <f t="shared" si="34"/>
        <v>0</v>
      </c>
      <c r="L562" s="85">
        <f t="shared" si="35"/>
        <v>0</v>
      </c>
    </row>
    <row r="563" spans="1:12" s="60" customFormat="1" x14ac:dyDescent="0.35">
      <c r="A563" s="68"/>
      <c r="B563" s="10" t="s">
        <v>74</v>
      </c>
      <c r="C563" s="5" t="s">
        <v>17</v>
      </c>
      <c r="D563" s="5">
        <v>2.29</v>
      </c>
      <c r="E563" s="4">
        <f>D563*E558</f>
        <v>103.3477</v>
      </c>
      <c r="F563" s="9"/>
      <c r="G563" s="85">
        <f t="shared" si="32"/>
        <v>0</v>
      </c>
      <c r="H563" s="4"/>
      <c r="I563" s="85">
        <f t="shared" si="33"/>
        <v>0</v>
      </c>
      <c r="J563" s="4"/>
      <c r="K563" s="100">
        <f t="shared" si="34"/>
        <v>0</v>
      </c>
      <c r="L563" s="85">
        <f t="shared" si="35"/>
        <v>0</v>
      </c>
    </row>
    <row r="564" spans="1:12" s="60" customFormat="1" x14ac:dyDescent="0.35">
      <c r="A564" s="68"/>
      <c r="B564" s="17" t="s">
        <v>75</v>
      </c>
      <c r="C564" s="5" t="s">
        <v>16</v>
      </c>
      <c r="D564" s="5">
        <v>5.8900000000000001E-2</v>
      </c>
      <c r="E564" s="12">
        <f>D564*E558</f>
        <v>2.6581570000000001</v>
      </c>
      <c r="F564" s="9"/>
      <c r="G564" s="85">
        <f t="shared" si="32"/>
        <v>0</v>
      </c>
      <c r="H564" s="4"/>
      <c r="I564" s="85">
        <f t="shared" si="33"/>
        <v>0</v>
      </c>
      <c r="J564" s="4"/>
      <c r="K564" s="100">
        <f t="shared" si="34"/>
        <v>0</v>
      </c>
      <c r="L564" s="85">
        <f t="shared" si="35"/>
        <v>0</v>
      </c>
    </row>
    <row r="565" spans="1:12" s="60" customFormat="1" x14ac:dyDescent="0.35">
      <c r="A565" s="68"/>
      <c r="B565" s="27" t="s">
        <v>78</v>
      </c>
      <c r="C565" s="5" t="s">
        <v>18</v>
      </c>
      <c r="D565" s="4">
        <v>5</v>
      </c>
      <c r="E565" s="4">
        <f>D565*E558</f>
        <v>225.65</v>
      </c>
      <c r="F565" s="9"/>
      <c r="G565" s="85">
        <f t="shared" si="32"/>
        <v>0</v>
      </c>
      <c r="H565" s="4"/>
      <c r="I565" s="85">
        <f t="shared" si="33"/>
        <v>0</v>
      </c>
      <c r="J565" s="4"/>
      <c r="K565" s="100">
        <f t="shared" si="34"/>
        <v>0</v>
      </c>
      <c r="L565" s="85">
        <f t="shared" si="35"/>
        <v>0</v>
      </c>
    </row>
    <row r="566" spans="1:12" s="60" customFormat="1" x14ac:dyDescent="0.35">
      <c r="A566" s="68"/>
      <c r="B566" s="17" t="s">
        <v>79</v>
      </c>
      <c r="C566" s="5" t="s">
        <v>7</v>
      </c>
      <c r="D566" s="5">
        <v>2.5</v>
      </c>
      <c r="E566" s="4">
        <f>D566*E558</f>
        <v>112.825</v>
      </c>
      <c r="F566" s="9"/>
      <c r="G566" s="85">
        <f t="shared" si="32"/>
        <v>0</v>
      </c>
      <c r="H566" s="4"/>
      <c r="I566" s="85">
        <f t="shared" si="33"/>
        <v>0</v>
      </c>
      <c r="J566" s="4"/>
      <c r="K566" s="100">
        <f t="shared" si="34"/>
        <v>0</v>
      </c>
      <c r="L566" s="85">
        <f t="shared" si="35"/>
        <v>0</v>
      </c>
    </row>
    <row r="567" spans="1:12" s="60" customFormat="1" x14ac:dyDescent="0.35">
      <c r="A567" s="68"/>
      <c r="B567" s="10" t="s">
        <v>14</v>
      </c>
      <c r="C567" s="5" t="s">
        <v>6</v>
      </c>
      <c r="D567" s="5">
        <v>0.93</v>
      </c>
      <c r="E567" s="4">
        <f>D567*E558</f>
        <v>41.970900000000007</v>
      </c>
      <c r="F567" s="9"/>
      <c r="G567" s="85">
        <f t="shared" si="32"/>
        <v>0</v>
      </c>
      <c r="H567" s="4"/>
      <c r="I567" s="85">
        <f t="shared" si="33"/>
        <v>0</v>
      </c>
      <c r="J567" s="4"/>
      <c r="K567" s="100">
        <f t="shared" si="34"/>
        <v>0</v>
      </c>
      <c r="L567" s="85">
        <f t="shared" si="35"/>
        <v>0</v>
      </c>
    </row>
    <row r="568" spans="1:12" s="60" customFormat="1" x14ac:dyDescent="0.35">
      <c r="A568" s="21">
        <v>77</v>
      </c>
      <c r="B568" s="74" t="s">
        <v>70</v>
      </c>
      <c r="C568" s="39" t="s">
        <v>5</v>
      </c>
      <c r="D568" s="39"/>
      <c r="E568" s="75">
        <f>E571+E572+E573+E574</f>
        <v>6.1635</v>
      </c>
      <c r="F568" s="9"/>
      <c r="G568" s="85">
        <f t="shared" si="32"/>
        <v>0</v>
      </c>
      <c r="H568" s="4"/>
      <c r="I568" s="85">
        <f t="shared" si="33"/>
        <v>0</v>
      </c>
      <c r="J568" s="3"/>
      <c r="K568" s="100">
        <f t="shared" si="34"/>
        <v>0</v>
      </c>
      <c r="L568" s="85">
        <f t="shared" si="35"/>
        <v>0</v>
      </c>
    </row>
    <row r="569" spans="1:12" s="60" customFormat="1" x14ac:dyDescent="0.35">
      <c r="A569" s="21"/>
      <c r="B569" s="6" t="s">
        <v>39</v>
      </c>
      <c r="C569" s="8" t="s">
        <v>5</v>
      </c>
      <c r="D569" s="18">
        <v>1</v>
      </c>
      <c r="E569" s="49">
        <f>E568*D569</f>
        <v>6.1635</v>
      </c>
      <c r="F569" s="9"/>
      <c r="G569" s="85">
        <f t="shared" si="32"/>
        <v>0</v>
      </c>
      <c r="H569" s="4"/>
      <c r="I569" s="85">
        <f t="shared" si="33"/>
        <v>0</v>
      </c>
      <c r="J569" s="3"/>
      <c r="K569" s="100">
        <f t="shared" si="34"/>
        <v>0</v>
      </c>
      <c r="L569" s="85">
        <f t="shared" si="35"/>
        <v>0</v>
      </c>
    </row>
    <row r="570" spans="1:12" s="60" customFormat="1" x14ac:dyDescent="0.35">
      <c r="A570" s="21"/>
      <c r="B570" s="10" t="s">
        <v>71</v>
      </c>
      <c r="C570" s="5" t="s">
        <v>6</v>
      </c>
      <c r="D570" s="5">
        <v>6.8</v>
      </c>
      <c r="E570" s="4">
        <f>D570*E568</f>
        <v>41.911799999999999</v>
      </c>
      <c r="F570" s="9"/>
      <c r="G570" s="85">
        <f t="shared" si="32"/>
        <v>0</v>
      </c>
      <c r="H570" s="4"/>
      <c r="I570" s="85">
        <f t="shared" si="33"/>
        <v>0</v>
      </c>
      <c r="J570" s="4"/>
      <c r="K570" s="100">
        <f t="shared" si="34"/>
        <v>0</v>
      </c>
      <c r="L570" s="85">
        <f t="shared" si="35"/>
        <v>0</v>
      </c>
    </row>
    <row r="571" spans="1:12" s="60" customFormat="1" x14ac:dyDescent="0.35">
      <c r="A571" s="21"/>
      <c r="B571" s="129" t="s">
        <v>192</v>
      </c>
      <c r="C571" s="130" t="s">
        <v>5</v>
      </c>
      <c r="D571" s="131" t="s">
        <v>29</v>
      </c>
      <c r="E571" s="12">
        <f>0.184*1.05</f>
        <v>0.19320000000000001</v>
      </c>
      <c r="F571" s="4"/>
      <c r="G571" s="85">
        <f t="shared" si="32"/>
        <v>0</v>
      </c>
      <c r="H571" s="4"/>
      <c r="I571" s="85">
        <f t="shared" si="33"/>
        <v>0</v>
      </c>
      <c r="J571" s="4"/>
      <c r="K571" s="100">
        <f t="shared" si="34"/>
        <v>0</v>
      </c>
      <c r="L571" s="85">
        <f t="shared" si="35"/>
        <v>0</v>
      </c>
    </row>
    <row r="572" spans="1:12" s="60" customFormat="1" x14ac:dyDescent="0.35">
      <c r="A572" s="21"/>
      <c r="B572" s="129" t="s">
        <v>193</v>
      </c>
      <c r="C572" s="130" t="s">
        <v>5</v>
      </c>
      <c r="D572" s="131" t="s">
        <v>29</v>
      </c>
      <c r="E572" s="12">
        <f>0.192*1.05</f>
        <v>0.2016</v>
      </c>
      <c r="F572" s="4"/>
      <c r="G572" s="85">
        <f t="shared" si="32"/>
        <v>0</v>
      </c>
      <c r="H572" s="4"/>
      <c r="I572" s="85">
        <f t="shared" si="33"/>
        <v>0</v>
      </c>
      <c r="J572" s="4"/>
      <c r="K572" s="100">
        <f t="shared" si="34"/>
        <v>0</v>
      </c>
      <c r="L572" s="85">
        <f t="shared" si="35"/>
        <v>0</v>
      </c>
    </row>
    <row r="573" spans="1:12" s="60" customFormat="1" x14ac:dyDescent="0.35">
      <c r="A573" s="21"/>
      <c r="B573" s="129" t="s">
        <v>194</v>
      </c>
      <c r="C573" s="130" t="s">
        <v>5</v>
      </c>
      <c r="D573" s="131" t="s">
        <v>29</v>
      </c>
      <c r="E573" s="12">
        <f>5.361*1.05</f>
        <v>5.6290500000000003</v>
      </c>
      <c r="F573" s="4"/>
      <c r="G573" s="85">
        <f t="shared" si="32"/>
        <v>0</v>
      </c>
      <c r="H573" s="4"/>
      <c r="I573" s="85">
        <f t="shared" si="33"/>
        <v>0</v>
      </c>
      <c r="J573" s="4"/>
      <c r="K573" s="100">
        <f t="shared" si="34"/>
        <v>0</v>
      </c>
      <c r="L573" s="85">
        <f t="shared" si="35"/>
        <v>0</v>
      </c>
    </row>
    <row r="574" spans="1:12" s="60" customFormat="1" x14ac:dyDescent="0.35">
      <c r="A574" s="21"/>
      <c r="B574" s="132" t="s">
        <v>195</v>
      </c>
      <c r="C574" s="130" t="s">
        <v>5</v>
      </c>
      <c r="D574" s="131" t="s">
        <v>29</v>
      </c>
      <c r="E574" s="12">
        <f>0.133*1.05</f>
        <v>0.13965000000000002</v>
      </c>
      <c r="F574" s="4"/>
      <c r="G574" s="85">
        <f t="shared" si="32"/>
        <v>0</v>
      </c>
      <c r="H574" s="4"/>
      <c r="I574" s="85">
        <f t="shared" si="33"/>
        <v>0</v>
      </c>
      <c r="J574" s="4"/>
      <c r="K574" s="100">
        <f t="shared" si="34"/>
        <v>0</v>
      </c>
      <c r="L574" s="85">
        <f t="shared" si="35"/>
        <v>0</v>
      </c>
    </row>
    <row r="575" spans="1:12" s="60" customFormat="1" x14ac:dyDescent="0.35">
      <c r="A575" s="21"/>
      <c r="B575" s="10" t="s">
        <v>14</v>
      </c>
      <c r="C575" s="5" t="s">
        <v>6</v>
      </c>
      <c r="D575" s="5">
        <v>12.2</v>
      </c>
      <c r="E575" s="4">
        <f>D575*E568</f>
        <v>75.194699999999997</v>
      </c>
      <c r="F575" s="9"/>
      <c r="G575" s="85">
        <f t="shared" si="32"/>
        <v>0</v>
      </c>
      <c r="H575" s="4"/>
      <c r="I575" s="85">
        <f t="shared" si="33"/>
        <v>0</v>
      </c>
      <c r="J575" s="4"/>
      <c r="K575" s="100">
        <f t="shared" si="34"/>
        <v>0</v>
      </c>
      <c r="L575" s="85">
        <f t="shared" si="35"/>
        <v>0</v>
      </c>
    </row>
    <row r="576" spans="1:12" s="60" customFormat="1" ht="27" x14ac:dyDescent="0.35">
      <c r="A576" s="68">
        <v>78</v>
      </c>
      <c r="B576" s="36" t="s">
        <v>196</v>
      </c>
      <c r="C576" s="37" t="s">
        <v>56</v>
      </c>
      <c r="D576" s="37"/>
      <c r="E576" s="38">
        <v>7.72</v>
      </c>
      <c r="F576" s="9"/>
      <c r="G576" s="85">
        <f t="shared" si="32"/>
        <v>0</v>
      </c>
      <c r="H576" s="4"/>
      <c r="I576" s="85">
        <f t="shared" si="33"/>
        <v>0</v>
      </c>
      <c r="J576" s="4"/>
      <c r="K576" s="100">
        <f t="shared" si="34"/>
        <v>0</v>
      </c>
      <c r="L576" s="85">
        <f t="shared" si="35"/>
        <v>0</v>
      </c>
    </row>
    <row r="577" spans="1:12" s="60" customFormat="1" x14ac:dyDescent="0.35">
      <c r="A577" s="68"/>
      <c r="B577" s="45" t="s">
        <v>39</v>
      </c>
      <c r="C577" s="46" t="s">
        <v>24</v>
      </c>
      <c r="D577" s="4">
        <v>1</v>
      </c>
      <c r="E577" s="4">
        <f>E576*D577</f>
        <v>7.72</v>
      </c>
      <c r="F577" s="4"/>
      <c r="G577" s="85">
        <f t="shared" si="32"/>
        <v>0</v>
      </c>
      <c r="H577" s="4"/>
      <c r="I577" s="85">
        <f t="shared" si="33"/>
        <v>0</v>
      </c>
      <c r="J577" s="4"/>
      <c r="K577" s="100">
        <f t="shared" si="34"/>
        <v>0</v>
      </c>
      <c r="L577" s="85">
        <f t="shared" si="35"/>
        <v>0</v>
      </c>
    </row>
    <row r="578" spans="1:12" s="60" customFormat="1" x14ac:dyDescent="0.35">
      <c r="A578" s="68"/>
      <c r="B578" s="10" t="s">
        <v>71</v>
      </c>
      <c r="C578" s="5" t="s">
        <v>6</v>
      </c>
      <c r="D578" s="5">
        <v>1.28</v>
      </c>
      <c r="E578" s="4">
        <f>D578*E576</f>
        <v>9.8816000000000006</v>
      </c>
      <c r="F578" s="9"/>
      <c r="G578" s="85">
        <f t="shared" si="32"/>
        <v>0</v>
      </c>
      <c r="H578" s="4"/>
      <c r="I578" s="85">
        <f t="shared" si="33"/>
        <v>0</v>
      </c>
      <c r="J578" s="4"/>
      <c r="K578" s="100">
        <f t="shared" si="34"/>
        <v>0</v>
      </c>
      <c r="L578" s="85">
        <f t="shared" si="35"/>
        <v>0</v>
      </c>
    </row>
    <row r="579" spans="1:12" s="60" customFormat="1" x14ac:dyDescent="0.35">
      <c r="A579" s="68"/>
      <c r="B579" s="133" t="s">
        <v>77</v>
      </c>
      <c r="C579" s="130" t="s">
        <v>16</v>
      </c>
      <c r="D579" s="130">
        <v>1.0149999999999999</v>
      </c>
      <c r="E579" s="4">
        <f>D579*E576</f>
        <v>7.835799999999999</v>
      </c>
      <c r="F579" s="9"/>
      <c r="G579" s="85">
        <f t="shared" si="32"/>
        <v>0</v>
      </c>
      <c r="H579" s="4"/>
      <c r="I579" s="85">
        <f t="shared" si="33"/>
        <v>0</v>
      </c>
      <c r="J579" s="4"/>
      <c r="K579" s="100">
        <f t="shared" si="34"/>
        <v>0</v>
      </c>
      <c r="L579" s="85">
        <f t="shared" si="35"/>
        <v>0</v>
      </c>
    </row>
    <row r="580" spans="1:12" s="60" customFormat="1" x14ac:dyDescent="0.35">
      <c r="A580" s="68"/>
      <c r="B580" s="133" t="s">
        <v>68</v>
      </c>
      <c r="C580" s="130" t="s">
        <v>16</v>
      </c>
      <c r="D580" s="131">
        <v>1</v>
      </c>
      <c r="E580" s="4">
        <f>D580*E576</f>
        <v>7.72</v>
      </c>
      <c r="F580" s="9"/>
      <c r="G580" s="85">
        <f t="shared" si="32"/>
        <v>0</v>
      </c>
      <c r="H580" s="4"/>
      <c r="I580" s="85">
        <f t="shared" si="33"/>
        <v>0</v>
      </c>
      <c r="J580" s="4"/>
      <c r="K580" s="100">
        <f t="shared" si="34"/>
        <v>0</v>
      </c>
      <c r="L580" s="85">
        <f t="shared" si="35"/>
        <v>0</v>
      </c>
    </row>
    <row r="581" spans="1:12" s="60" customFormat="1" x14ac:dyDescent="0.35">
      <c r="A581" s="68"/>
      <c r="B581" s="10" t="s">
        <v>74</v>
      </c>
      <c r="C581" s="5" t="s">
        <v>17</v>
      </c>
      <c r="D581" s="5">
        <v>2.29</v>
      </c>
      <c r="E581" s="4">
        <f>D581*E576</f>
        <v>17.678799999999999</v>
      </c>
      <c r="F581" s="9"/>
      <c r="G581" s="85">
        <f t="shared" si="32"/>
        <v>0</v>
      </c>
      <c r="H581" s="4"/>
      <c r="I581" s="85">
        <f t="shared" si="33"/>
        <v>0</v>
      </c>
      <c r="J581" s="4"/>
      <c r="K581" s="100">
        <f t="shared" si="34"/>
        <v>0</v>
      </c>
      <c r="L581" s="85">
        <f t="shared" si="35"/>
        <v>0</v>
      </c>
    </row>
    <row r="582" spans="1:12" s="60" customFormat="1" x14ac:dyDescent="0.35">
      <c r="A582" s="68"/>
      <c r="B582" s="17" t="s">
        <v>75</v>
      </c>
      <c r="C582" s="5" t="s">
        <v>16</v>
      </c>
      <c r="D582" s="5">
        <v>5.8900000000000001E-2</v>
      </c>
      <c r="E582" s="12">
        <f>D582*E576</f>
        <v>0.454708</v>
      </c>
      <c r="F582" s="9"/>
      <c r="G582" s="85">
        <f t="shared" si="32"/>
        <v>0</v>
      </c>
      <c r="H582" s="4"/>
      <c r="I582" s="85">
        <f t="shared" si="33"/>
        <v>0</v>
      </c>
      <c r="J582" s="4"/>
      <c r="K582" s="100">
        <f t="shared" si="34"/>
        <v>0</v>
      </c>
      <c r="L582" s="85">
        <f t="shared" si="35"/>
        <v>0</v>
      </c>
    </row>
    <row r="583" spans="1:12" s="60" customFormat="1" x14ac:dyDescent="0.35">
      <c r="A583" s="68"/>
      <c r="B583" s="27" t="s">
        <v>78</v>
      </c>
      <c r="C583" s="5" t="s">
        <v>18</v>
      </c>
      <c r="D583" s="4">
        <v>5</v>
      </c>
      <c r="E583" s="4">
        <f>D583*E576</f>
        <v>38.6</v>
      </c>
      <c r="F583" s="9"/>
      <c r="G583" s="85">
        <f t="shared" si="32"/>
        <v>0</v>
      </c>
      <c r="H583" s="4"/>
      <c r="I583" s="85">
        <f t="shared" si="33"/>
        <v>0</v>
      </c>
      <c r="J583" s="4"/>
      <c r="K583" s="100">
        <f t="shared" si="34"/>
        <v>0</v>
      </c>
      <c r="L583" s="85">
        <f t="shared" si="35"/>
        <v>0</v>
      </c>
    </row>
    <row r="584" spans="1:12" s="60" customFormat="1" x14ac:dyDescent="0.35">
      <c r="A584" s="68"/>
      <c r="B584" s="17" t="s">
        <v>79</v>
      </c>
      <c r="C584" s="5" t="s">
        <v>7</v>
      </c>
      <c r="D584" s="5">
        <v>2.5</v>
      </c>
      <c r="E584" s="4">
        <f>D584*E576</f>
        <v>19.3</v>
      </c>
      <c r="F584" s="9"/>
      <c r="G584" s="85">
        <f t="shared" si="32"/>
        <v>0</v>
      </c>
      <c r="H584" s="4"/>
      <c r="I584" s="85">
        <f t="shared" si="33"/>
        <v>0</v>
      </c>
      <c r="J584" s="4"/>
      <c r="K584" s="100">
        <f t="shared" si="34"/>
        <v>0</v>
      </c>
      <c r="L584" s="85">
        <f t="shared" si="35"/>
        <v>0</v>
      </c>
    </row>
    <row r="585" spans="1:12" s="60" customFormat="1" x14ac:dyDescent="0.35">
      <c r="A585" s="68"/>
      <c r="B585" s="10" t="s">
        <v>14</v>
      </c>
      <c r="C585" s="5" t="s">
        <v>6</v>
      </c>
      <c r="D585" s="5">
        <v>0.93</v>
      </c>
      <c r="E585" s="4">
        <f>D585*E576</f>
        <v>7.1795999999999998</v>
      </c>
      <c r="F585" s="9"/>
      <c r="G585" s="85">
        <f t="shared" si="32"/>
        <v>0</v>
      </c>
      <c r="H585" s="4"/>
      <c r="I585" s="85">
        <f t="shared" si="33"/>
        <v>0</v>
      </c>
      <c r="J585" s="4"/>
      <c r="K585" s="100">
        <f t="shared" si="34"/>
        <v>0</v>
      </c>
      <c r="L585" s="85">
        <f t="shared" si="35"/>
        <v>0</v>
      </c>
    </row>
    <row r="586" spans="1:12" s="60" customFormat="1" x14ac:dyDescent="0.35">
      <c r="A586" s="21">
        <v>79</v>
      </c>
      <c r="B586" s="74" t="s">
        <v>70</v>
      </c>
      <c r="C586" s="39" t="s">
        <v>5</v>
      </c>
      <c r="D586" s="39"/>
      <c r="E586" s="75">
        <f>E589+E590+E591</f>
        <v>0.87044999999999995</v>
      </c>
      <c r="F586" s="9"/>
      <c r="G586" s="85">
        <f t="shared" si="32"/>
        <v>0</v>
      </c>
      <c r="H586" s="4"/>
      <c r="I586" s="85">
        <f t="shared" si="33"/>
        <v>0</v>
      </c>
      <c r="J586" s="3"/>
      <c r="K586" s="100">
        <f t="shared" si="34"/>
        <v>0</v>
      </c>
      <c r="L586" s="85">
        <f t="shared" si="35"/>
        <v>0</v>
      </c>
    </row>
    <row r="587" spans="1:12" s="60" customFormat="1" x14ac:dyDescent="0.35">
      <c r="A587" s="21"/>
      <c r="B587" s="6" t="s">
        <v>39</v>
      </c>
      <c r="C587" s="8" t="s">
        <v>5</v>
      </c>
      <c r="D587" s="18">
        <v>1</v>
      </c>
      <c r="E587" s="49">
        <f>E586*D587</f>
        <v>0.87044999999999995</v>
      </c>
      <c r="F587" s="9"/>
      <c r="G587" s="85">
        <f t="shared" si="32"/>
        <v>0</v>
      </c>
      <c r="H587" s="4"/>
      <c r="I587" s="85">
        <f t="shared" si="33"/>
        <v>0</v>
      </c>
      <c r="J587" s="3"/>
      <c r="K587" s="100">
        <f t="shared" si="34"/>
        <v>0</v>
      </c>
      <c r="L587" s="85">
        <f t="shared" si="35"/>
        <v>0</v>
      </c>
    </row>
    <row r="588" spans="1:12" s="60" customFormat="1" x14ac:dyDescent="0.35">
      <c r="A588" s="21"/>
      <c r="B588" s="10" t="s">
        <v>71</v>
      </c>
      <c r="C588" s="5" t="s">
        <v>6</v>
      </c>
      <c r="D588" s="5">
        <v>6.8</v>
      </c>
      <c r="E588" s="4">
        <f>D588*E586</f>
        <v>5.9190599999999991</v>
      </c>
      <c r="F588" s="9"/>
      <c r="G588" s="85">
        <f t="shared" ref="G588:G650" si="36">F588*E588</f>
        <v>0</v>
      </c>
      <c r="H588" s="4"/>
      <c r="I588" s="85">
        <f t="shared" ref="I588:I650" si="37">H588*E588</f>
        <v>0</v>
      </c>
      <c r="J588" s="4"/>
      <c r="K588" s="100">
        <f t="shared" ref="K588:K650" si="38">J588*E588</f>
        <v>0</v>
      </c>
      <c r="L588" s="85">
        <f t="shared" ref="L588:L650" si="39">K588+I588+G588</f>
        <v>0</v>
      </c>
    </row>
    <row r="589" spans="1:12" s="60" customFormat="1" x14ac:dyDescent="0.35">
      <c r="A589" s="21"/>
      <c r="B589" s="129" t="s">
        <v>197</v>
      </c>
      <c r="C589" s="130" t="s">
        <v>5</v>
      </c>
      <c r="D589" s="131" t="s">
        <v>29</v>
      </c>
      <c r="E589" s="12">
        <f>0.311*1.05</f>
        <v>0.32655000000000001</v>
      </c>
      <c r="F589" s="4"/>
      <c r="G589" s="85">
        <f t="shared" si="36"/>
        <v>0</v>
      </c>
      <c r="H589" s="4"/>
      <c r="I589" s="85">
        <f t="shared" si="37"/>
        <v>0</v>
      </c>
      <c r="J589" s="4"/>
      <c r="K589" s="100">
        <f t="shared" si="38"/>
        <v>0</v>
      </c>
      <c r="L589" s="85">
        <f t="shared" si="39"/>
        <v>0</v>
      </c>
    </row>
    <row r="590" spans="1:12" s="60" customFormat="1" x14ac:dyDescent="0.35">
      <c r="A590" s="21"/>
      <c r="B590" s="129" t="s">
        <v>198</v>
      </c>
      <c r="C590" s="130" t="s">
        <v>5</v>
      </c>
      <c r="D590" s="131" t="s">
        <v>29</v>
      </c>
      <c r="E590" s="12">
        <f>0.414*1.05</f>
        <v>0.43469999999999998</v>
      </c>
      <c r="F590" s="4"/>
      <c r="G590" s="85">
        <f t="shared" si="36"/>
        <v>0</v>
      </c>
      <c r="H590" s="4"/>
      <c r="I590" s="85">
        <f t="shared" si="37"/>
        <v>0</v>
      </c>
      <c r="J590" s="4"/>
      <c r="K590" s="100">
        <f t="shared" si="38"/>
        <v>0</v>
      </c>
      <c r="L590" s="85">
        <f t="shared" si="39"/>
        <v>0</v>
      </c>
    </row>
    <row r="591" spans="1:12" s="60" customFormat="1" x14ac:dyDescent="0.35">
      <c r="A591" s="21"/>
      <c r="B591" s="132" t="s">
        <v>199</v>
      </c>
      <c r="C591" s="130" t="s">
        <v>5</v>
      </c>
      <c r="D591" s="131" t="s">
        <v>29</v>
      </c>
      <c r="E591" s="12">
        <f>0.104*1.05</f>
        <v>0.10920000000000001</v>
      </c>
      <c r="F591" s="4"/>
      <c r="G591" s="85">
        <f t="shared" si="36"/>
        <v>0</v>
      </c>
      <c r="H591" s="4"/>
      <c r="I591" s="85">
        <f t="shared" si="37"/>
        <v>0</v>
      </c>
      <c r="J591" s="4"/>
      <c r="K591" s="100">
        <f t="shared" si="38"/>
        <v>0</v>
      </c>
      <c r="L591" s="85">
        <f t="shared" si="39"/>
        <v>0</v>
      </c>
    </row>
    <row r="592" spans="1:12" s="60" customFormat="1" x14ac:dyDescent="0.35">
      <c r="A592" s="21"/>
      <c r="B592" s="10" t="s">
        <v>14</v>
      </c>
      <c r="C592" s="5" t="s">
        <v>6</v>
      </c>
      <c r="D592" s="5">
        <v>12.2</v>
      </c>
      <c r="E592" s="4">
        <f>D592*E586</f>
        <v>10.619489999999999</v>
      </c>
      <c r="F592" s="9"/>
      <c r="G592" s="85">
        <f t="shared" si="36"/>
        <v>0</v>
      </c>
      <c r="H592" s="4"/>
      <c r="I592" s="85">
        <f t="shared" si="37"/>
        <v>0</v>
      </c>
      <c r="J592" s="4"/>
      <c r="K592" s="100">
        <f t="shared" si="38"/>
        <v>0</v>
      </c>
      <c r="L592" s="85">
        <f t="shared" si="39"/>
        <v>0</v>
      </c>
    </row>
    <row r="593" spans="1:12" s="60" customFormat="1" x14ac:dyDescent="0.35">
      <c r="A593" s="21"/>
      <c r="B593" s="43" t="s">
        <v>224</v>
      </c>
      <c r="C593" s="5"/>
      <c r="D593" s="5"/>
      <c r="E593" s="4"/>
      <c r="F593" s="9"/>
      <c r="G593" s="85">
        <f t="shared" si="36"/>
        <v>0</v>
      </c>
      <c r="H593" s="4"/>
      <c r="I593" s="85">
        <f t="shared" si="37"/>
        <v>0</v>
      </c>
      <c r="J593" s="4"/>
      <c r="K593" s="100">
        <f t="shared" si="38"/>
        <v>0</v>
      </c>
      <c r="L593" s="85">
        <f t="shared" si="39"/>
        <v>0</v>
      </c>
    </row>
    <row r="594" spans="1:12" s="60" customFormat="1" ht="27" x14ac:dyDescent="0.35">
      <c r="A594" s="68">
        <v>80</v>
      </c>
      <c r="B594" s="36" t="s">
        <v>102</v>
      </c>
      <c r="C594" s="37" t="s">
        <v>56</v>
      </c>
      <c r="D594" s="37"/>
      <c r="E594" s="38">
        <v>1.5</v>
      </c>
      <c r="F594" s="9"/>
      <c r="G594" s="85">
        <f t="shared" si="36"/>
        <v>0</v>
      </c>
      <c r="H594" s="4"/>
      <c r="I594" s="85">
        <f t="shared" si="37"/>
        <v>0</v>
      </c>
      <c r="J594" s="4"/>
      <c r="K594" s="100">
        <f t="shared" si="38"/>
        <v>0</v>
      </c>
      <c r="L594" s="85">
        <f t="shared" si="39"/>
        <v>0</v>
      </c>
    </row>
    <row r="595" spans="1:12" s="60" customFormat="1" x14ac:dyDescent="0.35">
      <c r="A595" s="68"/>
      <c r="B595" s="45" t="s">
        <v>39</v>
      </c>
      <c r="C595" s="46" t="s">
        <v>24</v>
      </c>
      <c r="D595" s="4">
        <v>1</v>
      </c>
      <c r="E595" s="4">
        <f>E594*D595</f>
        <v>1.5</v>
      </c>
      <c r="F595" s="4"/>
      <c r="G595" s="85">
        <f t="shared" si="36"/>
        <v>0</v>
      </c>
      <c r="H595" s="4"/>
      <c r="I595" s="85">
        <f t="shared" si="37"/>
        <v>0</v>
      </c>
      <c r="J595" s="4"/>
      <c r="K595" s="100">
        <f t="shared" si="38"/>
        <v>0</v>
      </c>
      <c r="L595" s="85">
        <f t="shared" si="39"/>
        <v>0</v>
      </c>
    </row>
    <row r="596" spans="1:12" s="60" customFormat="1" x14ac:dyDescent="0.35">
      <c r="A596" s="68"/>
      <c r="B596" s="10" t="s">
        <v>25</v>
      </c>
      <c r="C596" s="5" t="s">
        <v>6</v>
      </c>
      <c r="D596" s="5">
        <v>3.36</v>
      </c>
      <c r="E596" s="4">
        <f>D596*E594</f>
        <v>5.04</v>
      </c>
      <c r="F596" s="9"/>
      <c r="G596" s="85">
        <f t="shared" si="36"/>
        <v>0</v>
      </c>
      <c r="H596" s="4"/>
      <c r="I596" s="85">
        <f t="shared" si="37"/>
        <v>0</v>
      </c>
      <c r="J596" s="4"/>
      <c r="K596" s="100">
        <f t="shared" si="38"/>
        <v>0</v>
      </c>
      <c r="L596" s="85">
        <f t="shared" si="39"/>
        <v>0</v>
      </c>
    </row>
    <row r="597" spans="1:12" s="60" customFormat="1" x14ac:dyDescent="0.35">
      <c r="A597" s="68"/>
      <c r="B597" s="133" t="s">
        <v>80</v>
      </c>
      <c r="C597" s="130" t="s">
        <v>16</v>
      </c>
      <c r="D597" s="130">
        <v>1.0149999999999999</v>
      </c>
      <c r="E597" s="4">
        <f>D597*E594</f>
        <v>1.5225</v>
      </c>
      <c r="F597" s="9"/>
      <c r="G597" s="85">
        <f t="shared" si="36"/>
        <v>0</v>
      </c>
      <c r="H597" s="4"/>
      <c r="I597" s="85">
        <f t="shared" si="37"/>
        <v>0</v>
      </c>
      <c r="J597" s="4"/>
      <c r="K597" s="100">
        <f t="shared" si="38"/>
        <v>0</v>
      </c>
      <c r="L597" s="85">
        <f t="shared" si="39"/>
        <v>0</v>
      </c>
    </row>
    <row r="598" spans="1:12" s="60" customFormat="1" x14ac:dyDescent="0.35">
      <c r="A598" s="68"/>
      <c r="B598" s="133" t="s">
        <v>68</v>
      </c>
      <c r="C598" s="130" t="s">
        <v>16</v>
      </c>
      <c r="D598" s="131">
        <v>1</v>
      </c>
      <c r="E598" s="4">
        <f>D598*E594</f>
        <v>1.5</v>
      </c>
      <c r="F598" s="9"/>
      <c r="G598" s="85">
        <f t="shared" si="36"/>
        <v>0</v>
      </c>
      <c r="H598" s="4"/>
      <c r="I598" s="85">
        <f t="shared" si="37"/>
        <v>0</v>
      </c>
      <c r="J598" s="4"/>
      <c r="K598" s="100">
        <f t="shared" si="38"/>
        <v>0</v>
      </c>
      <c r="L598" s="85">
        <f t="shared" si="39"/>
        <v>0</v>
      </c>
    </row>
    <row r="599" spans="1:12" s="60" customFormat="1" x14ac:dyDescent="0.35">
      <c r="A599" s="68"/>
      <c r="B599" s="10" t="s">
        <v>74</v>
      </c>
      <c r="C599" s="5" t="s">
        <v>17</v>
      </c>
      <c r="D599" s="5">
        <v>2.42</v>
      </c>
      <c r="E599" s="4">
        <f>D599*E594</f>
        <v>3.63</v>
      </c>
      <c r="F599" s="9"/>
      <c r="G599" s="85">
        <f t="shared" si="36"/>
        <v>0</v>
      </c>
      <c r="H599" s="4"/>
      <c r="I599" s="85">
        <f t="shared" si="37"/>
        <v>0</v>
      </c>
      <c r="J599" s="4"/>
      <c r="K599" s="100">
        <f t="shared" si="38"/>
        <v>0</v>
      </c>
      <c r="L599" s="85">
        <f t="shared" si="39"/>
        <v>0</v>
      </c>
    </row>
    <row r="600" spans="1:12" s="60" customFormat="1" x14ac:dyDescent="0.35">
      <c r="A600" s="68"/>
      <c r="B600" s="17" t="s">
        <v>81</v>
      </c>
      <c r="C600" s="5" t="s">
        <v>16</v>
      </c>
      <c r="D600" s="5">
        <v>6.4799999999999996E-2</v>
      </c>
      <c r="E600" s="12">
        <f>D600*E594</f>
        <v>9.7199999999999995E-2</v>
      </c>
      <c r="F600" s="9"/>
      <c r="G600" s="85">
        <f t="shared" si="36"/>
        <v>0</v>
      </c>
      <c r="H600" s="4"/>
      <c r="I600" s="85">
        <f t="shared" si="37"/>
        <v>0</v>
      </c>
      <c r="J600" s="4"/>
      <c r="K600" s="100">
        <f t="shared" si="38"/>
        <v>0</v>
      </c>
      <c r="L600" s="85">
        <f t="shared" si="39"/>
        <v>0</v>
      </c>
    </row>
    <row r="601" spans="1:12" s="60" customFormat="1" x14ac:dyDescent="0.35">
      <c r="A601" s="68"/>
      <c r="B601" s="17" t="s">
        <v>79</v>
      </c>
      <c r="C601" s="5" t="s">
        <v>7</v>
      </c>
      <c r="D601" s="5">
        <v>1.5</v>
      </c>
      <c r="E601" s="12">
        <f>D601*E594</f>
        <v>2.25</v>
      </c>
      <c r="F601" s="9"/>
      <c r="G601" s="85">
        <f t="shared" si="36"/>
        <v>0</v>
      </c>
      <c r="H601" s="4"/>
      <c r="I601" s="85">
        <f t="shared" si="37"/>
        <v>0</v>
      </c>
      <c r="J601" s="4"/>
      <c r="K601" s="100">
        <f t="shared" si="38"/>
        <v>0</v>
      </c>
      <c r="L601" s="85">
        <f t="shared" si="39"/>
        <v>0</v>
      </c>
    </row>
    <row r="602" spans="1:12" s="60" customFormat="1" x14ac:dyDescent="0.35">
      <c r="A602" s="68"/>
      <c r="B602" s="10" t="s">
        <v>30</v>
      </c>
      <c r="C602" s="5" t="s">
        <v>6</v>
      </c>
      <c r="D602" s="5">
        <v>0.6</v>
      </c>
      <c r="E602" s="4">
        <f>D602*E594</f>
        <v>0.89999999999999991</v>
      </c>
      <c r="F602" s="9"/>
      <c r="G602" s="85">
        <f t="shared" si="36"/>
        <v>0</v>
      </c>
      <c r="H602" s="4"/>
      <c r="I602" s="85">
        <f t="shared" si="37"/>
        <v>0</v>
      </c>
      <c r="J602" s="4"/>
      <c r="K602" s="100">
        <f t="shared" si="38"/>
        <v>0</v>
      </c>
      <c r="L602" s="85">
        <f t="shared" si="39"/>
        <v>0</v>
      </c>
    </row>
    <row r="603" spans="1:12" s="60" customFormat="1" x14ac:dyDescent="0.35">
      <c r="A603" s="21">
        <v>81</v>
      </c>
      <c r="B603" s="74" t="s">
        <v>70</v>
      </c>
      <c r="C603" s="39" t="s">
        <v>5</v>
      </c>
      <c r="D603" s="39"/>
      <c r="E603" s="75">
        <f>E606</f>
        <v>8.4000000000000005E-2</v>
      </c>
      <c r="F603" s="9"/>
      <c r="G603" s="85">
        <f t="shared" si="36"/>
        <v>0</v>
      </c>
      <c r="H603" s="3"/>
      <c r="I603" s="85">
        <f t="shared" si="37"/>
        <v>0</v>
      </c>
      <c r="J603" s="3"/>
      <c r="K603" s="100">
        <f t="shared" si="38"/>
        <v>0</v>
      </c>
      <c r="L603" s="85">
        <f t="shared" si="39"/>
        <v>0</v>
      </c>
    </row>
    <row r="604" spans="1:12" s="60" customFormat="1" x14ac:dyDescent="0.35">
      <c r="A604" s="21"/>
      <c r="B604" s="45" t="s">
        <v>39</v>
      </c>
      <c r="C604" s="46" t="s">
        <v>5</v>
      </c>
      <c r="D604" s="4">
        <v>1</v>
      </c>
      <c r="E604" s="4">
        <f>E603*D604</f>
        <v>8.4000000000000005E-2</v>
      </c>
      <c r="F604" s="4"/>
      <c r="G604" s="85">
        <f t="shared" si="36"/>
        <v>0</v>
      </c>
      <c r="H604" s="4"/>
      <c r="I604" s="85">
        <f t="shared" si="37"/>
        <v>0</v>
      </c>
      <c r="J604" s="4"/>
      <c r="K604" s="100">
        <f t="shared" si="38"/>
        <v>0</v>
      </c>
      <c r="L604" s="85">
        <f t="shared" si="39"/>
        <v>0</v>
      </c>
    </row>
    <row r="605" spans="1:12" s="60" customFormat="1" x14ac:dyDescent="0.35">
      <c r="A605" s="21"/>
      <c r="B605" s="10" t="s">
        <v>71</v>
      </c>
      <c r="C605" s="5" t="s">
        <v>6</v>
      </c>
      <c r="D605" s="5">
        <v>6.8</v>
      </c>
      <c r="E605" s="4">
        <f>D605*E603</f>
        <v>0.57120000000000004</v>
      </c>
      <c r="F605" s="9"/>
      <c r="G605" s="85">
        <f t="shared" si="36"/>
        <v>0</v>
      </c>
      <c r="H605" s="4"/>
      <c r="I605" s="85">
        <f t="shared" si="37"/>
        <v>0</v>
      </c>
      <c r="J605" s="4"/>
      <c r="K605" s="100">
        <f t="shared" si="38"/>
        <v>0</v>
      </c>
      <c r="L605" s="85">
        <f t="shared" si="39"/>
        <v>0</v>
      </c>
    </row>
    <row r="606" spans="1:12" s="60" customFormat="1" x14ac:dyDescent="0.35">
      <c r="A606" s="21"/>
      <c r="B606" s="132" t="s">
        <v>223</v>
      </c>
      <c r="C606" s="130" t="s">
        <v>5</v>
      </c>
      <c r="D606" s="131" t="s">
        <v>29</v>
      </c>
      <c r="E606" s="12">
        <f>0.08*1.05</f>
        <v>8.4000000000000005E-2</v>
      </c>
      <c r="F606" s="4"/>
      <c r="G606" s="85">
        <f t="shared" si="36"/>
        <v>0</v>
      </c>
      <c r="H606" s="4"/>
      <c r="I606" s="85">
        <f t="shared" si="37"/>
        <v>0</v>
      </c>
      <c r="J606" s="4"/>
      <c r="K606" s="100">
        <f t="shared" si="38"/>
        <v>0</v>
      </c>
      <c r="L606" s="85">
        <f t="shared" si="39"/>
        <v>0</v>
      </c>
    </row>
    <row r="607" spans="1:12" s="60" customFormat="1" x14ac:dyDescent="0.35">
      <c r="A607" s="21"/>
      <c r="B607" s="10" t="s">
        <v>14</v>
      </c>
      <c r="C607" s="5" t="s">
        <v>6</v>
      </c>
      <c r="D607" s="5">
        <v>12.2</v>
      </c>
      <c r="E607" s="4">
        <f>D607*E603</f>
        <v>1.0247999999999999</v>
      </c>
      <c r="F607" s="9"/>
      <c r="G607" s="85">
        <f t="shared" si="36"/>
        <v>0</v>
      </c>
      <c r="H607" s="4"/>
      <c r="I607" s="85">
        <f t="shared" si="37"/>
        <v>0</v>
      </c>
      <c r="J607" s="4"/>
      <c r="K607" s="100">
        <f t="shared" si="38"/>
        <v>0</v>
      </c>
      <c r="L607" s="85">
        <f t="shared" si="39"/>
        <v>0</v>
      </c>
    </row>
    <row r="608" spans="1:12" s="60" customFormat="1" x14ac:dyDescent="0.35">
      <c r="A608" s="21"/>
      <c r="B608" s="63" t="s">
        <v>101</v>
      </c>
      <c r="C608" s="5"/>
      <c r="D608" s="5"/>
      <c r="E608" s="4"/>
      <c r="F608" s="9"/>
      <c r="G608" s="85">
        <f t="shared" si="36"/>
        <v>0</v>
      </c>
      <c r="H608" s="4"/>
      <c r="I608" s="85">
        <f t="shared" si="37"/>
        <v>0</v>
      </c>
      <c r="J608" s="4"/>
      <c r="K608" s="100">
        <f t="shared" si="38"/>
        <v>0</v>
      </c>
      <c r="L608" s="85">
        <f t="shared" si="39"/>
        <v>0</v>
      </c>
    </row>
    <row r="609" spans="1:12" s="60" customFormat="1" ht="27" x14ac:dyDescent="0.35">
      <c r="A609" s="21">
        <v>82</v>
      </c>
      <c r="B609" s="36" t="s">
        <v>229</v>
      </c>
      <c r="C609" s="37" t="s">
        <v>56</v>
      </c>
      <c r="D609" s="37"/>
      <c r="E609" s="38">
        <f>1.42+4.05+1.15+2.74</f>
        <v>9.36</v>
      </c>
      <c r="F609" s="9"/>
      <c r="G609" s="85">
        <f t="shared" si="36"/>
        <v>0</v>
      </c>
      <c r="H609" s="4"/>
      <c r="I609" s="85">
        <f t="shared" si="37"/>
        <v>0</v>
      </c>
      <c r="J609" s="4"/>
      <c r="K609" s="100">
        <f t="shared" si="38"/>
        <v>0</v>
      </c>
      <c r="L609" s="85">
        <f t="shared" si="39"/>
        <v>0</v>
      </c>
    </row>
    <row r="610" spans="1:12" s="60" customFormat="1" x14ac:dyDescent="0.35">
      <c r="A610" s="21"/>
      <c r="B610" s="6" t="s">
        <v>39</v>
      </c>
      <c r="C610" s="8" t="s">
        <v>24</v>
      </c>
      <c r="D610" s="18">
        <v>1</v>
      </c>
      <c r="E610" s="18">
        <f>E609*D610</f>
        <v>9.36</v>
      </c>
      <c r="F610" s="9"/>
      <c r="G610" s="85">
        <f t="shared" si="36"/>
        <v>0</v>
      </c>
      <c r="H610" s="4"/>
      <c r="I610" s="85">
        <f t="shared" si="37"/>
        <v>0</v>
      </c>
      <c r="J610" s="4"/>
      <c r="K610" s="100">
        <f t="shared" si="38"/>
        <v>0</v>
      </c>
      <c r="L610" s="85">
        <f t="shared" si="39"/>
        <v>0</v>
      </c>
    </row>
    <row r="611" spans="1:12" s="60" customFormat="1" x14ac:dyDescent="0.35">
      <c r="A611" s="21"/>
      <c r="B611" s="10" t="s">
        <v>71</v>
      </c>
      <c r="C611" s="5" t="s">
        <v>6</v>
      </c>
      <c r="D611" s="5">
        <v>1.28</v>
      </c>
      <c r="E611" s="4">
        <f>E609*D611</f>
        <v>11.9808</v>
      </c>
      <c r="F611" s="9"/>
      <c r="G611" s="85">
        <f t="shared" si="36"/>
        <v>0</v>
      </c>
      <c r="H611" s="4"/>
      <c r="I611" s="85">
        <f t="shared" si="37"/>
        <v>0</v>
      </c>
      <c r="J611" s="4"/>
      <c r="K611" s="100">
        <f t="shared" si="38"/>
        <v>0</v>
      </c>
      <c r="L611" s="85">
        <f t="shared" si="39"/>
        <v>0</v>
      </c>
    </row>
    <row r="612" spans="1:12" s="60" customFormat="1" x14ac:dyDescent="0.35">
      <c r="A612" s="21"/>
      <c r="B612" s="133" t="s">
        <v>77</v>
      </c>
      <c r="C612" s="130" t="s">
        <v>16</v>
      </c>
      <c r="D612" s="130">
        <v>1.0149999999999999</v>
      </c>
      <c r="E612" s="4">
        <f>E609*D612</f>
        <v>9.5003999999999991</v>
      </c>
      <c r="F612" s="9"/>
      <c r="G612" s="85">
        <f t="shared" si="36"/>
        <v>0</v>
      </c>
      <c r="H612" s="4"/>
      <c r="I612" s="85">
        <f t="shared" si="37"/>
        <v>0</v>
      </c>
      <c r="J612" s="4"/>
      <c r="K612" s="100">
        <f t="shared" si="38"/>
        <v>0</v>
      </c>
      <c r="L612" s="85">
        <f t="shared" si="39"/>
        <v>0</v>
      </c>
    </row>
    <row r="613" spans="1:12" s="60" customFormat="1" x14ac:dyDescent="0.35">
      <c r="A613" s="21"/>
      <c r="B613" s="133" t="s">
        <v>68</v>
      </c>
      <c r="C613" s="130" t="s">
        <v>16</v>
      </c>
      <c r="D613" s="131">
        <v>1</v>
      </c>
      <c r="E613" s="4">
        <f>D613*E609</f>
        <v>9.36</v>
      </c>
      <c r="F613" s="9"/>
      <c r="G613" s="85">
        <f t="shared" si="36"/>
        <v>0</v>
      </c>
      <c r="H613" s="4"/>
      <c r="I613" s="85">
        <f t="shared" si="37"/>
        <v>0</v>
      </c>
      <c r="J613" s="4"/>
      <c r="K613" s="100">
        <f t="shared" si="38"/>
        <v>0</v>
      </c>
      <c r="L613" s="85">
        <f t="shared" si="39"/>
        <v>0</v>
      </c>
    </row>
    <row r="614" spans="1:12" s="60" customFormat="1" x14ac:dyDescent="0.35">
      <c r="A614" s="21"/>
      <c r="B614" s="17" t="s">
        <v>75</v>
      </c>
      <c r="C614" s="5" t="s">
        <v>16</v>
      </c>
      <c r="D614" s="5">
        <v>0.23100000000000001</v>
      </c>
      <c r="E614" s="12">
        <f>E609*D614</f>
        <v>2.1621600000000001</v>
      </c>
      <c r="F614" s="9"/>
      <c r="G614" s="85">
        <f t="shared" si="36"/>
        <v>0</v>
      </c>
      <c r="H614" s="4"/>
      <c r="I614" s="85">
        <f t="shared" si="37"/>
        <v>0</v>
      </c>
      <c r="J614" s="4"/>
      <c r="K614" s="100">
        <f t="shared" si="38"/>
        <v>0</v>
      </c>
      <c r="L614" s="85">
        <f t="shared" si="39"/>
        <v>0</v>
      </c>
    </row>
    <row r="615" spans="1:12" s="60" customFormat="1" x14ac:dyDescent="0.35">
      <c r="A615" s="21"/>
      <c r="B615" s="27" t="s">
        <v>78</v>
      </c>
      <c r="C615" s="5" t="s">
        <v>18</v>
      </c>
      <c r="D615" s="4">
        <v>5</v>
      </c>
      <c r="E615" s="4">
        <f>E609*D615</f>
        <v>46.8</v>
      </c>
      <c r="F615" s="9"/>
      <c r="G615" s="85">
        <f t="shared" si="36"/>
        <v>0</v>
      </c>
      <c r="H615" s="4"/>
      <c r="I615" s="85">
        <f t="shared" si="37"/>
        <v>0</v>
      </c>
      <c r="J615" s="4"/>
      <c r="K615" s="100">
        <f t="shared" si="38"/>
        <v>0</v>
      </c>
      <c r="L615" s="85">
        <f t="shared" si="39"/>
        <v>0</v>
      </c>
    </row>
    <row r="616" spans="1:12" s="60" customFormat="1" x14ac:dyDescent="0.35">
      <c r="A616" s="21"/>
      <c r="B616" s="17" t="s">
        <v>79</v>
      </c>
      <c r="C616" s="5" t="s">
        <v>7</v>
      </c>
      <c r="D616" s="5">
        <v>2.5</v>
      </c>
      <c r="E616" s="4">
        <f>E609*D616</f>
        <v>23.4</v>
      </c>
      <c r="F616" s="9"/>
      <c r="G616" s="85">
        <f t="shared" si="36"/>
        <v>0</v>
      </c>
      <c r="H616" s="4"/>
      <c r="I616" s="85">
        <f t="shared" si="37"/>
        <v>0</v>
      </c>
      <c r="J616" s="4"/>
      <c r="K616" s="100">
        <f t="shared" si="38"/>
        <v>0</v>
      </c>
      <c r="L616" s="85">
        <f t="shared" si="39"/>
        <v>0</v>
      </c>
    </row>
    <row r="617" spans="1:12" s="60" customFormat="1" x14ac:dyDescent="0.35">
      <c r="A617" s="21"/>
      <c r="B617" s="10" t="s">
        <v>14</v>
      </c>
      <c r="C617" s="5" t="s">
        <v>6</v>
      </c>
      <c r="D617" s="5">
        <v>0.80900000000000005</v>
      </c>
      <c r="E617" s="4">
        <f>E609*D617</f>
        <v>7.5722399999999999</v>
      </c>
      <c r="F617" s="9"/>
      <c r="G617" s="85">
        <f t="shared" si="36"/>
        <v>0</v>
      </c>
      <c r="H617" s="4"/>
      <c r="I617" s="85">
        <f t="shared" si="37"/>
        <v>0</v>
      </c>
      <c r="J617" s="4"/>
      <c r="K617" s="100">
        <f t="shared" si="38"/>
        <v>0</v>
      </c>
      <c r="L617" s="85">
        <f t="shared" si="39"/>
        <v>0</v>
      </c>
    </row>
    <row r="618" spans="1:12" s="60" customFormat="1" x14ac:dyDescent="0.35">
      <c r="A618" s="21">
        <v>83</v>
      </c>
      <c r="B618" s="74" t="s">
        <v>70</v>
      </c>
      <c r="C618" s="39" t="s">
        <v>5</v>
      </c>
      <c r="D618" s="39"/>
      <c r="E618" s="75">
        <f>E621+E622+E623+E624</f>
        <v>1.33833</v>
      </c>
      <c r="F618" s="9"/>
      <c r="G618" s="85">
        <f t="shared" si="36"/>
        <v>0</v>
      </c>
      <c r="H618" s="3"/>
      <c r="I618" s="85">
        <f t="shared" si="37"/>
        <v>0</v>
      </c>
      <c r="J618" s="3"/>
      <c r="K618" s="100">
        <f t="shared" si="38"/>
        <v>0</v>
      </c>
      <c r="L618" s="85">
        <f t="shared" si="39"/>
        <v>0</v>
      </c>
    </row>
    <row r="619" spans="1:12" s="60" customFormat="1" x14ac:dyDescent="0.35">
      <c r="A619" s="21"/>
      <c r="B619" s="6" t="s">
        <v>39</v>
      </c>
      <c r="C619" s="8" t="s">
        <v>5</v>
      </c>
      <c r="D619" s="18">
        <v>1</v>
      </c>
      <c r="E619" s="49">
        <f>E618*D619</f>
        <v>1.33833</v>
      </c>
      <c r="F619" s="9"/>
      <c r="G619" s="85">
        <f t="shared" si="36"/>
        <v>0</v>
      </c>
      <c r="H619" s="4"/>
      <c r="I619" s="85">
        <f t="shared" si="37"/>
        <v>0</v>
      </c>
      <c r="J619" s="4"/>
      <c r="K619" s="100">
        <f t="shared" si="38"/>
        <v>0</v>
      </c>
      <c r="L619" s="85">
        <f t="shared" si="39"/>
        <v>0</v>
      </c>
    </row>
    <row r="620" spans="1:12" s="60" customFormat="1" x14ac:dyDescent="0.35">
      <c r="A620" s="21"/>
      <c r="B620" s="10" t="s">
        <v>71</v>
      </c>
      <c r="C620" s="5" t="s">
        <v>6</v>
      </c>
      <c r="D620" s="5">
        <v>6.8</v>
      </c>
      <c r="E620" s="4">
        <f>D620*E618</f>
        <v>9.1006439999999991</v>
      </c>
      <c r="F620" s="9"/>
      <c r="G620" s="85">
        <f t="shared" si="36"/>
        <v>0</v>
      </c>
      <c r="H620" s="4"/>
      <c r="I620" s="85">
        <f t="shared" si="37"/>
        <v>0</v>
      </c>
      <c r="J620" s="4"/>
      <c r="K620" s="100">
        <f t="shared" si="38"/>
        <v>0</v>
      </c>
      <c r="L620" s="85">
        <f t="shared" si="39"/>
        <v>0</v>
      </c>
    </row>
    <row r="621" spans="1:12" s="60" customFormat="1" x14ac:dyDescent="0.35">
      <c r="A621" s="21"/>
      <c r="B621" s="129" t="s">
        <v>226</v>
      </c>
      <c r="C621" s="130" t="s">
        <v>5</v>
      </c>
      <c r="D621" s="131" t="s">
        <v>29</v>
      </c>
      <c r="E621" s="12">
        <f>0.192*1.05</f>
        <v>0.2016</v>
      </c>
      <c r="F621" s="4"/>
      <c r="G621" s="85">
        <f t="shared" si="36"/>
        <v>0</v>
      </c>
      <c r="H621" s="4"/>
      <c r="I621" s="85">
        <f t="shared" si="37"/>
        <v>0</v>
      </c>
      <c r="J621" s="4"/>
      <c r="K621" s="100">
        <f t="shared" si="38"/>
        <v>0</v>
      </c>
      <c r="L621" s="85">
        <f t="shared" si="39"/>
        <v>0</v>
      </c>
    </row>
    <row r="622" spans="1:12" s="60" customFormat="1" x14ac:dyDescent="0.35">
      <c r="A622" s="21"/>
      <c r="B622" s="129" t="s">
        <v>225</v>
      </c>
      <c r="C622" s="130" t="s">
        <v>5</v>
      </c>
      <c r="D622" s="131" t="s">
        <v>29</v>
      </c>
      <c r="E622" s="12">
        <f>0.618*1.05</f>
        <v>0.64890000000000003</v>
      </c>
      <c r="F622" s="4"/>
      <c r="G622" s="85">
        <f t="shared" si="36"/>
        <v>0</v>
      </c>
      <c r="H622" s="4"/>
      <c r="I622" s="85">
        <f t="shared" si="37"/>
        <v>0</v>
      </c>
      <c r="J622" s="4"/>
      <c r="K622" s="100">
        <f t="shared" si="38"/>
        <v>0</v>
      </c>
      <c r="L622" s="85">
        <f t="shared" si="39"/>
        <v>0</v>
      </c>
    </row>
    <row r="623" spans="1:12" s="60" customFormat="1" x14ac:dyDescent="0.35">
      <c r="A623" s="21"/>
      <c r="B623" s="129" t="s">
        <v>227</v>
      </c>
      <c r="C623" s="130" t="s">
        <v>5</v>
      </c>
      <c r="D623" s="131" t="s">
        <v>29</v>
      </c>
      <c r="E623" s="12">
        <f>0.231*1.05</f>
        <v>0.24255000000000002</v>
      </c>
      <c r="F623" s="4"/>
      <c r="G623" s="85">
        <f t="shared" si="36"/>
        <v>0</v>
      </c>
      <c r="H623" s="4"/>
      <c r="I623" s="85">
        <f t="shared" si="37"/>
        <v>0</v>
      </c>
      <c r="J623" s="4"/>
      <c r="K623" s="100">
        <f t="shared" si="38"/>
        <v>0</v>
      </c>
      <c r="L623" s="85">
        <f t="shared" si="39"/>
        <v>0</v>
      </c>
    </row>
    <row r="624" spans="1:12" s="60" customFormat="1" x14ac:dyDescent="0.35">
      <c r="A624" s="21"/>
      <c r="B624" s="132" t="s">
        <v>228</v>
      </c>
      <c r="C624" s="130" t="s">
        <v>5</v>
      </c>
      <c r="D624" s="131" t="s">
        <v>29</v>
      </c>
      <c r="E624" s="12">
        <f>0.2336*1.05</f>
        <v>0.24528000000000003</v>
      </c>
      <c r="F624" s="4"/>
      <c r="G624" s="85">
        <f t="shared" si="36"/>
        <v>0</v>
      </c>
      <c r="H624" s="4"/>
      <c r="I624" s="85">
        <f t="shared" si="37"/>
        <v>0</v>
      </c>
      <c r="J624" s="4"/>
      <c r="K624" s="100">
        <f t="shared" si="38"/>
        <v>0</v>
      </c>
      <c r="L624" s="85">
        <f t="shared" si="39"/>
        <v>0</v>
      </c>
    </row>
    <row r="625" spans="1:12" s="60" customFormat="1" x14ac:dyDescent="0.35">
      <c r="A625" s="21"/>
      <c r="B625" s="10" t="s">
        <v>14</v>
      </c>
      <c r="C625" s="5" t="s">
        <v>6</v>
      </c>
      <c r="D625" s="5">
        <v>12.2</v>
      </c>
      <c r="E625" s="4">
        <f>D625*E618</f>
        <v>16.327625999999999</v>
      </c>
      <c r="F625" s="9"/>
      <c r="G625" s="85">
        <f t="shared" si="36"/>
        <v>0</v>
      </c>
      <c r="H625" s="4"/>
      <c r="I625" s="85">
        <f t="shared" si="37"/>
        <v>0</v>
      </c>
      <c r="J625" s="4"/>
      <c r="K625" s="100">
        <f t="shared" si="38"/>
        <v>0</v>
      </c>
      <c r="L625" s="85">
        <f t="shared" si="39"/>
        <v>0</v>
      </c>
    </row>
    <row r="626" spans="1:12" s="60" customFormat="1" ht="27" x14ac:dyDescent="0.35">
      <c r="A626" s="21">
        <v>84</v>
      </c>
      <c r="B626" s="36" t="s">
        <v>230</v>
      </c>
      <c r="C626" s="37" t="s">
        <v>56</v>
      </c>
      <c r="D626" s="37"/>
      <c r="E626" s="38">
        <f>3.2+3.8</f>
        <v>7</v>
      </c>
      <c r="F626" s="9"/>
      <c r="G626" s="85">
        <f t="shared" si="36"/>
        <v>0</v>
      </c>
      <c r="H626" s="4"/>
      <c r="I626" s="85">
        <f t="shared" si="37"/>
        <v>0</v>
      </c>
      <c r="J626" s="4"/>
      <c r="K626" s="100">
        <f t="shared" si="38"/>
        <v>0</v>
      </c>
      <c r="L626" s="85">
        <f t="shared" si="39"/>
        <v>0</v>
      </c>
    </row>
    <row r="627" spans="1:12" s="60" customFormat="1" x14ac:dyDescent="0.35">
      <c r="A627" s="21"/>
      <c r="B627" s="6" t="s">
        <v>39</v>
      </c>
      <c r="C627" s="8" t="s">
        <v>24</v>
      </c>
      <c r="D627" s="18">
        <v>1</v>
      </c>
      <c r="E627" s="18">
        <f>E626*D627</f>
        <v>7</v>
      </c>
      <c r="F627" s="9"/>
      <c r="G627" s="85">
        <f t="shared" si="36"/>
        <v>0</v>
      </c>
      <c r="H627" s="4"/>
      <c r="I627" s="85">
        <f t="shared" si="37"/>
        <v>0</v>
      </c>
      <c r="J627" s="4"/>
      <c r="K627" s="100">
        <f t="shared" si="38"/>
        <v>0</v>
      </c>
      <c r="L627" s="85">
        <f t="shared" si="39"/>
        <v>0</v>
      </c>
    </row>
    <row r="628" spans="1:12" s="60" customFormat="1" x14ac:dyDescent="0.35">
      <c r="A628" s="21"/>
      <c r="B628" s="10" t="s">
        <v>71</v>
      </c>
      <c r="C628" s="5" t="s">
        <v>6</v>
      </c>
      <c r="D628" s="5">
        <v>1.28</v>
      </c>
      <c r="E628" s="4">
        <f>E626*D628</f>
        <v>8.9600000000000009</v>
      </c>
      <c r="F628" s="9"/>
      <c r="G628" s="85">
        <f t="shared" si="36"/>
        <v>0</v>
      </c>
      <c r="H628" s="4"/>
      <c r="I628" s="85">
        <f t="shared" si="37"/>
        <v>0</v>
      </c>
      <c r="J628" s="4"/>
      <c r="K628" s="100">
        <f t="shared" si="38"/>
        <v>0</v>
      </c>
      <c r="L628" s="85">
        <f t="shared" si="39"/>
        <v>0</v>
      </c>
    </row>
    <row r="629" spans="1:12" s="60" customFormat="1" x14ac:dyDescent="0.35">
      <c r="A629" s="21"/>
      <c r="B629" s="133" t="s">
        <v>77</v>
      </c>
      <c r="C629" s="130" t="s">
        <v>16</v>
      </c>
      <c r="D629" s="130">
        <v>1.0149999999999999</v>
      </c>
      <c r="E629" s="4">
        <f>E626*D629</f>
        <v>7.1049999999999995</v>
      </c>
      <c r="F629" s="9"/>
      <c r="G629" s="85">
        <f t="shared" si="36"/>
        <v>0</v>
      </c>
      <c r="H629" s="4"/>
      <c r="I629" s="85">
        <f t="shared" si="37"/>
        <v>0</v>
      </c>
      <c r="J629" s="4"/>
      <c r="K629" s="100">
        <f t="shared" si="38"/>
        <v>0</v>
      </c>
      <c r="L629" s="85">
        <f t="shared" si="39"/>
        <v>0</v>
      </c>
    </row>
    <row r="630" spans="1:12" s="60" customFormat="1" x14ac:dyDescent="0.35">
      <c r="A630" s="21"/>
      <c r="B630" s="133" t="s">
        <v>68</v>
      </c>
      <c r="C630" s="130" t="s">
        <v>16</v>
      </c>
      <c r="D630" s="131">
        <v>1</v>
      </c>
      <c r="E630" s="4">
        <f>D630*E626</f>
        <v>7</v>
      </c>
      <c r="F630" s="9"/>
      <c r="G630" s="85">
        <f t="shared" si="36"/>
        <v>0</v>
      </c>
      <c r="H630" s="4"/>
      <c r="I630" s="85">
        <f t="shared" si="37"/>
        <v>0</v>
      </c>
      <c r="J630" s="4"/>
      <c r="K630" s="100">
        <f t="shared" si="38"/>
        <v>0</v>
      </c>
      <c r="L630" s="85">
        <f t="shared" si="39"/>
        <v>0</v>
      </c>
    </row>
    <row r="631" spans="1:12" s="60" customFormat="1" x14ac:dyDescent="0.35">
      <c r="A631" s="21"/>
      <c r="B631" s="17" t="s">
        <v>75</v>
      </c>
      <c r="C631" s="5" t="s">
        <v>16</v>
      </c>
      <c r="D631" s="5">
        <v>0.23100000000000001</v>
      </c>
      <c r="E631" s="12">
        <f>E626*D631</f>
        <v>1.617</v>
      </c>
      <c r="F631" s="9"/>
      <c r="G631" s="85">
        <f t="shared" si="36"/>
        <v>0</v>
      </c>
      <c r="H631" s="4"/>
      <c r="I631" s="85">
        <f t="shared" si="37"/>
        <v>0</v>
      </c>
      <c r="J631" s="4"/>
      <c r="K631" s="100">
        <f t="shared" si="38"/>
        <v>0</v>
      </c>
      <c r="L631" s="85">
        <f t="shared" si="39"/>
        <v>0</v>
      </c>
    </row>
    <row r="632" spans="1:12" s="60" customFormat="1" x14ac:dyDescent="0.35">
      <c r="A632" s="21"/>
      <c r="B632" s="27" t="s">
        <v>78</v>
      </c>
      <c r="C632" s="5" t="s">
        <v>18</v>
      </c>
      <c r="D632" s="4">
        <v>5</v>
      </c>
      <c r="E632" s="4">
        <f>E626*D632</f>
        <v>35</v>
      </c>
      <c r="F632" s="9"/>
      <c r="G632" s="85">
        <f t="shared" si="36"/>
        <v>0</v>
      </c>
      <c r="H632" s="4"/>
      <c r="I632" s="85">
        <f t="shared" si="37"/>
        <v>0</v>
      </c>
      <c r="J632" s="4"/>
      <c r="K632" s="100">
        <f t="shared" si="38"/>
        <v>0</v>
      </c>
      <c r="L632" s="85">
        <f t="shared" si="39"/>
        <v>0</v>
      </c>
    </row>
    <row r="633" spans="1:12" s="60" customFormat="1" x14ac:dyDescent="0.35">
      <c r="A633" s="21"/>
      <c r="B633" s="17" t="s">
        <v>79</v>
      </c>
      <c r="C633" s="5" t="s">
        <v>7</v>
      </c>
      <c r="D633" s="5">
        <v>2.5</v>
      </c>
      <c r="E633" s="4">
        <f>E626*D633</f>
        <v>17.5</v>
      </c>
      <c r="F633" s="9"/>
      <c r="G633" s="85">
        <f t="shared" si="36"/>
        <v>0</v>
      </c>
      <c r="H633" s="4"/>
      <c r="I633" s="85">
        <f t="shared" si="37"/>
        <v>0</v>
      </c>
      <c r="J633" s="4"/>
      <c r="K633" s="100">
        <f t="shared" si="38"/>
        <v>0</v>
      </c>
      <c r="L633" s="85">
        <f t="shared" si="39"/>
        <v>0</v>
      </c>
    </row>
    <row r="634" spans="1:12" s="60" customFormat="1" x14ac:dyDescent="0.35">
      <c r="A634" s="21"/>
      <c r="B634" s="10" t="s">
        <v>14</v>
      </c>
      <c r="C634" s="5" t="s">
        <v>6</v>
      </c>
      <c r="D634" s="5">
        <v>0.80900000000000005</v>
      </c>
      <c r="E634" s="4">
        <f>E626*D634</f>
        <v>5.6630000000000003</v>
      </c>
      <c r="F634" s="9"/>
      <c r="G634" s="85">
        <f t="shared" si="36"/>
        <v>0</v>
      </c>
      <c r="H634" s="4"/>
      <c r="I634" s="85">
        <f t="shared" si="37"/>
        <v>0</v>
      </c>
      <c r="J634" s="4"/>
      <c r="K634" s="100">
        <f t="shared" si="38"/>
        <v>0</v>
      </c>
      <c r="L634" s="85">
        <f t="shared" si="39"/>
        <v>0</v>
      </c>
    </row>
    <row r="635" spans="1:12" s="60" customFormat="1" x14ac:dyDescent="0.35">
      <c r="A635" s="21">
        <v>85</v>
      </c>
      <c r="B635" s="74" t="s">
        <v>70</v>
      </c>
      <c r="C635" s="39" t="s">
        <v>5</v>
      </c>
      <c r="D635" s="39"/>
      <c r="E635" s="75">
        <f>E638+E639+E640</f>
        <v>0.75600000000000001</v>
      </c>
      <c r="F635" s="9"/>
      <c r="G635" s="85">
        <f t="shared" si="36"/>
        <v>0</v>
      </c>
      <c r="H635" s="3"/>
      <c r="I635" s="85">
        <f t="shared" si="37"/>
        <v>0</v>
      </c>
      <c r="J635" s="3"/>
      <c r="K635" s="100">
        <f t="shared" si="38"/>
        <v>0</v>
      </c>
      <c r="L635" s="85">
        <f t="shared" si="39"/>
        <v>0</v>
      </c>
    </row>
    <row r="636" spans="1:12" s="60" customFormat="1" x14ac:dyDescent="0.35">
      <c r="A636" s="21"/>
      <c r="B636" s="6" t="s">
        <v>39</v>
      </c>
      <c r="C636" s="8" t="s">
        <v>5</v>
      </c>
      <c r="D636" s="18">
        <v>1</v>
      </c>
      <c r="E636" s="49">
        <f>E635*D636</f>
        <v>0.75600000000000001</v>
      </c>
      <c r="F636" s="9"/>
      <c r="G636" s="85">
        <f t="shared" si="36"/>
        <v>0</v>
      </c>
      <c r="H636" s="4"/>
      <c r="I636" s="85">
        <f t="shared" si="37"/>
        <v>0</v>
      </c>
      <c r="J636" s="4"/>
      <c r="K636" s="100">
        <f t="shared" si="38"/>
        <v>0</v>
      </c>
      <c r="L636" s="85">
        <f t="shared" si="39"/>
        <v>0</v>
      </c>
    </row>
    <row r="637" spans="1:12" s="60" customFormat="1" x14ac:dyDescent="0.35">
      <c r="A637" s="21"/>
      <c r="B637" s="10" t="s">
        <v>71</v>
      </c>
      <c r="C637" s="5" t="s">
        <v>6</v>
      </c>
      <c r="D637" s="5">
        <v>6.8</v>
      </c>
      <c r="E637" s="4">
        <f>D637*E635</f>
        <v>5.1407999999999996</v>
      </c>
      <c r="F637" s="9"/>
      <c r="G637" s="85">
        <f t="shared" si="36"/>
        <v>0</v>
      </c>
      <c r="H637" s="4"/>
      <c r="I637" s="85">
        <f t="shared" si="37"/>
        <v>0</v>
      </c>
      <c r="J637" s="4"/>
      <c r="K637" s="100">
        <f t="shared" si="38"/>
        <v>0</v>
      </c>
      <c r="L637" s="85">
        <f t="shared" si="39"/>
        <v>0</v>
      </c>
    </row>
    <row r="638" spans="1:12" s="60" customFormat="1" x14ac:dyDescent="0.35">
      <c r="A638" s="21"/>
      <c r="B638" s="129" t="s">
        <v>231</v>
      </c>
      <c r="C638" s="130" t="s">
        <v>5</v>
      </c>
      <c r="D638" s="131" t="s">
        <v>29</v>
      </c>
      <c r="E638" s="12">
        <f>0.4204*1.05</f>
        <v>0.44142000000000003</v>
      </c>
      <c r="F638" s="4"/>
      <c r="G638" s="85">
        <f t="shared" si="36"/>
        <v>0</v>
      </c>
      <c r="H638" s="4"/>
      <c r="I638" s="85">
        <f t="shared" si="37"/>
        <v>0</v>
      </c>
      <c r="J638" s="4"/>
      <c r="K638" s="100">
        <f t="shared" si="38"/>
        <v>0</v>
      </c>
      <c r="L638" s="85">
        <f t="shared" si="39"/>
        <v>0</v>
      </c>
    </row>
    <row r="639" spans="1:12" s="60" customFormat="1" x14ac:dyDescent="0.35">
      <c r="A639" s="21"/>
      <c r="B639" s="129" t="s">
        <v>232</v>
      </c>
      <c r="C639" s="130" t="s">
        <v>5</v>
      </c>
      <c r="D639" s="131" t="s">
        <v>29</v>
      </c>
      <c r="E639" s="12">
        <f>0.1736*1.05</f>
        <v>0.18228000000000003</v>
      </c>
      <c r="F639" s="4"/>
      <c r="G639" s="85">
        <f t="shared" si="36"/>
        <v>0</v>
      </c>
      <c r="H639" s="4"/>
      <c r="I639" s="85">
        <f t="shared" si="37"/>
        <v>0</v>
      </c>
      <c r="J639" s="4"/>
      <c r="K639" s="100">
        <f t="shared" si="38"/>
        <v>0</v>
      </c>
      <c r="L639" s="85">
        <f t="shared" si="39"/>
        <v>0</v>
      </c>
    </row>
    <row r="640" spans="1:12" s="60" customFormat="1" x14ac:dyDescent="0.35">
      <c r="A640" s="21"/>
      <c r="B640" s="132" t="s">
        <v>233</v>
      </c>
      <c r="C640" s="130" t="s">
        <v>5</v>
      </c>
      <c r="D640" s="131" t="s">
        <v>29</v>
      </c>
      <c r="E640" s="12">
        <f>0.126*1.05</f>
        <v>0.1323</v>
      </c>
      <c r="F640" s="4"/>
      <c r="G640" s="85">
        <f t="shared" si="36"/>
        <v>0</v>
      </c>
      <c r="H640" s="4"/>
      <c r="I640" s="85">
        <f t="shared" si="37"/>
        <v>0</v>
      </c>
      <c r="J640" s="4"/>
      <c r="K640" s="100">
        <f t="shared" si="38"/>
        <v>0</v>
      </c>
      <c r="L640" s="85">
        <f t="shared" si="39"/>
        <v>0</v>
      </c>
    </row>
    <row r="641" spans="1:12" s="60" customFormat="1" x14ac:dyDescent="0.35">
      <c r="A641" s="21"/>
      <c r="B641" s="10" t="s">
        <v>14</v>
      </c>
      <c r="C641" s="5" t="s">
        <v>6</v>
      </c>
      <c r="D641" s="4">
        <v>12.2</v>
      </c>
      <c r="E641" s="4">
        <f>D641*E635</f>
        <v>9.2232000000000003</v>
      </c>
      <c r="F641" s="9"/>
      <c r="G641" s="85">
        <f t="shared" si="36"/>
        <v>0</v>
      </c>
      <c r="H641" s="4"/>
      <c r="I641" s="85">
        <f t="shared" si="37"/>
        <v>0</v>
      </c>
      <c r="J641" s="4"/>
      <c r="K641" s="100">
        <f t="shared" si="38"/>
        <v>0</v>
      </c>
      <c r="L641" s="85">
        <f t="shared" si="39"/>
        <v>0</v>
      </c>
    </row>
    <row r="642" spans="1:12" s="60" customFormat="1" x14ac:dyDescent="0.35">
      <c r="A642" s="21"/>
      <c r="B642" s="63" t="s">
        <v>243</v>
      </c>
      <c r="C642" s="5"/>
      <c r="D642" s="5"/>
      <c r="E642" s="4"/>
      <c r="F642" s="9"/>
      <c r="G642" s="85">
        <f t="shared" si="36"/>
        <v>0</v>
      </c>
      <c r="H642" s="4"/>
      <c r="I642" s="85">
        <f t="shared" si="37"/>
        <v>0</v>
      </c>
      <c r="J642" s="4"/>
      <c r="K642" s="100">
        <f t="shared" si="38"/>
        <v>0</v>
      </c>
      <c r="L642" s="85">
        <f t="shared" si="39"/>
        <v>0</v>
      </c>
    </row>
    <row r="643" spans="1:12" s="60" customFormat="1" ht="27" x14ac:dyDescent="0.35">
      <c r="A643" s="68">
        <v>86</v>
      </c>
      <c r="B643" s="36" t="s">
        <v>251</v>
      </c>
      <c r="C643" s="37" t="s">
        <v>56</v>
      </c>
      <c r="D643" s="37"/>
      <c r="E643" s="38">
        <v>0.7</v>
      </c>
      <c r="F643" s="9"/>
      <c r="G643" s="85">
        <f t="shared" si="36"/>
        <v>0</v>
      </c>
      <c r="H643" s="4"/>
      <c r="I643" s="85">
        <f t="shared" si="37"/>
        <v>0</v>
      </c>
      <c r="J643" s="4"/>
      <c r="K643" s="100">
        <f t="shared" si="38"/>
        <v>0</v>
      </c>
      <c r="L643" s="85">
        <f t="shared" si="39"/>
        <v>0</v>
      </c>
    </row>
    <row r="644" spans="1:12" s="60" customFormat="1" x14ac:dyDescent="0.35">
      <c r="A644" s="68"/>
      <c r="B644" s="45" t="s">
        <v>39</v>
      </c>
      <c r="C644" s="46" t="s">
        <v>24</v>
      </c>
      <c r="D644" s="4">
        <v>1</v>
      </c>
      <c r="E644" s="4">
        <f>E643*D644</f>
        <v>0.7</v>
      </c>
      <c r="F644" s="4"/>
      <c r="G644" s="85">
        <f t="shared" si="36"/>
        <v>0</v>
      </c>
      <c r="H644" s="4"/>
      <c r="I644" s="85">
        <f t="shared" si="37"/>
        <v>0</v>
      </c>
      <c r="J644" s="4"/>
      <c r="K644" s="100">
        <f t="shared" si="38"/>
        <v>0</v>
      </c>
      <c r="L644" s="85">
        <f t="shared" si="39"/>
        <v>0</v>
      </c>
    </row>
    <row r="645" spans="1:12" s="60" customFormat="1" x14ac:dyDescent="0.35">
      <c r="A645" s="68"/>
      <c r="B645" s="10" t="s">
        <v>25</v>
      </c>
      <c r="C645" s="5" t="s">
        <v>6</v>
      </c>
      <c r="D645" s="5">
        <v>1.43</v>
      </c>
      <c r="E645" s="4">
        <f>D645*E643</f>
        <v>1.0009999999999999</v>
      </c>
      <c r="F645" s="9"/>
      <c r="G645" s="85">
        <f t="shared" si="36"/>
        <v>0</v>
      </c>
      <c r="H645" s="4"/>
      <c r="I645" s="85">
        <f t="shared" si="37"/>
        <v>0</v>
      </c>
      <c r="J645" s="4"/>
      <c r="K645" s="100">
        <f t="shared" si="38"/>
        <v>0</v>
      </c>
      <c r="L645" s="85">
        <f t="shared" si="39"/>
        <v>0</v>
      </c>
    </row>
    <row r="646" spans="1:12" s="60" customFormat="1" x14ac:dyDescent="0.35">
      <c r="A646" s="68"/>
      <c r="B646" s="133" t="s">
        <v>96</v>
      </c>
      <c r="C646" s="130" t="s">
        <v>16</v>
      </c>
      <c r="D646" s="130">
        <v>1.0149999999999999</v>
      </c>
      <c r="E646" s="4">
        <f>D646*E643</f>
        <v>0.71049999999999991</v>
      </c>
      <c r="F646" s="9"/>
      <c r="G646" s="85">
        <f t="shared" si="36"/>
        <v>0</v>
      </c>
      <c r="H646" s="4"/>
      <c r="I646" s="85">
        <f t="shared" si="37"/>
        <v>0</v>
      </c>
      <c r="J646" s="4"/>
      <c r="K646" s="100">
        <f t="shared" si="38"/>
        <v>0</v>
      </c>
      <c r="L646" s="85">
        <f t="shared" si="39"/>
        <v>0</v>
      </c>
    </row>
    <row r="647" spans="1:12" s="60" customFormat="1" x14ac:dyDescent="0.35">
      <c r="A647" s="68"/>
      <c r="B647" s="10" t="s">
        <v>74</v>
      </c>
      <c r="C647" s="5" t="s">
        <v>17</v>
      </c>
      <c r="D647" s="5">
        <v>2.64</v>
      </c>
      <c r="E647" s="4">
        <f>D647*E643</f>
        <v>1.8479999999999999</v>
      </c>
      <c r="F647" s="9"/>
      <c r="G647" s="85">
        <f t="shared" si="36"/>
        <v>0</v>
      </c>
      <c r="H647" s="4"/>
      <c r="I647" s="85">
        <f t="shared" si="37"/>
        <v>0</v>
      </c>
      <c r="J647" s="4"/>
      <c r="K647" s="100">
        <f t="shared" si="38"/>
        <v>0</v>
      </c>
      <c r="L647" s="85">
        <f t="shared" si="39"/>
        <v>0</v>
      </c>
    </row>
    <row r="648" spans="1:12" s="60" customFormat="1" x14ac:dyDescent="0.35">
      <c r="A648" s="68"/>
      <c r="B648" s="17" t="s">
        <v>81</v>
      </c>
      <c r="C648" s="5" t="s">
        <v>16</v>
      </c>
      <c r="D648" s="5">
        <v>5.9799999999999999E-2</v>
      </c>
      <c r="E648" s="12">
        <f>D648*E643</f>
        <v>4.1859999999999994E-2</v>
      </c>
      <c r="F648" s="9"/>
      <c r="G648" s="85">
        <f t="shared" si="36"/>
        <v>0</v>
      </c>
      <c r="H648" s="4"/>
      <c r="I648" s="85">
        <f t="shared" si="37"/>
        <v>0</v>
      </c>
      <c r="J648" s="4"/>
      <c r="K648" s="100">
        <f t="shared" si="38"/>
        <v>0</v>
      </c>
      <c r="L648" s="85">
        <f t="shared" si="39"/>
        <v>0</v>
      </c>
    </row>
    <row r="649" spans="1:12" s="60" customFormat="1" x14ac:dyDescent="0.35">
      <c r="A649" s="68"/>
      <c r="B649" s="17" t="s">
        <v>93</v>
      </c>
      <c r="C649" s="5" t="s">
        <v>7</v>
      </c>
      <c r="D649" s="5">
        <v>3.2</v>
      </c>
      <c r="E649" s="12">
        <f>D649*E643</f>
        <v>2.2399999999999998</v>
      </c>
      <c r="F649" s="9"/>
      <c r="G649" s="85">
        <f t="shared" si="36"/>
        <v>0</v>
      </c>
      <c r="H649" s="4"/>
      <c r="I649" s="85">
        <f t="shared" si="37"/>
        <v>0</v>
      </c>
      <c r="J649" s="4"/>
      <c r="K649" s="100">
        <f t="shared" si="38"/>
        <v>0</v>
      </c>
      <c r="L649" s="85">
        <f t="shared" si="39"/>
        <v>0</v>
      </c>
    </row>
    <row r="650" spans="1:12" s="60" customFormat="1" x14ac:dyDescent="0.35">
      <c r="A650" s="68"/>
      <c r="B650" s="17" t="s">
        <v>79</v>
      </c>
      <c r="C650" s="5" t="s">
        <v>7</v>
      </c>
      <c r="D650" s="5">
        <v>4.0999999999999996</v>
      </c>
      <c r="E650" s="12">
        <f>D650*E643</f>
        <v>2.8699999999999997</v>
      </c>
      <c r="F650" s="9"/>
      <c r="G650" s="85">
        <f t="shared" si="36"/>
        <v>0</v>
      </c>
      <c r="H650" s="4"/>
      <c r="I650" s="85">
        <f t="shared" si="37"/>
        <v>0</v>
      </c>
      <c r="J650" s="4"/>
      <c r="K650" s="100">
        <f t="shared" si="38"/>
        <v>0</v>
      </c>
      <c r="L650" s="85">
        <f t="shared" si="39"/>
        <v>0</v>
      </c>
    </row>
    <row r="651" spans="1:12" s="60" customFormat="1" x14ac:dyDescent="0.35">
      <c r="A651" s="68"/>
      <c r="B651" s="10" t="s">
        <v>30</v>
      </c>
      <c r="C651" s="5" t="s">
        <v>6</v>
      </c>
      <c r="D651" s="5">
        <v>0.49</v>
      </c>
      <c r="E651" s="4">
        <f>E643*D651</f>
        <v>0.34299999999999997</v>
      </c>
      <c r="F651" s="9"/>
      <c r="G651" s="85">
        <f t="shared" ref="G651:G710" si="40">F651*E651</f>
        <v>0</v>
      </c>
      <c r="H651" s="4"/>
      <c r="I651" s="85">
        <f t="shared" ref="I651:I711" si="41">H651*E651</f>
        <v>0</v>
      </c>
      <c r="J651" s="4"/>
      <c r="K651" s="100">
        <f t="shared" ref="K651:K711" si="42">J651*E651</f>
        <v>0</v>
      </c>
      <c r="L651" s="85">
        <f t="shared" ref="L651:L711" si="43">K651+I651+G651</f>
        <v>0</v>
      </c>
    </row>
    <row r="652" spans="1:12" s="60" customFormat="1" x14ac:dyDescent="0.35">
      <c r="A652" s="21">
        <v>87</v>
      </c>
      <c r="B652" s="74" t="s">
        <v>70</v>
      </c>
      <c r="C652" s="39" t="s">
        <v>5</v>
      </c>
      <c r="D652" s="39"/>
      <c r="E652" s="75">
        <f>E655+E656</f>
        <v>8.1900000000000014E-2</v>
      </c>
      <c r="F652" s="9"/>
      <c r="G652" s="85">
        <f t="shared" si="40"/>
        <v>0</v>
      </c>
      <c r="H652" s="3"/>
      <c r="I652" s="85">
        <f t="shared" si="41"/>
        <v>0</v>
      </c>
      <c r="J652" s="3"/>
      <c r="K652" s="100">
        <f t="shared" si="42"/>
        <v>0</v>
      </c>
      <c r="L652" s="85">
        <f t="shared" si="43"/>
        <v>0</v>
      </c>
    </row>
    <row r="653" spans="1:12" s="60" customFormat="1" x14ac:dyDescent="0.35">
      <c r="A653" s="21"/>
      <c r="B653" s="45" t="s">
        <v>39</v>
      </c>
      <c r="C653" s="46" t="s">
        <v>5</v>
      </c>
      <c r="D653" s="4">
        <v>1</v>
      </c>
      <c r="E653" s="4">
        <f>E652*D653</f>
        <v>8.1900000000000014E-2</v>
      </c>
      <c r="F653" s="4"/>
      <c r="G653" s="85">
        <f t="shared" si="40"/>
        <v>0</v>
      </c>
      <c r="H653" s="4"/>
      <c r="I653" s="85">
        <f t="shared" si="41"/>
        <v>0</v>
      </c>
      <c r="J653" s="4"/>
      <c r="K653" s="100">
        <f t="shared" si="42"/>
        <v>0</v>
      </c>
      <c r="L653" s="85">
        <f t="shared" si="43"/>
        <v>0</v>
      </c>
    </row>
    <row r="654" spans="1:12" s="60" customFormat="1" x14ac:dyDescent="0.35">
      <c r="A654" s="21"/>
      <c r="B654" s="10" t="s">
        <v>71</v>
      </c>
      <c r="C654" s="5" t="s">
        <v>6</v>
      </c>
      <c r="D654" s="4">
        <v>6.8</v>
      </c>
      <c r="E654" s="4">
        <f>D654*E652</f>
        <v>0.55692000000000008</v>
      </c>
      <c r="F654" s="9"/>
      <c r="G654" s="85">
        <f t="shared" si="40"/>
        <v>0</v>
      </c>
      <c r="H654" s="4"/>
      <c r="I654" s="85">
        <f t="shared" si="41"/>
        <v>0</v>
      </c>
      <c r="J654" s="4"/>
      <c r="K654" s="100">
        <f t="shared" si="42"/>
        <v>0</v>
      </c>
      <c r="L654" s="85">
        <f t="shared" si="43"/>
        <v>0</v>
      </c>
    </row>
    <row r="655" spans="1:12" s="60" customFormat="1" x14ac:dyDescent="0.35">
      <c r="A655" s="21"/>
      <c r="B655" s="129" t="s">
        <v>257</v>
      </c>
      <c r="C655" s="130" t="s">
        <v>5</v>
      </c>
      <c r="D655" s="131" t="s">
        <v>29</v>
      </c>
      <c r="E655" s="12">
        <f>0.07*1.05</f>
        <v>7.350000000000001E-2</v>
      </c>
      <c r="F655" s="4"/>
      <c r="G655" s="85">
        <f t="shared" si="40"/>
        <v>0</v>
      </c>
      <c r="H655" s="4"/>
      <c r="I655" s="85">
        <f t="shared" si="41"/>
        <v>0</v>
      </c>
      <c r="J655" s="4"/>
      <c r="K655" s="100">
        <f t="shared" si="42"/>
        <v>0</v>
      </c>
      <c r="L655" s="85">
        <f t="shared" si="43"/>
        <v>0</v>
      </c>
    </row>
    <row r="656" spans="1:12" s="60" customFormat="1" x14ac:dyDescent="0.35">
      <c r="A656" s="21"/>
      <c r="B656" s="132" t="s">
        <v>244</v>
      </c>
      <c r="C656" s="130" t="s">
        <v>5</v>
      </c>
      <c r="D656" s="131" t="s">
        <v>29</v>
      </c>
      <c r="E656" s="12">
        <f>0.008*1.05</f>
        <v>8.4000000000000012E-3</v>
      </c>
      <c r="F656" s="4"/>
      <c r="G656" s="85">
        <f t="shared" si="40"/>
        <v>0</v>
      </c>
      <c r="H656" s="4"/>
      <c r="I656" s="85">
        <f t="shared" si="41"/>
        <v>0</v>
      </c>
      <c r="J656" s="4"/>
      <c r="K656" s="100">
        <f t="shared" si="42"/>
        <v>0</v>
      </c>
      <c r="L656" s="85">
        <f t="shared" si="43"/>
        <v>0</v>
      </c>
    </row>
    <row r="657" spans="1:12" s="60" customFormat="1" x14ac:dyDescent="0.35">
      <c r="A657" s="21"/>
      <c r="B657" s="10" t="s">
        <v>14</v>
      </c>
      <c r="C657" s="5" t="s">
        <v>6</v>
      </c>
      <c r="D657" s="5">
        <v>12.2</v>
      </c>
      <c r="E657" s="4">
        <f>D657*E652</f>
        <v>0.99918000000000007</v>
      </c>
      <c r="F657" s="9"/>
      <c r="G657" s="85">
        <f t="shared" si="40"/>
        <v>0</v>
      </c>
      <c r="H657" s="4"/>
      <c r="I657" s="85">
        <f t="shared" si="41"/>
        <v>0</v>
      </c>
      <c r="J657" s="4"/>
      <c r="K657" s="100">
        <f t="shared" si="42"/>
        <v>0</v>
      </c>
      <c r="L657" s="85">
        <f t="shared" si="43"/>
        <v>0</v>
      </c>
    </row>
    <row r="658" spans="1:12" s="60" customFormat="1" ht="27" x14ac:dyDescent="0.35">
      <c r="A658" s="68">
        <v>88</v>
      </c>
      <c r="B658" s="36" t="s">
        <v>249</v>
      </c>
      <c r="C658" s="40" t="s">
        <v>15</v>
      </c>
      <c r="D658" s="40"/>
      <c r="E658" s="38">
        <v>3.5</v>
      </c>
      <c r="F658" s="9"/>
      <c r="G658" s="85">
        <f t="shared" si="40"/>
        <v>0</v>
      </c>
      <c r="H658" s="4"/>
      <c r="I658" s="85">
        <f t="shared" si="41"/>
        <v>0</v>
      </c>
      <c r="J658" s="4"/>
      <c r="K658" s="100">
        <f t="shared" si="42"/>
        <v>0</v>
      </c>
      <c r="L658" s="85">
        <f t="shared" si="43"/>
        <v>0</v>
      </c>
    </row>
    <row r="659" spans="1:12" s="60" customFormat="1" x14ac:dyDescent="0.35">
      <c r="A659" s="68"/>
      <c r="B659" s="45" t="s">
        <v>39</v>
      </c>
      <c r="C659" s="46" t="s">
        <v>24</v>
      </c>
      <c r="D659" s="4">
        <v>1</v>
      </c>
      <c r="E659" s="4">
        <f>E658*D659</f>
        <v>3.5</v>
      </c>
      <c r="F659" s="4"/>
      <c r="G659" s="85">
        <f t="shared" si="40"/>
        <v>0</v>
      </c>
      <c r="H659" s="4"/>
      <c r="I659" s="85">
        <f t="shared" si="41"/>
        <v>0</v>
      </c>
      <c r="J659" s="4"/>
      <c r="K659" s="100">
        <f t="shared" si="42"/>
        <v>0</v>
      </c>
      <c r="L659" s="85">
        <f t="shared" si="43"/>
        <v>0</v>
      </c>
    </row>
    <row r="660" spans="1:12" s="60" customFormat="1" x14ac:dyDescent="0.35">
      <c r="A660" s="68"/>
      <c r="B660" s="10" t="s">
        <v>25</v>
      </c>
      <c r="C660" s="5" t="s">
        <v>6</v>
      </c>
      <c r="D660" s="5">
        <v>0.37</v>
      </c>
      <c r="E660" s="4">
        <f>E658*D660</f>
        <v>1.2949999999999999</v>
      </c>
      <c r="F660" s="9"/>
      <c r="G660" s="85">
        <f t="shared" si="40"/>
        <v>0</v>
      </c>
      <c r="H660" s="4"/>
      <c r="I660" s="85">
        <f t="shared" si="41"/>
        <v>0</v>
      </c>
      <c r="J660" s="4"/>
      <c r="K660" s="100">
        <f t="shared" si="42"/>
        <v>0</v>
      </c>
      <c r="L660" s="85">
        <f t="shared" si="43"/>
        <v>0</v>
      </c>
    </row>
    <row r="661" spans="1:12" s="60" customFormat="1" x14ac:dyDescent="0.35">
      <c r="A661" s="68"/>
      <c r="B661" s="10" t="s">
        <v>248</v>
      </c>
      <c r="C661" s="5" t="s">
        <v>16</v>
      </c>
      <c r="D661" s="5">
        <v>1.22</v>
      </c>
      <c r="E661" s="4">
        <f>E658*D661</f>
        <v>4.2699999999999996</v>
      </c>
      <c r="F661" s="9"/>
      <c r="G661" s="85">
        <f t="shared" si="40"/>
        <v>0</v>
      </c>
      <c r="H661" s="4"/>
      <c r="I661" s="85">
        <f t="shared" si="41"/>
        <v>0</v>
      </c>
      <c r="J661" s="4"/>
      <c r="K661" s="100">
        <f t="shared" si="42"/>
        <v>0</v>
      </c>
      <c r="L661" s="85">
        <f t="shared" si="43"/>
        <v>0</v>
      </c>
    </row>
    <row r="662" spans="1:12" s="60" customFormat="1" x14ac:dyDescent="0.35">
      <c r="A662" s="68"/>
      <c r="B662" s="10" t="s">
        <v>91</v>
      </c>
      <c r="C662" s="5" t="s">
        <v>5</v>
      </c>
      <c r="D662" s="4">
        <v>1.6</v>
      </c>
      <c r="E662" s="4">
        <f>D662*E661</f>
        <v>6.8319999999999999</v>
      </c>
      <c r="F662" s="9"/>
      <c r="G662" s="85">
        <f t="shared" si="40"/>
        <v>0</v>
      </c>
      <c r="H662" s="4"/>
      <c r="I662" s="85">
        <f t="shared" si="41"/>
        <v>0</v>
      </c>
      <c r="J662" s="4"/>
      <c r="K662" s="100">
        <f t="shared" si="42"/>
        <v>0</v>
      </c>
      <c r="L662" s="85">
        <f t="shared" si="43"/>
        <v>0</v>
      </c>
    </row>
    <row r="663" spans="1:12" s="60" customFormat="1" x14ac:dyDescent="0.35">
      <c r="A663" s="68"/>
      <c r="B663" s="10" t="s">
        <v>14</v>
      </c>
      <c r="C663" s="5" t="s">
        <v>6</v>
      </c>
      <c r="D663" s="5">
        <v>0.02</v>
      </c>
      <c r="E663" s="4">
        <f>E658*D663</f>
        <v>7.0000000000000007E-2</v>
      </c>
      <c r="F663" s="9"/>
      <c r="G663" s="85">
        <f t="shared" si="40"/>
        <v>0</v>
      </c>
      <c r="H663" s="4"/>
      <c r="I663" s="85">
        <f t="shared" si="41"/>
        <v>0</v>
      </c>
      <c r="J663" s="4"/>
      <c r="K663" s="100">
        <f t="shared" si="42"/>
        <v>0</v>
      </c>
      <c r="L663" s="85">
        <f t="shared" si="43"/>
        <v>0</v>
      </c>
    </row>
    <row r="664" spans="1:12" s="60" customFormat="1" ht="27" x14ac:dyDescent="0.35">
      <c r="A664" s="21">
        <v>89</v>
      </c>
      <c r="B664" s="36" t="s">
        <v>250</v>
      </c>
      <c r="C664" s="37" t="s">
        <v>56</v>
      </c>
      <c r="D664" s="37"/>
      <c r="E664" s="38">
        <v>2.1</v>
      </c>
      <c r="F664" s="9"/>
      <c r="G664" s="85">
        <f t="shared" si="40"/>
        <v>0</v>
      </c>
      <c r="H664" s="4"/>
      <c r="I664" s="85">
        <f t="shared" si="41"/>
        <v>0</v>
      </c>
      <c r="J664" s="4"/>
      <c r="K664" s="100">
        <f t="shared" si="42"/>
        <v>0</v>
      </c>
      <c r="L664" s="85">
        <f t="shared" si="43"/>
        <v>0</v>
      </c>
    </row>
    <row r="665" spans="1:12" s="60" customFormat="1" x14ac:dyDescent="0.35">
      <c r="A665" s="21"/>
      <c r="B665" s="45" t="s">
        <v>39</v>
      </c>
      <c r="C665" s="46" t="s">
        <v>24</v>
      </c>
      <c r="D665" s="4">
        <v>1</v>
      </c>
      <c r="E665" s="4">
        <f>E664*D665</f>
        <v>2.1</v>
      </c>
      <c r="F665" s="4"/>
      <c r="G665" s="85">
        <f t="shared" si="40"/>
        <v>0</v>
      </c>
      <c r="H665" s="4"/>
      <c r="I665" s="85">
        <f t="shared" si="41"/>
        <v>0</v>
      </c>
      <c r="J665" s="4"/>
      <c r="K665" s="100">
        <f t="shared" si="42"/>
        <v>0</v>
      </c>
      <c r="L665" s="85">
        <f t="shared" si="43"/>
        <v>0</v>
      </c>
    </row>
    <row r="666" spans="1:12" s="60" customFormat="1" x14ac:dyDescent="0.35">
      <c r="A666" s="21"/>
      <c r="B666" s="10" t="s">
        <v>71</v>
      </c>
      <c r="C666" s="5" t="s">
        <v>6</v>
      </c>
      <c r="D666" s="5">
        <v>1.28</v>
      </c>
      <c r="E666" s="4">
        <f>D666*E664</f>
        <v>2.6880000000000002</v>
      </c>
      <c r="F666" s="9"/>
      <c r="G666" s="85">
        <f t="shared" si="40"/>
        <v>0</v>
      </c>
      <c r="H666" s="4"/>
      <c r="I666" s="85">
        <f t="shared" si="41"/>
        <v>0</v>
      </c>
      <c r="J666" s="4"/>
      <c r="K666" s="100">
        <f t="shared" si="42"/>
        <v>0</v>
      </c>
      <c r="L666" s="85">
        <f t="shared" si="43"/>
        <v>0</v>
      </c>
    </row>
    <row r="667" spans="1:12" s="60" customFormat="1" x14ac:dyDescent="0.35">
      <c r="A667" s="21"/>
      <c r="B667" s="133" t="s">
        <v>77</v>
      </c>
      <c r="C667" s="130" t="s">
        <v>16</v>
      </c>
      <c r="D667" s="130">
        <v>1.0149999999999999</v>
      </c>
      <c r="E667" s="4">
        <f>D667*E664</f>
        <v>2.1315</v>
      </c>
      <c r="F667" s="9"/>
      <c r="G667" s="85">
        <f t="shared" si="40"/>
        <v>0</v>
      </c>
      <c r="H667" s="4"/>
      <c r="I667" s="85">
        <f t="shared" si="41"/>
        <v>0</v>
      </c>
      <c r="J667" s="4"/>
      <c r="K667" s="100">
        <f t="shared" si="42"/>
        <v>0</v>
      </c>
      <c r="L667" s="85">
        <f t="shared" si="43"/>
        <v>0</v>
      </c>
    </row>
    <row r="668" spans="1:12" s="60" customFormat="1" x14ac:dyDescent="0.35">
      <c r="A668" s="21"/>
      <c r="B668" s="10" t="s">
        <v>74</v>
      </c>
      <c r="C668" s="5" t="s">
        <v>17</v>
      </c>
      <c r="D668" s="5">
        <v>2.29</v>
      </c>
      <c r="E668" s="4">
        <f>D668*E664</f>
        <v>4.8090000000000002</v>
      </c>
      <c r="F668" s="9"/>
      <c r="G668" s="85">
        <f t="shared" si="40"/>
        <v>0</v>
      </c>
      <c r="H668" s="4"/>
      <c r="I668" s="85">
        <f t="shared" si="41"/>
        <v>0</v>
      </c>
      <c r="J668" s="4"/>
      <c r="K668" s="100">
        <f t="shared" si="42"/>
        <v>0</v>
      </c>
      <c r="L668" s="85">
        <f t="shared" si="43"/>
        <v>0</v>
      </c>
    </row>
    <row r="669" spans="1:12" s="60" customFormat="1" x14ac:dyDescent="0.35">
      <c r="A669" s="21"/>
      <c r="B669" s="17" t="s">
        <v>75</v>
      </c>
      <c r="C669" s="5" t="s">
        <v>16</v>
      </c>
      <c r="D669" s="5">
        <v>5.8900000000000001E-2</v>
      </c>
      <c r="E669" s="12">
        <f>D669*E664</f>
        <v>0.12369000000000001</v>
      </c>
      <c r="F669" s="9"/>
      <c r="G669" s="85">
        <f t="shared" si="40"/>
        <v>0</v>
      </c>
      <c r="H669" s="4"/>
      <c r="I669" s="85">
        <f t="shared" si="41"/>
        <v>0</v>
      </c>
      <c r="J669" s="4"/>
      <c r="K669" s="100">
        <f t="shared" si="42"/>
        <v>0</v>
      </c>
      <c r="L669" s="85">
        <f t="shared" si="43"/>
        <v>0</v>
      </c>
    </row>
    <row r="670" spans="1:12" s="60" customFormat="1" x14ac:dyDescent="0.35">
      <c r="A670" s="21"/>
      <c r="B670" s="17" t="s">
        <v>79</v>
      </c>
      <c r="C670" s="5" t="s">
        <v>7</v>
      </c>
      <c r="D670" s="5">
        <v>2.5</v>
      </c>
      <c r="E670" s="4">
        <f>D670*E664</f>
        <v>5.25</v>
      </c>
      <c r="F670" s="9"/>
      <c r="G670" s="85">
        <f t="shared" si="40"/>
        <v>0</v>
      </c>
      <c r="H670" s="4"/>
      <c r="I670" s="85">
        <f t="shared" si="41"/>
        <v>0</v>
      </c>
      <c r="J670" s="4"/>
      <c r="K670" s="100">
        <f t="shared" si="42"/>
        <v>0</v>
      </c>
      <c r="L670" s="85">
        <f t="shared" si="43"/>
        <v>0</v>
      </c>
    </row>
    <row r="671" spans="1:12" s="60" customFormat="1" x14ac:dyDescent="0.35">
      <c r="A671" s="21"/>
      <c r="B671" s="10" t="s">
        <v>14</v>
      </c>
      <c r="C671" s="5" t="s">
        <v>6</v>
      </c>
      <c r="D671" s="5">
        <v>0.93</v>
      </c>
      <c r="E671" s="4">
        <f>D671*E664</f>
        <v>1.9530000000000003</v>
      </c>
      <c r="F671" s="9"/>
      <c r="G671" s="85">
        <f t="shared" si="40"/>
        <v>0</v>
      </c>
      <c r="H671" s="4"/>
      <c r="I671" s="85">
        <f t="shared" si="41"/>
        <v>0</v>
      </c>
      <c r="J671" s="4"/>
      <c r="K671" s="100">
        <f t="shared" si="42"/>
        <v>0</v>
      </c>
      <c r="L671" s="85">
        <f t="shared" si="43"/>
        <v>0</v>
      </c>
    </row>
    <row r="672" spans="1:12" s="60" customFormat="1" x14ac:dyDescent="0.35">
      <c r="A672" s="21">
        <v>90</v>
      </c>
      <c r="B672" s="74" t="s">
        <v>70</v>
      </c>
      <c r="C672" s="39" t="s">
        <v>5</v>
      </c>
      <c r="D672" s="39"/>
      <c r="E672" s="75">
        <f>E675+E676</f>
        <v>0.189</v>
      </c>
      <c r="F672" s="9"/>
      <c r="G672" s="85">
        <f t="shared" si="40"/>
        <v>0</v>
      </c>
      <c r="H672" s="3"/>
      <c r="I672" s="85">
        <f t="shared" si="41"/>
        <v>0</v>
      </c>
      <c r="J672" s="3"/>
      <c r="K672" s="100">
        <f t="shared" si="42"/>
        <v>0</v>
      </c>
      <c r="L672" s="85">
        <f t="shared" si="43"/>
        <v>0</v>
      </c>
    </row>
    <row r="673" spans="1:12" s="60" customFormat="1" x14ac:dyDescent="0.35">
      <c r="A673" s="21"/>
      <c r="B673" s="6" t="s">
        <v>39</v>
      </c>
      <c r="C673" s="8" t="s">
        <v>5</v>
      </c>
      <c r="D673" s="18">
        <v>1</v>
      </c>
      <c r="E673" s="49">
        <f>E672*D673</f>
        <v>0.189</v>
      </c>
      <c r="F673" s="9"/>
      <c r="G673" s="85">
        <f t="shared" si="40"/>
        <v>0</v>
      </c>
      <c r="H673" s="4"/>
      <c r="I673" s="85">
        <f t="shared" si="41"/>
        <v>0</v>
      </c>
      <c r="J673" s="4"/>
      <c r="K673" s="100">
        <f t="shared" si="42"/>
        <v>0</v>
      </c>
      <c r="L673" s="85">
        <f t="shared" si="43"/>
        <v>0</v>
      </c>
    </row>
    <row r="674" spans="1:12" s="60" customFormat="1" x14ac:dyDescent="0.35">
      <c r="A674" s="21"/>
      <c r="B674" s="10" t="s">
        <v>71</v>
      </c>
      <c r="C674" s="5" t="s">
        <v>6</v>
      </c>
      <c r="D674" s="5">
        <v>6.8</v>
      </c>
      <c r="E674" s="4">
        <f>D674*E672</f>
        <v>1.2851999999999999</v>
      </c>
      <c r="F674" s="9"/>
      <c r="G674" s="85">
        <f t="shared" si="40"/>
        <v>0</v>
      </c>
      <c r="H674" s="4"/>
      <c r="I674" s="85">
        <f t="shared" si="41"/>
        <v>0</v>
      </c>
      <c r="J674" s="4"/>
      <c r="K674" s="100">
        <f t="shared" si="42"/>
        <v>0</v>
      </c>
      <c r="L674" s="85">
        <f t="shared" si="43"/>
        <v>0</v>
      </c>
    </row>
    <row r="675" spans="1:12" s="60" customFormat="1" x14ac:dyDescent="0.35">
      <c r="A675" s="21"/>
      <c r="B675" s="129" t="s">
        <v>252</v>
      </c>
      <c r="C675" s="130" t="s">
        <v>5</v>
      </c>
      <c r="D675" s="131" t="s">
        <v>29</v>
      </c>
      <c r="E675" s="12">
        <f>0.16*1.05</f>
        <v>0.16800000000000001</v>
      </c>
      <c r="F675" s="4"/>
      <c r="G675" s="85">
        <f t="shared" si="40"/>
        <v>0</v>
      </c>
      <c r="H675" s="4"/>
      <c r="I675" s="85">
        <f t="shared" si="41"/>
        <v>0</v>
      </c>
      <c r="J675" s="4"/>
      <c r="K675" s="100">
        <f t="shared" si="42"/>
        <v>0</v>
      </c>
      <c r="L675" s="85">
        <f t="shared" si="43"/>
        <v>0</v>
      </c>
    </row>
    <row r="676" spans="1:12" s="60" customFormat="1" x14ac:dyDescent="0.35">
      <c r="A676" s="21"/>
      <c r="B676" s="132" t="s">
        <v>253</v>
      </c>
      <c r="C676" s="130" t="s">
        <v>5</v>
      </c>
      <c r="D676" s="131" t="s">
        <v>29</v>
      </c>
      <c r="E676" s="12">
        <f>0.02*1.05</f>
        <v>2.1000000000000001E-2</v>
      </c>
      <c r="F676" s="4"/>
      <c r="G676" s="85">
        <f t="shared" si="40"/>
        <v>0</v>
      </c>
      <c r="H676" s="4"/>
      <c r="I676" s="85">
        <f t="shared" si="41"/>
        <v>0</v>
      </c>
      <c r="J676" s="4"/>
      <c r="K676" s="100">
        <f t="shared" si="42"/>
        <v>0</v>
      </c>
      <c r="L676" s="85">
        <f t="shared" si="43"/>
        <v>0</v>
      </c>
    </row>
    <row r="677" spans="1:12" s="60" customFormat="1" x14ac:dyDescent="0.35">
      <c r="A677" s="21"/>
      <c r="B677" s="10" t="s">
        <v>14</v>
      </c>
      <c r="C677" s="5" t="s">
        <v>6</v>
      </c>
      <c r="D677" s="5">
        <v>12.2</v>
      </c>
      <c r="E677" s="4">
        <f>D677*E672</f>
        <v>2.3058000000000001</v>
      </c>
      <c r="F677" s="9"/>
      <c r="G677" s="85">
        <f t="shared" si="40"/>
        <v>0</v>
      </c>
      <c r="H677" s="4"/>
      <c r="I677" s="85">
        <f t="shared" si="41"/>
        <v>0</v>
      </c>
      <c r="J677" s="4"/>
      <c r="K677" s="100">
        <f t="shared" si="42"/>
        <v>0</v>
      </c>
      <c r="L677" s="85">
        <f t="shared" si="43"/>
        <v>0</v>
      </c>
    </row>
    <row r="678" spans="1:12" s="60" customFormat="1" x14ac:dyDescent="0.35">
      <c r="A678" s="21"/>
      <c r="B678" s="63" t="s">
        <v>100</v>
      </c>
      <c r="C678" s="5"/>
      <c r="D678" s="5"/>
      <c r="E678" s="4"/>
      <c r="F678" s="9"/>
      <c r="G678" s="85">
        <f t="shared" si="40"/>
        <v>0</v>
      </c>
      <c r="H678" s="4"/>
      <c r="I678" s="85">
        <f t="shared" si="41"/>
        <v>0</v>
      </c>
      <c r="J678" s="4"/>
      <c r="K678" s="100">
        <f t="shared" si="42"/>
        <v>0</v>
      </c>
      <c r="L678" s="85">
        <f t="shared" si="43"/>
        <v>0</v>
      </c>
    </row>
    <row r="679" spans="1:12" s="60" customFormat="1" ht="27" x14ac:dyDescent="0.35">
      <c r="A679" s="68">
        <v>91</v>
      </c>
      <c r="B679" s="36" t="s">
        <v>254</v>
      </c>
      <c r="C679" s="37" t="s">
        <v>56</v>
      </c>
      <c r="D679" s="37"/>
      <c r="E679" s="38">
        <v>0.4</v>
      </c>
      <c r="F679" s="9"/>
      <c r="G679" s="85">
        <f t="shared" si="40"/>
        <v>0</v>
      </c>
      <c r="H679" s="4"/>
      <c r="I679" s="85">
        <f t="shared" si="41"/>
        <v>0</v>
      </c>
      <c r="J679" s="4"/>
      <c r="K679" s="100">
        <f t="shared" si="42"/>
        <v>0</v>
      </c>
      <c r="L679" s="85">
        <f t="shared" si="43"/>
        <v>0</v>
      </c>
    </row>
    <row r="680" spans="1:12" s="60" customFormat="1" x14ac:dyDescent="0.35">
      <c r="A680" s="68"/>
      <c r="B680" s="45" t="s">
        <v>39</v>
      </c>
      <c r="C680" s="46" t="s">
        <v>24</v>
      </c>
      <c r="D680" s="4">
        <v>1</v>
      </c>
      <c r="E680" s="4">
        <f>E679*D680</f>
        <v>0.4</v>
      </c>
      <c r="F680" s="4"/>
      <c r="G680" s="85">
        <f t="shared" si="40"/>
        <v>0</v>
      </c>
      <c r="H680" s="4"/>
      <c r="I680" s="85">
        <f t="shared" si="41"/>
        <v>0</v>
      </c>
      <c r="J680" s="4"/>
      <c r="K680" s="100">
        <f t="shared" si="42"/>
        <v>0</v>
      </c>
      <c r="L680" s="85">
        <f t="shared" si="43"/>
        <v>0</v>
      </c>
    </row>
    <row r="681" spans="1:12" s="60" customFormat="1" x14ac:dyDescent="0.35">
      <c r="A681" s="68"/>
      <c r="B681" s="10" t="s">
        <v>25</v>
      </c>
      <c r="C681" s="5" t="s">
        <v>6</v>
      </c>
      <c r="D681" s="5">
        <v>1.43</v>
      </c>
      <c r="E681" s="4">
        <f>D681*E679</f>
        <v>0.57199999999999995</v>
      </c>
      <c r="F681" s="9"/>
      <c r="G681" s="85">
        <f t="shared" si="40"/>
        <v>0</v>
      </c>
      <c r="H681" s="4"/>
      <c r="I681" s="85">
        <f t="shared" si="41"/>
        <v>0</v>
      </c>
      <c r="J681" s="4"/>
      <c r="K681" s="100">
        <f t="shared" si="42"/>
        <v>0</v>
      </c>
      <c r="L681" s="85">
        <f t="shared" si="43"/>
        <v>0</v>
      </c>
    </row>
    <row r="682" spans="1:12" s="60" customFormat="1" x14ac:dyDescent="0.35">
      <c r="A682" s="68"/>
      <c r="B682" s="133" t="s">
        <v>96</v>
      </c>
      <c r="C682" s="130" t="s">
        <v>16</v>
      </c>
      <c r="D682" s="130">
        <v>1.0149999999999999</v>
      </c>
      <c r="E682" s="4">
        <f>D682*E679</f>
        <v>0.40599999999999997</v>
      </c>
      <c r="F682" s="9"/>
      <c r="G682" s="85">
        <f t="shared" si="40"/>
        <v>0</v>
      </c>
      <c r="H682" s="4"/>
      <c r="I682" s="85">
        <f t="shared" si="41"/>
        <v>0</v>
      </c>
      <c r="J682" s="4"/>
      <c r="K682" s="100">
        <f t="shared" si="42"/>
        <v>0</v>
      </c>
      <c r="L682" s="85">
        <f t="shared" si="43"/>
        <v>0</v>
      </c>
    </row>
    <row r="683" spans="1:12" s="60" customFormat="1" x14ac:dyDescent="0.35">
      <c r="A683" s="68"/>
      <c r="B683" s="133" t="s">
        <v>74</v>
      </c>
      <c r="C683" s="130" t="s">
        <v>17</v>
      </c>
      <c r="D683" s="130">
        <v>2.64</v>
      </c>
      <c r="E683" s="4">
        <f>D683*E679</f>
        <v>1.056</v>
      </c>
      <c r="F683" s="9"/>
      <c r="G683" s="85">
        <f t="shared" si="40"/>
        <v>0</v>
      </c>
      <c r="H683" s="4"/>
      <c r="I683" s="85">
        <f t="shared" si="41"/>
        <v>0</v>
      </c>
      <c r="J683" s="4"/>
      <c r="K683" s="100">
        <f t="shared" si="42"/>
        <v>0</v>
      </c>
      <c r="L683" s="85">
        <f t="shared" si="43"/>
        <v>0</v>
      </c>
    </row>
    <row r="684" spans="1:12" s="60" customFormat="1" x14ac:dyDescent="0.35">
      <c r="A684" s="68"/>
      <c r="B684" s="17" t="s">
        <v>81</v>
      </c>
      <c r="C684" s="5" t="s">
        <v>16</v>
      </c>
      <c r="D684" s="5">
        <v>5.9799999999999999E-2</v>
      </c>
      <c r="E684" s="12">
        <f>D684*E679</f>
        <v>2.392E-2</v>
      </c>
      <c r="F684" s="9"/>
      <c r="G684" s="85">
        <f t="shared" si="40"/>
        <v>0</v>
      </c>
      <c r="H684" s="4"/>
      <c r="I684" s="85">
        <f t="shared" si="41"/>
        <v>0</v>
      </c>
      <c r="J684" s="4"/>
      <c r="K684" s="100">
        <f t="shared" si="42"/>
        <v>0</v>
      </c>
      <c r="L684" s="85">
        <f t="shared" si="43"/>
        <v>0</v>
      </c>
    </row>
    <row r="685" spans="1:12" s="60" customFormat="1" x14ac:dyDescent="0.35">
      <c r="A685" s="68"/>
      <c r="B685" s="17" t="s">
        <v>93</v>
      </c>
      <c r="C685" s="5" t="s">
        <v>7</v>
      </c>
      <c r="D685" s="5">
        <v>3.2</v>
      </c>
      <c r="E685" s="12">
        <f>D685*E679</f>
        <v>1.2800000000000002</v>
      </c>
      <c r="F685" s="9"/>
      <c r="G685" s="85">
        <f t="shared" si="40"/>
        <v>0</v>
      </c>
      <c r="H685" s="4"/>
      <c r="I685" s="85">
        <f t="shared" si="41"/>
        <v>0</v>
      </c>
      <c r="J685" s="4"/>
      <c r="K685" s="100">
        <f t="shared" si="42"/>
        <v>0</v>
      </c>
      <c r="L685" s="85">
        <f t="shared" si="43"/>
        <v>0</v>
      </c>
    </row>
    <row r="686" spans="1:12" s="60" customFormat="1" x14ac:dyDescent="0.35">
      <c r="A686" s="68"/>
      <c r="B686" s="17" t="s">
        <v>79</v>
      </c>
      <c r="C686" s="5" t="s">
        <v>7</v>
      </c>
      <c r="D686" s="5">
        <v>4.0999999999999996</v>
      </c>
      <c r="E686" s="12">
        <f>D686*E679</f>
        <v>1.64</v>
      </c>
      <c r="F686" s="9"/>
      <c r="G686" s="85">
        <f t="shared" si="40"/>
        <v>0</v>
      </c>
      <c r="H686" s="4"/>
      <c r="I686" s="85">
        <f t="shared" si="41"/>
        <v>0</v>
      </c>
      <c r="J686" s="4"/>
      <c r="K686" s="100">
        <f t="shared" si="42"/>
        <v>0</v>
      </c>
      <c r="L686" s="85">
        <f t="shared" si="43"/>
        <v>0</v>
      </c>
    </row>
    <row r="687" spans="1:12" s="60" customFormat="1" x14ac:dyDescent="0.35">
      <c r="A687" s="68"/>
      <c r="B687" s="10" t="s">
        <v>30</v>
      </c>
      <c r="C687" s="5" t="s">
        <v>6</v>
      </c>
      <c r="D687" s="5">
        <v>0.49</v>
      </c>
      <c r="E687" s="4">
        <f>E679*D687</f>
        <v>0.19600000000000001</v>
      </c>
      <c r="F687" s="9"/>
      <c r="G687" s="85">
        <f t="shared" si="40"/>
        <v>0</v>
      </c>
      <c r="H687" s="4"/>
      <c r="I687" s="85">
        <f t="shared" si="41"/>
        <v>0</v>
      </c>
      <c r="J687" s="4"/>
      <c r="K687" s="100">
        <f t="shared" si="42"/>
        <v>0</v>
      </c>
      <c r="L687" s="85">
        <f t="shared" si="43"/>
        <v>0</v>
      </c>
    </row>
    <row r="688" spans="1:12" s="60" customFormat="1" x14ac:dyDescent="0.35">
      <c r="A688" s="21">
        <v>92</v>
      </c>
      <c r="B688" s="74" t="s">
        <v>70</v>
      </c>
      <c r="C688" s="39" t="s">
        <v>5</v>
      </c>
      <c r="D688" s="39"/>
      <c r="E688" s="75">
        <f>E691+E692</f>
        <v>3.7800000000000007E-2</v>
      </c>
      <c r="F688" s="9"/>
      <c r="G688" s="85">
        <f t="shared" si="40"/>
        <v>0</v>
      </c>
      <c r="H688" s="3"/>
      <c r="I688" s="85">
        <f t="shared" si="41"/>
        <v>0</v>
      </c>
      <c r="J688" s="3"/>
      <c r="K688" s="100">
        <f t="shared" si="42"/>
        <v>0</v>
      </c>
      <c r="L688" s="85">
        <f t="shared" si="43"/>
        <v>0</v>
      </c>
    </row>
    <row r="689" spans="1:12" s="60" customFormat="1" x14ac:dyDescent="0.35">
      <c r="A689" s="21"/>
      <c r="B689" s="45" t="s">
        <v>39</v>
      </c>
      <c r="C689" s="46" t="s">
        <v>5</v>
      </c>
      <c r="D689" s="4">
        <v>1</v>
      </c>
      <c r="E689" s="4">
        <f>E688*D689</f>
        <v>3.7800000000000007E-2</v>
      </c>
      <c r="F689" s="4"/>
      <c r="G689" s="85">
        <f t="shared" si="40"/>
        <v>0</v>
      </c>
      <c r="H689" s="4"/>
      <c r="I689" s="85">
        <f t="shared" si="41"/>
        <v>0</v>
      </c>
      <c r="J689" s="4"/>
      <c r="K689" s="100">
        <f t="shared" si="42"/>
        <v>0</v>
      </c>
      <c r="L689" s="85">
        <f t="shared" si="43"/>
        <v>0</v>
      </c>
    </row>
    <row r="690" spans="1:12" s="60" customFormat="1" x14ac:dyDescent="0.35">
      <c r="A690" s="21"/>
      <c r="B690" s="10" t="s">
        <v>71</v>
      </c>
      <c r="C690" s="5" t="s">
        <v>6</v>
      </c>
      <c r="D690" s="4">
        <v>6.8</v>
      </c>
      <c r="E690" s="4">
        <f>D690*E688</f>
        <v>0.25704000000000005</v>
      </c>
      <c r="F690" s="9"/>
      <c r="G690" s="85">
        <f t="shared" si="40"/>
        <v>0</v>
      </c>
      <c r="H690" s="4"/>
      <c r="I690" s="85">
        <f t="shared" si="41"/>
        <v>0</v>
      </c>
      <c r="J690" s="4"/>
      <c r="K690" s="100">
        <f t="shared" si="42"/>
        <v>0</v>
      </c>
      <c r="L690" s="85">
        <f t="shared" si="43"/>
        <v>0</v>
      </c>
    </row>
    <row r="691" spans="1:12" s="60" customFormat="1" x14ac:dyDescent="0.35">
      <c r="A691" s="21"/>
      <c r="B691" s="129" t="s">
        <v>255</v>
      </c>
      <c r="C691" s="130" t="s">
        <v>5</v>
      </c>
      <c r="D691" s="131" t="s">
        <v>29</v>
      </c>
      <c r="E691" s="12">
        <f>0.032*1.05</f>
        <v>3.3600000000000005E-2</v>
      </c>
      <c r="F691" s="4"/>
      <c r="G691" s="85">
        <f t="shared" si="40"/>
        <v>0</v>
      </c>
      <c r="H691" s="4"/>
      <c r="I691" s="85">
        <f t="shared" si="41"/>
        <v>0</v>
      </c>
      <c r="J691" s="4"/>
      <c r="K691" s="100">
        <f t="shared" si="42"/>
        <v>0</v>
      </c>
      <c r="L691" s="85">
        <f t="shared" si="43"/>
        <v>0</v>
      </c>
    </row>
    <row r="692" spans="1:12" s="60" customFormat="1" x14ac:dyDescent="0.35">
      <c r="A692" s="21"/>
      <c r="B692" s="132" t="s">
        <v>256</v>
      </c>
      <c r="C692" s="130" t="s">
        <v>5</v>
      </c>
      <c r="D692" s="131" t="s">
        <v>29</v>
      </c>
      <c r="E692" s="12">
        <f>0.004*1.05</f>
        <v>4.2000000000000006E-3</v>
      </c>
      <c r="F692" s="4"/>
      <c r="G692" s="85">
        <f t="shared" si="40"/>
        <v>0</v>
      </c>
      <c r="H692" s="4"/>
      <c r="I692" s="85">
        <f t="shared" si="41"/>
        <v>0</v>
      </c>
      <c r="J692" s="4"/>
      <c r="K692" s="100">
        <f t="shared" si="42"/>
        <v>0</v>
      </c>
      <c r="L692" s="85">
        <f t="shared" si="43"/>
        <v>0</v>
      </c>
    </row>
    <row r="693" spans="1:12" s="60" customFormat="1" x14ac:dyDescent="0.35">
      <c r="A693" s="21"/>
      <c r="B693" s="10" t="s">
        <v>14</v>
      </c>
      <c r="C693" s="5" t="s">
        <v>6</v>
      </c>
      <c r="D693" s="5">
        <v>12.2</v>
      </c>
      <c r="E693" s="4">
        <f>D693*E688</f>
        <v>0.46116000000000007</v>
      </c>
      <c r="F693" s="9"/>
      <c r="G693" s="85">
        <f t="shared" si="40"/>
        <v>0</v>
      </c>
      <c r="H693" s="4"/>
      <c r="I693" s="85">
        <f t="shared" si="41"/>
        <v>0</v>
      </c>
      <c r="J693" s="4"/>
      <c r="K693" s="100">
        <f t="shared" si="42"/>
        <v>0</v>
      </c>
      <c r="L693" s="85">
        <f t="shared" si="43"/>
        <v>0</v>
      </c>
    </row>
    <row r="694" spans="1:12" s="60" customFormat="1" ht="27" x14ac:dyDescent="0.35">
      <c r="A694" s="68">
        <v>93</v>
      </c>
      <c r="B694" s="36" t="s">
        <v>249</v>
      </c>
      <c r="C694" s="40" t="s">
        <v>15</v>
      </c>
      <c r="D694" s="40"/>
      <c r="E694" s="38">
        <v>2.2000000000000002</v>
      </c>
      <c r="F694" s="9"/>
      <c r="G694" s="85">
        <f t="shared" si="40"/>
        <v>0</v>
      </c>
      <c r="H694" s="4"/>
      <c r="I694" s="85">
        <f t="shared" si="41"/>
        <v>0</v>
      </c>
      <c r="J694" s="4"/>
      <c r="K694" s="100">
        <f t="shared" si="42"/>
        <v>0</v>
      </c>
      <c r="L694" s="85">
        <f t="shared" si="43"/>
        <v>0</v>
      </c>
    </row>
    <row r="695" spans="1:12" s="60" customFormat="1" x14ac:dyDescent="0.35">
      <c r="A695" s="68"/>
      <c r="B695" s="45" t="s">
        <v>39</v>
      </c>
      <c r="C695" s="46" t="s">
        <v>24</v>
      </c>
      <c r="D695" s="4">
        <v>1</v>
      </c>
      <c r="E695" s="4">
        <f>E694*D695</f>
        <v>2.2000000000000002</v>
      </c>
      <c r="F695" s="4"/>
      <c r="G695" s="85">
        <f t="shared" si="40"/>
        <v>0</v>
      </c>
      <c r="H695" s="4"/>
      <c r="I695" s="85">
        <f t="shared" si="41"/>
        <v>0</v>
      </c>
      <c r="J695" s="4"/>
      <c r="K695" s="100">
        <f t="shared" si="42"/>
        <v>0</v>
      </c>
      <c r="L695" s="85">
        <f t="shared" si="43"/>
        <v>0</v>
      </c>
    </row>
    <row r="696" spans="1:12" s="60" customFormat="1" x14ac:dyDescent="0.35">
      <c r="A696" s="68"/>
      <c r="B696" s="10" t="s">
        <v>25</v>
      </c>
      <c r="C696" s="5" t="s">
        <v>6</v>
      </c>
      <c r="D696" s="5">
        <v>0.37</v>
      </c>
      <c r="E696" s="4">
        <f>E694*D696</f>
        <v>0.81400000000000006</v>
      </c>
      <c r="F696" s="9"/>
      <c r="G696" s="85">
        <f t="shared" si="40"/>
        <v>0</v>
      </c>
      <c r="H696" s="4"/>
      <c r="I696" s="85">
        <f t="shared" si="41"/>
        <v>0</v>
      </c>
      <c r="J696" s="4"/>
      <c r="K696" s="100">
        <f t="shared" si="42"/>
        <v>0</v>
      </c>
      <c r="L696" s="85">
        <f t="shared" si="43"/>
        <v>0</v>
      </c>
    </row>
    <row r="697" spans="1:12" s="60" customFormat="1" x14ac:dyDescent="0.35">
      <c r="A697" s="68"/>
      <c r="B697" s="10" t="s">
        <v>248</v>
      </c>
      <c r="C697" s="5" t="s">
        <v>16</v>
      </c>
      <c r="D697" s="5">
        <v>1.22</v>
      </c>
      <c r="E697" s="4">
        <f>E694*D697</f>
        <v>2.6840000000000002</v>
      </c>
      <c r="F697" s="125"/>
      <c r="G697" s="85">
        <f t="shared" si="40"/>
        <v>0</v>
      </c>
      <c r="H697" s="4"/>
      <c r="I697" s="85">
        <f t="shared" si="41"/>
        <v>0</v>
      </c>
      <c r="J697" s="4"/>
      <c r="K697" s="100">
        <f t="shared" si="42"/>
        <v>0</v>
      </c>
      <c r="L697" s="85">
        <f t="shared" si="43"/>
        <v>0</v>
      </c>
    </row>
    <row r="698" spans="1:12" s="60" customFormat="1" x14ac:dyDescent="0.35">
      <c r="A698" s="68"/>
      <c r="B698" s="10" t="s">
        <v>91</v>
      </c>
      <c r="C698" s="5" t="s">
        <v>5</v>
      </c>
      <c r="D698" s="4">
        <v>1.6</v>
      </c>
      <c r="E698" s="4">
        <f>D698*E697</f>
        <v>4.2944000000000004</v>
      </c>
      <c r="F698" s="9"/>
      <c r="G698" s="85">
        <f t="shared" si="40"/>
        <v>0</v>
      </c>
      <c r="H698" s="4"/>
      <c r="I698" s="85">
        <f t="shared" si="41"/>
        <v>0</v>
      </c>
      <c r="J698" s="4"/>
      <c r="K698" s="100">
        <f t="shared" si="42"/>
        <v>0</v>
      </c>
      <c r="L698" s="85">
        <f t="shared" si="43"/>
        <v>0</v>
      </c>
    </row>
    <row r="699" spans="1:12" s="60" customFormat="1" x14ac:dyDescent="0.35">
      <c r="A699" s="68"/>
      <c r="B699" s="10" t="s">
        <v>14</v>
      </c>
      <c r="C699" s="5" t="s">
        <v>6</v>
      </c>
      <c r="D699" s="5">
        <v>0.02</v>
      </c>
      <c r="E699" s="4">
        <f>E694*D699</f>
        <v>4.4000000000000004E-2</v>
      </c>
      <c r="F699" s="9"/>
      <c r="G699" s="85">
        <f t="shared" si="40"/>
        <v>0</v>
      </c>
      <c r="H699" s="4"/>
      <c r="I699" s="85">
        <f t="shared" si="41"/>
        <v>0</v>
      </c>
      <c r="J699" s="4"/>
      <c r="K699" s="100">
        <f t="shared" si="42"/>
        <v>0</v>
      </c>
      <c r="L699" s="85">
        <f t="shared" si="43"/>
        <v>0</v>
      </c>
    </row>
    <row r="700" spans="1:12" s="60" customFormat="1" ht="27" x14ac:dyDescent="0.35">
      <c r="A700" s="68">
        <v>94</v>
      </c>
      <c r="B700" s="36" t="s">
        <v>258</v>
      </c>
      <c r="C700" s="37" t="s">
        <v>56</v>
      </c>
      <c r="D700" s="37"/>
      <c r="E700" s="38">
        <v>1.3</v>
      </c>
      <c r="F700" s="9"/>
      <c r="G700" s="85">
        <f t="shared" si="40"/>
        <v>0</v>
      </c>
      <c r="H700" s="4"/>
      <c r="I700" s="85">
        <f t="shared" si="41"/>
        <v>0</v>
      </c>
      <c r="J700" s="4"/>
      <c r="K700" s="100">
        <f t="shared" si="42"/>
        <v>0</v>
      </c>
      <c r="L700" s="85">
        <f t="shared" si="43"/>
        <v>0</v>
      </c>
    </row>
    <row r="701" spans="1:12" s="60" customFormat="1" x14ac:dyDescent="0.35">
      <c r="A701" s="68"/>
      <c r="B701" s="45" t="s">
        <v>39</v>
      </c>
      <c r="C701" s="46" t="s">
        <v>24</v>
      </c>
      <c r="D701" s="4">
        <v>1</v>
      </c>
      <c r="E701" s="4">
        <f>E700*D701</f>
        <v>1.3</v>
      </c>
      <c r="F701" s="4"/>
      <c r="G701" s="85">
        <f t="shared" si="40"/>
        <v>0</v>
      </c>
      <c r="H701" s="4"/>
      <c r="I701" s="85">
        <f t="shared" si="41"/>
        <v>0</v>
      </c>
      <c r="J701" s="4"/>
      <c r="K701" s="100">
        <f t="shared" si="42"/>
        <v>0</v>
      </c>
      <c r="L701" s="85">
        <f t="shared" si="43"/>
        <v>0</v>
      </c>
    </row>
    <row r="702" spans="1:12" s="60" customFormat="1" x14ac:dyDescent="0.35">
      <c r="A702" s="68"/>
      <c r="B702" s="10" t="s">
        <v>25</v>
      </c>
      <c r="C702" s="5" t="s">
        <v>6</v>
      </c>
      <c r="D702" s="5">
        <v>1.08</v>
      </c>
      <c r="E702" s="4">
        <f>D702*E700</f>
        <v>1.4040000000000001</v>
      </c>
      <c r="F702" s="9"/>
      <c r="G702" s="85">
        <f t="shared" si="40"/>
        <v>0</v>
      </c>
      <c r="H702" s="4"/>
      <c r="I702" s="85">
        <f t="shared" si="41"/>
        <v>0</v>
      </c>
      <c r="J702" s="4"/>
      <c r="K702" s="100">
        <f t="shared" si="42"/>
        <v>0</v>
      </c>
      <c r="L702" s="85">
        <f t="shared" si="43"/>
        <v>0</v>
      </c>
    </row>
    <row r="703" spans="1:12" s="60" customFormat="1" x14ac:dyDescent="0.35">
      <c r="A703" s="68"/>
      <c r="B703" s="133" t="s">
        <v>96</v>
      </c>
      <c r="C703" s="130" t="s">
        <v>16</v>
      </c>
      <c r="D703" s="130">
        <v>1.0149999999999999</v>
      </c>
      <c r="E703" s="4">
        <f>D703*E700</f>
        <v>1.3194999999999999</v>
      </c>
      <c r="F703" s="9"/>
      <c r="G703" s="85">
        <f t="shared" si="40"/>
        <v>0</v>
      </c>
      <c r="H703" s="4"/>
      <c r="I703" s="85">
        <f t="shared" si="41"/>
        <v>0</v>
      </c>
      <c r="J703" s="4"/>
      <c r="K703" s="100">
        <f t="shared" si="42"/>
        <v>0</v>
      </c>
      <c r="L703" s="85">
        <f t="shared" si="43"/>
        <v>0</v>
      </c>
    </row>
    <row r="704" spans="1:12" s="60" customFormat="1" x14ac:dyDescent="0.35">
      <c r="A704" s="68"/>
      <c r="B704" s="10" t="s">
        <v>74</v>
      </c>
      <c r="C704" s="5" t="s">
        <v>17</v>
      </c>
      <c r="D704" s="5">
        <v>0.14000000000000001</v>
      </c>
      <c r="E704" s="4">
        <f>D704*E700</f>
        <v>0.18200000000000002</v>
      </c>
      <c r="F704" s="9"/>
      <c r="G704" s="85">
        <f t="shared" si="40"/>
        <v>0</v>
      </c>
      <c r="H704" s="4"/>
      <c r="I704" s="85">
        <f t="shared" si="41"/>
        <v>0</v>
      </c>
      <c r="J704" s="4"/>
      <c r="K704" s="100">
        <f t="shared" si="42"/>
        <v>0</v>
      </c>
      <c r="L704" s="85">
        <f t="shared" si="43"/>
        <v>0</v>
      </c>
    </row>
    <row r="705" spans="1:12" s="60" customFormat="1" x14ac:dyDescent="0.35">
      <c r="A705" s="68"/>
      <c r="B705" s="17" t="s">
        <v>75</v>
      </c>
      <c r="C705" s="5" t="s">
        <v>16</v>
      </c>
      <c r="D705" s="5">
        <v>1.6999999999999999E-3</v>
      </c>
      <c r="E705" s="12">
        <f>D705*E700</f>
        <v>2.2100000000000002E-3</v>
      </c>
      <c r="F705" s="9"/>
      <c r="G705" s="85">
        <f t="shared" si="40"/>
        <v>0</v>
      </c>
      <c r="H705" s="4"/>
      <c r="I705" s="85">
        <f t="shared" si="41"/>
        <v>0</v>
      </c>
      <c r="J705" s="4"/>
      <c r="K705" s="100">
        <f t="shared" si="42"/>
        <v>0</v>
      </c>
      <c r="L705" s="85">
        <f t="shared" si="43"/>
        <v>0</v>
      </c>
    </row>
    <row r="706" spans="1:12" s="60" customFormat="1" x14ac:dyDescent="0.35">
      <c r="A706" s="68"/>
      <c r="B706" s="17" t="s">
        <v>76</v>
      </c>
      <c r="C706" s="5" t="s">
        <v>21</v>
      </c>
      <c r="D706" s="5"/>
      <c r="E706" s="4">
        <v>808</v>
      </c>
      <c r="F706" s="9"/>
      <c r="G706" s="85">
        <f t="shared" si="40"/>
        <v>0</v>
      </c>
      <c r="H706" s="4"/>
      <c r="I706" s="85">
        <f t="shared" si="41"/>
        <v>0</v>
      </c>
      <c r="J706" s="4"/>
      <c r="K706" s="100">
        <f t="shared" si="42"/>
        <v>0</v>
      </c>
      <c r="L706" s="85">
        <f t="shared" si="43"/>
        <v>0</v>
      </c>
    </row>
    <row r="707" spans="1:12" s="60" customFormat="1" x14ac:dyDescent="0.35">
      <c r="A707" s="68"/>
      <c r="B707" s="10" t="s">
        <v>14</v>
      </c>
      <c r="C707" s="5" t="s">
        <v>6</v>
      </c>
      <c r="D707" s="5">
        <v>0.22</v>
      </c>
      <c r="E707" s="4">
        <f>D707*E700</f>
        <v>0.28600000000000003</v>
      </c>
      <c r="F707" s="9"/>
      <c r="G707" s="85">
        <f t="shared" si="40"/>
        <v>0</v>
      </c>
      <c r="H707" s="4"/>
      <c r="I707" s="85">
        <f t="shared" si="41"/>
        <v>0</v>
      </c>
      <c r="J707" s="4"/>
      <c r="K707" s="100">
        <f t="shared" si="42"/>
        <v>0</v>
      </c>
      <c r="L707" s="85">
        <f t="shared" si="43"/>
        <v>0</v>
      </c>
    </row>
    <row r="708" spans="1:12" s="60" customFormat="1" x14ac:dyDescent="0.35">
      <c r="A708" s="21">
        <v>95</v>
      </c>
      <c r="B708" s="74" t="s">
        <v>70</v>
      </c>
      <c r="C708" s="39" t="s">
        <v>5</v>
      </c>
      <c r="D708" s="39"/>
      <c r="E708" s="75">
        <f>E711</f>
        <v>0.1</v>
      </c>
      <c r="F708" s="9"/>
      <c r="G708" s="85">
        <f t="shared" si="40"/>
        <v>0</v>
      </c>
      <c r="H708" s="3"/>
      <c r="I708" s="85">
        <f t="shared" si="41"/>
        <v>0</v>
      </c>
      <c r="J708" s="3"/>
      <c r="K708" s="100">
        <f t="shared" si="42"/>
        <v>0</v>
      </c>
      <c r="L708" s="85">
        <f t="shared" si="43"/>
        <v>0</v>
      </c>
    </row>
    <row r="709" spans="1:12" s="60" customFormat="1" x14ac:dyDescent="0.35">
      <c r="A709" s="21"/>
      <c r="B709" s="45" t="s">
        <v>39</v>
      </c>
      <c r="C709" s="46" t="s">
        <v>5</v>
      </c>
      <c r="D709" s="4">
        <v>1</v>
      </c>
      <c r="E709" s="4">
        <f>E708*D709</f>
        <v>0.1</v>
      </c>
      <c r="F709" s="4"/>
      <c r="G709" s="85">
        <f t="shared" si="40"/>
        <v>0</v>
      </c>
      <c r="H709" s="4"/>
      <c r="I709" s="85">
        <f t="shared" si="41"/>
        <v>0</v>
      </c>
      <c r="J709" s="4"/>
      <c r="K709" s="100">
        <f t="shared" si="42"/>
        <v>0</v>
      </c>
      <c r="L709" s="85">
        <f t="shared" si="43"/>
        <v>0</v>
      </c>
    </row>
    <row r="710" spans="1:12" s="60" customFormat="1" x14ac:dyDescent="0.35">
      <c r="A710" s="21"/>
      <c r="B710" s="10" t="s">
        <v>71</v>
      </c>
      <c r="C710" s="5" t="s">
        <v>6</v>
      </c>
      <c r="D710" s="4">
        <v>6.8</v>
      </c>
      <c r="E710" s="4">
        <f>D710*E708</f>
        <v>0.68</v>
      </c>
      <c r="F710" s="9"/>
      <c r="G710" s="85">
        <f t="shared" si="40"/>
        <v>0</v>
      </c>
      <c r="H710" s="4"/>
      <c r="I710" s="85">
        <f t="shared" si="41"/>
        <v>0</v>
      </c>
      <c r="J710" s="4"/>
      <c r="K710" s="100">
        <f t="shared" si="42"/>
        <v>0</v>
      </c>
      <c r="L710" s="85">
        <f t="shared" si="43"/>
        <v>0</v>
      </c>
    </row>
    <row r="711" spans="1:12" s="60" customFormat="1" x14ac:dyDescent="0.35">
      <c r="A711" s="21"/>
      <c r="B711" s="129" t="s">
        <v>259</v>
      </c>
      <c r="C711" s="130" t="s">
        <v>5</v>
      </c>
      <c r="D711" s="131" t="s">
        <v>29</v>
      </c>
      <c r="E711" s="12">
        <v>0.1</v>
      </c>
      <c r="F711" s="4"/>
      <c r="G711" s="85">
        <f>F711*E711</f>
        <v>0</v>
      </c>
      <c r="H711" s="4"/>
      <c r="I711" s="85">
        <f t="shared" si="41"/>
        <v>0</v>
      </c>
      <c r="J711" s="4"/>
      <c r="K711" s="100">
        <f t="shared" si="42"/>
        <v>0</v>
      </c>
      <c r="L711" s="85">
        <f t="shared" si="43"/>
        <v>0</v>
      </c>
    </row>
    <row r="712" spans="1:12" s="60" customFormat="1" x14ac:dyDescent="0.35">
      <c r="A712" s="21"/>
      <c r="B712" s="76" t="s">
        <v>14</v>
      </c>
      <c r="C712" s="102" t="s">
        <v>6</v>
      </c>
      <c r="D712" s="102">
        <v>12.2</v>
      </c>
      <c r="E712" s="103">
        <f>D712*E708</f>
        <v>1.22</v>
      </c>
      <c r="F712" s="77"/>
      <c r="G712" s="85">
        <f t="shared" ref="G712:G749" si="44">F712*E712</f>
        <v>0</v>
      </c>
      <c r="H712" s="103"/>
      <c r="I712" s="85">
        <f t="shared" ref="I712:I749" si="45">H712*E712</f>
        <v>0</v>
      </c>
      <c r="J712" s="103"/>
      <c r="K712" s="100">
        <f t="shared" ref="K712:K749" si="46">J712*E712</f>
        <v>0</v>
      </c>
      <c r="L712" s="85">
        <f t="shared" ref="L712:L749" si="47">K712+I712+G712</f>
        <v>0</v>
      </c>
    </row>
    <row r="713" spans="1:12" s="60" customFormat="1" x14ac:dyDescent="0.35">
      <c r="A713" s="21"/>
      <c r="B713" s="63" t="s">
        <v>260</v>
      </c>
      <c r="C713" s="5"/>
      <c r="D713" s="5"/>
      <c r="E713" s="4"/>
      <c r="F713" s="9"/>
      <c r="G713" s="85">
        <f t="shared" si="44"/>
        <v>0</v>
      </c>
      <c r="H713" s="4"/>
      <c r="I713" s="85">
        <f t="shared" si="45"/>
        <v>0</v>
      </c>
      <c r="J713" s="4"/>
      <c r="K713" s="100">
        <f t="shared" si="46"/>
        <v>0</v>
      </c>
      <c r="L713" s="85">
        <f t="shared" si="47"/>
        <v>0</v>
      </c>
    </row>
    <row r="714" spans="1:12" s="60" customFormat="1" ht="40.5" x14ac:dyDescent="0.35">
      <c r="A714" s="68">
        <v>96</v>
      </c>
      <c r="B714" s="36" t="s">
        <v>261</v>
      </c>
      <c r="C714" s="37" t="s">
        <v>56</v>
      </c>
      <c r="D714" s="37"/>
      <c r="E714" s="38">
        <v>221</v>
      </c>
      <c r="F714" s="9"/>
      <c r="G714" s="85">
        <f t="shared" si="44"/>
        <v>0</v>
      </c>
      <c r="H714" s="4"/>
      <c r="I714" s="85">
        <f t="shared" si="45"/>
        <v>0</v>
      </c>
      <c r="J714" s="4"/>
      <c r="K714" s="100">
        <f t="shared" si="46"/>
        <v>0</v>
      </c>
      <c r="L714" s="85">
        <f t="shared" si="47"/>
        <v>0</v>
      </c>
    </row>
    <row r="715" spans="1:12" s="60" customFormat="1" x14ac:dyDescent="0.35">
      <c r="A715" s="68"/>
      <c r="B715" s="45" t="s">
        <v>49</v>
      </c>
      <c r="C715" s="46" t="s">
        <v>24</v>
      </c>
      <c r="D715" s="69">
        <v>1</v>
      </c>
      <c r="E715" s="4">
        <f>E714*D715</f>
        <v>221</v>
      </c>
      <c r="F715" s="9"/>
      <c r="G715" s="85">
        <f t="shared" si="44"/>
        <v>0</v>
      </c>
      <c r="H715" s="4"/>
      <c r="I715" s="85">
        <f t="shared" si="45"/>
        <v>0</v>
      </c>
      <c r="J715" s="4"/>
      <c r="K715" s="100">
        <f t="shared" si="46"/>
        <v>0</v>
      </c>
      <c r="L715" s="85">
        <f t="shared" si="47"/>
        <v>0</v>
      </c>
    </row>
    <row r="716" spans="1:12" s="60" customFormat="1" x14ac:dyDescent="0.35">
      <c r="A716" s="68"/>
      <c r="B716" s="70" t="s">
        <v>118</v>
      </c>
      <c r="C716" s="5" t="s">
        <v>46</v>
      </c>
      <c r="D716" s="5">
        <v>2.9499999999999998E-2</v>
      </c>
      <c r="E716" s="25">
        <f>E714*D716</f>
        <v>6.5194999999999999</v>
      </c>
      <c r="F716" s="9"/>
      <c r="G716" s="85">
        <f t="shared" si="44"/>
        <v>0</v>
      </c>
      <c r="H716" s="4"/>
      <c r="I716" s="85">
        <f t="shared" si="45"/>
        <v>0</v>
      </c>
      <c r="J716" s="4"/>
      <c r="K716" s="100">
        <f t="shared" si="46"/>
        <v>0</v>
      </c>
      <c r="L716" s="85">
        <f t="shared" si="47"/>
        <v>0</v>
      </c>
    </row>
    <row r="717" spans="1:12" s="60" customFormat="1" x14ac:dyDescent="0.35">
      <c r="A717" s="68"/>
      <c r="B717" s="70" t="s">
        <v>57</v>
      </c>
      <c r="C717" s="5" t="s">
        <v>6</v>
      </c>
      <c r="D717" s="5">
        <v>2.0999999999999999E-3</v>
      </c>
      <c r="E717" s="25">
        <f>E714*D717</f>
        <v>0.46409999999999996</v>
      </c>
      <c r="F717" s="9"/>
      <c r="G717" s="85">
        <f t="shared" si="44"/>
        <v>0</v>
      </c>
      <c r="H717" s="4"/>
      <c r="I717" s="85">
        <f t="shared" si="45"/>
        <v>0</v>
      </c>
      <c r="J717" s="4"/>
      <c r="K717" s="100">
        <f t="shared" si="46"/>
        <v>0</v>
      </c>
      <c r="L717" s="85">
        <f t="shared" si="47"/>
        <v>0</v>
      </c>
    </row>
    <row r="718" spans="1:12" s="60" customFormat="1" x14ac:dyDescent="0.35">
      <c r="A718" s="71">
        <v>97</v>
      </c>
      <c r="B718" s="6" t="s">
        <v>117</v>
      </c>
      <c r="C718" s="5" t="s">
        <v>5</v>
      </c>
      <c r="D718" s="4">
        <v>1.95</v>
      </c>
      <c r="E718" s="4">
        <f>E714*D718</f>
        <v>430.95</v>
      </c>
      <c r="F718" s="9"/>
      <c r="G718" s="85">
        <f t="shared" si="44"/>
        <v>0</v>
      </c>
      <c r="H718" s="4"/>
      <c r="I718" s="85">
        <f t="shared" si="45"/>
        <v>0</v>
      </c>
      <c r="J718" s="4"/>
      <c r="K718" s="100">
        <f t="shared" si="46"/>
        <v>0</v>
      </c>
      <c r="L718" s="85">
        <f t="shared" si="47"/>
        <v>0</v>
      </c>
    </row>
    <row r="719" spans="1:12" s="60" customFormat="1" ht="27" x14ac:dyDescent="0.35">
      <c r="A719" s="68">
        <v>98</v>
      </c>
      <c r="B719" s="42" t="s">
        <v>266</v>
      </c>
      <c r="C719" s="115" t="s">
        <v>264</v>
      </c>
      <c r="D719" s="116"/>
      <c r="E719" s="122">
        <v>137.6</v>
      </c>
      <c r="F719" s="117"/>
      <c r="G719" s="85">
        <f t="shared" si="44"/>
        <v>0</v>
      </c>
      <c r="H719" s="117"/>
      <c r="I719" s="85">
        <f t="shared" si="45"/>
        <v>0</v>
      </c>
      <c r="J719" s="117"/>
      <c r="K719" s="100">
        <f t="shared" si="46"/>
        <v>0</v>
      </c>
      <c r="L719" s="85">
        <f t="shared" si="47"/>
        <v>0</v>
      </c>
    </row>
    <row r="720" spans="1:12" s="60" customFormat="1" x14ac:dyDescent="0.35">
      <c r="A720" s="71"/>
      <c r="B720" s="96" t="s">
        <v>39</v>
      </c>
      <c r="C720" s="46" t="s">
        <v>24</v>
      </c>
      <c r="D720" s="69">
        <v>1</v>
      </c>
      <c r="E720" s="4">
        <f>E719*D720</f>
        <v>137.6</v>
      </c>
      <c r="F720" s="117"/>
      <c r="G720" s="85">
        <f t="shared" si="44"/>
        <v>0</v>
      </c>
      <c r="H720" s="117"/>
      <c r="I720" s="85">
        <f t="shared" si="45"/>
        <v>0</v>
      </c>
      <c r="J720" s="117"/>
      <c r="K720" s="100">
        <f t="shared" si="46"/>
        <v>0</v>
      </c>
      <c r="L720" s="85">
        <f t="shared" si="47"/>
        <v>0</v>
      </c>
    </row>
    <row r="721" spans="1:12" s="60" customFormat="1" x14ac:dyDescent="0.35">
      <c r="A721" s="71"/>
      <c r="B721" s="118" t="s">
        <v>262</v>
      </c>
      <c r="C721" s="119" t="s">
        <v>46</v>
      </c>
      <c r="D721" s="120">
        <v>2.1600000000000001E-2</v>
      </c>
      <c r="E721" s="121">
        <f>D721*E719</f>
        <v>2.9721600000000001</v>
      </c>
      <c r="F721" s="117"/>
      <c r="G721" s="85">
        <f t="shared" si="44"/>
        <v>0</v>
      </c>
      <c r="H721" s="117"/>
      <c r="I721" s="85">
        <f t="shared" si="45"/>
        <v>0</v>
      </c>
      <c r="J721" s="117"/>
      <c r="K721" s="100">
        <f t="shared" si="46"/>
        <v>0</v>
      </c>
      <c r="L721" s="85">
        <f t="shared" si="47"/>
        <v>0</v>
      </c>
    </row>
    <row r="722" spans="1:12" s="60" customFormat="1" x14ac:dyDescent="0.35">
      <c r="A722" s="71"/>
      <c r="B722" s="118" t="s">
        <v>265</v>
      </c>
      <c r="C722" s="119" t="s">
        <v>46</v>
      </c>
      <c r="D722" s="120">
        <v>2.7300000000000001E-2</v>
      </c>
      <c r="E722" s="121">
        <f>D722*E719</f>
        <v>3.7564799999999998</v>
      </c>
      <c r="F722" s="117"/>
      <c r="G722" s="85">
        <f t="shared" si="44"/>
        <v>0</v>
      </c>
      <c r="H722" s="117"/>
      <c r="I722" s="85">
        <f t="shared" si="45"/>
        <v>0</v>
      </c>
      <c r="J722" s="117"/>
      <c r="K722" s="100">
        <f t="shared" si="46"/>
        <v>0</v>
      </c>
      <c r="L722" s="85">
        <f t="shared" si="47"/>
        <v>0</v>
      </c>
    </row>
    <row r="723" spans="1:12" s="60" customFormat="1" x14ac:dyDescent="0.35">
      <c r="A723" s="71"/>
      <c r="B723" s="118" t="s">
        <v>263</v>
      </c>
      <c r="C723" s="119" t="s">
        <v>46</v>
      </c>
      <c r="D723" s="120">
        <v>9.7000000000000003E-2</v>
      </c>
      <c r="E723" s="121">
        <f>D723*E719</f>
        <v>13.347199999999999</v>
      </c>
      <c r="F723" s="117"/>
      <c r="G723" s="85">
        <f t="shared" si="44"/>
        <v>0</v>
      </c>
      <c r="H723" s="117"/>
      <c r="I723" s="85">
        <f t="shared" si="45"/>
        <v>0</v>
      </c>
      <c r="J723" s="117"/>
      <c r="K723" s="100">
        <f t="shared" si="46"/>
        <v>0</v>
      </c>
      <c r="L723" s="85">
        <f t="shared" si="47"/>
        <v>0</v>
      </c>
    </row>
    <row r="724" spans="1:12" s="60" customFormat="1" x14ac:dyDescent="0.35">
      <c r="A724" s="71"/>
      <c r="B724" s="10" t="s">
        <v>248</v>
      </c>
      <c r="C724" s="5" t="s">
        <v>16</v>
      </c>
      <c r="D724" s="5">
        <v>1.22</v>
      </c>
      <c r="E724" s="4">
        <f>D724*E719</f>
        <v>167.87199999999999</v>
      </c>
      <c r="F724" s="125"/>
      <c r="G724" s="85">
        <f t="shared" si="44"/>
        <v>0</v>
      </c>
      <c r="H724" s="4"/>
      <c r="I724" s="85">
        <f t="shared" si="45"/>
        <v>0</v>
      </c>
      <c r="J724" s="4"/>
      <c r="K724" s="100">
        <f t="shared" si="46"/>
        <v>0</v>
      </c>
      <c r="L724" s="85">
        <f t="shared" si="47"/>
        <v>0</v>
      </c>
    </row>
    <row r="725" spans="1:12" s="60" customFormat="1" x14ac:dyDescent="0.35">
      <c r="A725" s="71"/>
      <c r="B725" s="10" t="s">
        <v>91</v>
      </c>
      <c r="C725" s="5" t="s">
        <v>5</v>
      </c>
      <c r="D725" s="4">
        <v>1.6</v>
      </c>
      <c r="E725" s="4">
        <f>D725*E724</f>
        <v>268.59519999999998</v>
      </c>
      <c r="F725" s="9"/>
      <c r="G725" s="85">
        <f t="shared" si="44"/>
        <v>0</v>
      </c>
      <c r="H725" s="4"/>
      <c r="I725" s="85">
        <f t="shared" si="45"/>
        <v>0</v>
      </c>
      <c r="J725" s="4"/>
      <c r="K725" s="100">
        <f t="shared" si="46"/>
        <v>0</v>
      </c>
      <c r="L725" s="85">
        <f t="shared" si="47"/>
        <v>0</v>
      </c>
    </row>
    <row r="726" spans="1:12" s="60" customFormat="1" x14ac:dyDescent="0.35">
      <c r="A726" s="71"/>
      <c r="B726" s="92" t="s">
        <v>41</v>
      </c>
      <c r="C726" s="22" t="s">
        <v>24</v>
      </c>
      <c r="D726" s="18">
        <v>7.0000000000000007E-2</v>
      </c>
      <c r="E726" s="18">
        <f>D726*E719</f>
        <v>9.6319999999999997</v>
      </c>
      <c r="F726" s="18"/>
      <c r="G726" s="85">
        <f t="shared" si="44"/>
        <v>0</v>
      </c>
      <c r="H726" s="18"/>
      <c r="I726" s="85">
        <f t="shared" si="45"/>
        <v>0</v>
      </c>
      <c r="J726" s="18"/>
      <c r="K726" s="100">
        <f t="shared" si="46"/>
        <v>0</v>
      </c>
      <c r="L726" s="85">
        <f t="shared" si="47"/>
        <v>0</v>
      </c>
    </row>
    <row r="727" spans="1:12" s="60" customFormat="1" x14ac:dyDescent="0.35">
      <c r="A727" s="71">
        <v>99</v>
      </c>
      <c r="B727" s="42" t="s">
        <v>267</v>
      </c>
      <c r="C727" s="28" t="s">
        <v>24</v>
      </c>
      <c r="D727" s="28"/>
      <c r="E727" s="41">
        <v>27.5</v>
      </c>
      <c r="F727" s="97"/>
      <c r="G727" s="85">
        <f t="shared" si="44"/>
        <v>0</v>
      </c>
      <c r="H727" s="18"/>
      <c r="I727" s="85">
        <f t="shared" si="45"/>
        <v>0</v>
      </c>
      <c r="J727" s="18"/>
      <c r="K727" s="100">
        <f t="shared" si="46"/>
        <v>0</v>
      </c>
      <c r="L727" s="85">
        <f t="shared" si="47"/>
        <v>0</v>
      </c>
    </row>
    <row r="728" spans="1:12" s="60" customFormat="1" x14ac:dyDescent="0.35">
      <c r="A728" s="71"/>
      <c r="B728" s="45" t="s">
        <v>39</v>
      </c>
      <c r="C728" s="46" t="s">
        <v>24</v>
      </c>
      <c r="D728" s="4">
        <v>1</v>
      </c>
      <c r="E728" s="4">
        <f>E727*D728</f>
        <v>27.5</v>
      </c>
      <c r="F728" s="4"/>
      <c r="G728" s="85">
        <f t="shared" si="44"/>
        <v>0</v>
      </c>
      <c r="H728" s="4"/>
      <c r="I728" s="85">
        <f t="shared" si="45"/>
        <v>0</v>
      </c>
      <c r="J728" s="4"/>
      <c r="K728" s="100">
        <f t="shared" si="46"/>
        <v>0</v>
      </c>
      <c r="L728" s="85">
        <f t="shared" si="47"/>
        <v>0</v>
      </c>
    </row>
    <row r="729" spans="1:12" s="60" customFormat="1" x14ac:dyDescent="0.35">
      <c r="A729" s="71"/>
      <c r="B729" s="118" t="s">
        <v>262</v>
      </c>
      <c r="C729" s="119" t="s">
        <v>46</v>
      </c>
      <c r="D729" s="120">
        <v>2.69E-2</v>
      </c>
      <c r="E729" s="121">
        <f>D729*E727</f>
        <v>0.73975000000000002</v>
      </c>
      <c r="F729" s="117"/>
      <c r="G729" s="85">
        <f t="shared" si="44"/>
        <v>0</v>
      </c>
      <c r="H729" s="117"/>
      <c r="I729" s="85">
        <f t="shared" si="45"/>
        <v>0</v>
      </c>
      <c r="J729" s="117"/>
      <c r="K729" s="100">
        <f t="shared" si="46"/>
        <v>0</v>
      </c>
      <c r="L729" s="85">
        <f t="shared" si="47"/>
        <v>0</v>
      </c>
    </row>
    <row r="730" spans="1:12" s="60" customFormat="1" x14ac:dyDescent="0.35">
      <c r="A730" s="71"/>
      <c r="B730" s="118" t="s">
        <v>265</v>
      </c>
      <c r="C730" s="119" t="s">
        <v>46</v>
      </c>
      <c r="D730" s="120">
        <v>4.1000000000000003E-3</v>
      </c>
      <c r="E730" s="121">
        <f>D730*E727</f>
        <v>0.11275</v>
      </c>
      <c r="F730" s="117"/>
      <c r="G730" s="85">
        <f t="shared" si="44"/>
        <v>0</v>
      </c>
      <c r="H730" s="117"/>
      <c r="I730" s="85">
        <f t="shared" si="45"/>
        <v>0</v>
      </c>
      <c r="J730" s="117"/>
      <c r="K730" s="100">
        <f t="shared" si="46"/>
        <v>0</v>
      </c>
      <c r="L730" s="85">
        <f t="shared" si="47"/>
        <v>0</v>
      </c>
    </row>
    <row r="731" spans="1:12" s="60" customFormat="1" x14ac:dyDescent="0.35">
      <c r="A731" s="71"/>
      <c r="B731" s="118" t="s">
        <v>274</v>
      </c>
      <c r="C731" s="119" t="s">
        <v>46</v>
      </c>
      <c r="D731" s="120">
        <v>7.5999999999999998E-2</v>
      </c>
      <c r="E731" s="121">
        <f>D731*E727</f>
        <v>2.09</v>
      </c>
      <c r="F731" s="117"/>
      <c r="G731" s="85">
        <f t="shared" si="44"/>
        <v>0</v>
      </c>
      <c r="H731" s="117"/>
      <c r="I731" s="85">
        <f t="shared" si="45"/>
        <v>0</v>
      </c>
      <c r="J731" s="117"/>
      <c r="K731" s="100">
        <f t="shared" si="46"/>
        <v>0</v>
      </c>
      <c r="L731" s="85">
        <f t="shared" si="47"/>
        <v>0</v>
      </c>
    </row>
    <row r="732" spans="1:12" s="60" customFormat="1" x14ac:dyDescent="0.35">
      <c r="A732" s="71"/>
      <c r="B732" s="118" t="s">
        <v>263</v>
      </c>
      <c r="C732" s="119" t="s">
        <v>46</v>
      </c>
      <c r="D732" s="120">
        <v>1.4800000000000001E-2</v>
      </c>
      <c r="E732" s="121">
        <f>D732*E727</f>
        <v>0.40700000000000003</v>
      </c>
      <c r="F732" s="117"/>
      <c r="G732" s="85">
        <f t="shared" si="44"/>
        <v>0</v>
      </c>
      <c r="H732" s="117"/>
      <c r="I732" s="85">
        <f t="shared" si="45"/>
        <v>0</v>
      </c>
      <c r="J732" s="117"/>
      <c r="K732" s="100">
        <f t="shared" si="46"/>
        <v>0</v>
      </c>
      <c r="L732" s="85">
        <f t="shared" si="47"/>
        <v>0</v>
      </c>
    </row>
    <row r="733" spans="1:12" s="60" customFormat="1" x14ac:dyDescent="0.35">
      <c r="A733" s="71"/>
      <c r="B733" s="10" t="s">
        <v>73</v>
      </c>
      <c r="C733" s="5" t="s">
        <v>16</v>
      </c>
      <c r="D733" s="5">
        <v>0.622</v>
      </c>
      <c r="E733" s="4">
        <f>E727*D733</f>
        <v>17.105</v>
      </c>
      <c r="F733" s="125"/>
      <c r="G733" s="85">
        <f t="shared" si="44"/>
        <v>0</v>
      </c>
      <c r="H733" s="4"/>
      <c r="I733" s="85">
        <f t="shared" si="45"/>
        <v>0</v>
      </c>
      <c r="J733" s="4"/>
      <c r="K733" s="100">
        <f t="shared" si="46"/>
        <v>0</v>
      </c>
      <c r="L733" s="85">
        <f t="shared" si="47"/>
        <v>0</v>
      </c>
    </row>
    <row r="734" spans="1:12" s="60" customFormat="1" x14ac:dyDescent="0.35">
      <c r="A734" s="71"/>
      <c r="B734" s="10" t="s">
        <v>92</v>
      </c>
      <c r="C734" s="5" t="s">
        <v>5</v>
      </c>
      <c r="D734" s="4">
        <v>1.6</v>
      </c>
      <c r="E734" s="4">
        <f>D734*E733</f>
        <v>27.368000000000002</v>
      </c>
      <c r="F734" s="9"/>
      <c r="G734" s="85">
        <f t="shared" si="44"/>
        <v>0</v>
      </c>
      <c r="H734" s="4"/>
      <c r="I734" s="85">
        <f t="shared" si="45"/>
        <v>0</v>
      </c>
      <c r="J734" s="4"/>
      <c r="K734" s="100">
        <f t="shared" si="46"/>
        <v>0</v>
      </c>
      <c r="L734" s="85">
        <f t="shared" si="47"/>
        <v>0</v>
      </c>
    </row>
    <row r="735" spans="1:12" s="60" customFormat="1" x14ac:dyDescent="0.35">
      <c r="A735" s="71"/>
      <c r="B735" s="92" t="s">
        <v>41</v>
      </c>
      <c r="C735" s="22" t="s">
        <v>24</v>
      </c>
      <c r="D735" s="18">
        <v>0.11</v>
      </c>
      <c r="E735" s="18">
        <f>D735*E727</f>
        <v>3.0249999999999999</v>
      </c>
      <c r="F735" s="18"/>
      <c r="G735" s="85">
        <f t="shared" si="44"/>
        <v>0</v>
      </c>
      <c r="H735" s="18"/>
      <c r="I735" s="85">
        <f t="shared" si="45"/>
        <v>0</v>
      </c>
      <c r="J735" s="18"/>
      <c r="K735" s="100">
        <f t="shared" si="46"/>
        <v>0</v>
      </c>
      <c r="L735" s="85">
        <f t="shared" si="47"/>
        <v>0</v>
      </c>
    </row>
    <row r="736" spans="1:12" s="60" customFormat="1" x14ac:dyDescent="0.35">
      <c r="A736" s="71">
        <v>100</v>
      </c>
      <c r="B736" s="42" t="s">
        <v>275</v>
      </c>
      <c r="C736" s="28" t="s">
        <v>268</v>
      </c>
      <c r="D736" s="28"/>
      <c r="E736" s="41">
        <v>550.6</v>
      </c>
      <c r="F736" s="9"/>
      <c r="G736" s="85">
        <f t="shared" si="44"/>
        <v>0</v>
      </c>
      <c r="H736" s="4"/>
      <c r="I736" s="85">
        <f t="shared" si="45"/>
        <v>0</v>
      </c>
      <c r="J736" s="4"/>
      <c r="K736" s="100">
        <f t="shared" si="46"/>
        <v>0</v>
      </c>
      <c r="L736" s="85">
        <f t="shared" si="47"/>
        <v>0</v>
      </c>
    </row>
    <row r="737" spans="1:12" s="60" customFormat="1" x14ac:dyDescent="0.35">
      <c r="A737" s="71"/>
      <c r="B737" s="45" t="s">
        <v>39</v>
      </c>
      <c r="C737" s="46" t="s">
        <v>24</v>
      </c>
      <c r="D737" s="4">
        <v>1</v>
      </c>
      <c r="E737" s="4">
        <f>E736*D737</f>
        <v>550.6</v>
      </c>
      <c r="F737" s="4"/>
      <c r="G737" s="85">
        <f t="shared" si="44"/>
        <v>0</v>
      </c>
      <c r="H737" s="4"/>
      <c r="I737" s="85">
        <f t="shared" si="45"/>
        <v>0</v>
      </c>
      <c r="J737" s="4"/>
      <c r="K737" s="100">
        <f t="shared" si="46"/>
        <v>0</v>
      </c>
      <c r="L737" s="85">
        <f t="shared" si="47"/>
        <v>0</v>
      </c>
    </row>
    <row r="738" spans="1:12" s="60" customFormat="1" x14ac:dyDescent="0.35">
      <c r="A738" s="71"/>
      <c r="B738" s="118" t="s">
        <v>263</v>
      </c>
      <c r="C738" s="119" t="s">
        <v>46</v>
      </c>
      <c r="D738" s="120">
        <v>1.24E-2</v>
      </c>
      <c r="E738" s="121">
        <f>D738*E736</f>
        <v>6.8274400000000002</v>
      </c>
      <c r="F738" s="117"/>
      <c r="G738" s="85">
        <f t="shared" si="44"/>
        <v>0</v>
      </c>
      <c r="H738" s="117"/>
      <c r="I738" s="85">
        <f t="shared" si="45"/>
        <v>0</v>
      </c>
      <c r="J738" s="117"/>
      <c r="K738" s="100">
        <f t="shared" si="46"/>
        <v>0</v>
      </c>
      <c r="L738" s="85">
        <f t="shared" si="47"/>
        <v>0</v>
      </c>
    </row>
    <row r="739" spans="1:12" s="60" customFormat="1" x14ac:dyDescent="0.35">
      <c r="A739" s="71"/>
      <c r="B739" s="70" t="s">
        <v>57</v>
      </c>
      <c r="C739" s="5" t="s">
        <v>6</v>
      </c>
      <c r="D739" s="5">
        <v>8.0000000000000004E-4</v>
      </c>
      <c r="E739" s="25">
        <f>D739*E736</f>
        <v>0.44048000000000004</v>
      </c>
      <c r="F739" s="9"/>
      <c r="G739" s="85">
        <f t="shared" si="44"/>
        <v>0</v>
      </c>
      <c r="H739" s="4"/>
      <c r="I739" s="85">
        <f t="shared" si="45"/>
        <v>0</v>
      </c>
      <c r="J739" s="4"/>
      <c r="K739" s="100">
        <f t="shared" si="46"/>
        <v>0</v>
      </c>
      <c r="L739" s="85">
        <f t="shared" si="47"/>
        <v>0</v>
      </c>
    </row>
    <row r="740" spans="1:12" s="60" customFormat="1" x14ac:dyDescent="0.35">
      <c r="A740" s="71"/>
      <c r="B740" s="135" t="s">
        <v>276</v>
      </c>
      <c r="C740" s="136" t="s">
        <v>46</v>
      </c>
      <c r="D740" s="137">
        <v>0.16300000000000001</v>
      </c>
      <c r="E740" s="121">
        <f>D740*E736</f>
        <v>89.747800000000012</v>
      </c>
      <c r="F740" s="9"/>
      <c r="G740" s="85">
        <f t="shared" si="44"/>
        <v>0</v>
      </c>
      <c r="H740" s="117"/>
      <c r="I740" s="85">
        <f t="shared" si="45"/>
        <v>0</v>
      </c>
      <c r="J740" s="117"/>
      <c r="K740" s="100">
        <f t="shared" si="46"/>
        <v>0</v>
      </c>
      <c r="L740" s="85">
        <f t="shared" si="47"/>
        <v>0</v>
      </c>
    </row>
    <row r="741" spans="1:12" s="60" customFormat="1" x14ac:dyDescent="0.35">
      <c r="A741" s="71"/>
      <c r="B741" s="124" t="s">
        <v>271</v>
      </c>
      <c r="C741" s="5" t="s">
        <v>16</v>
      </c>
      <c r="D741" s="5">
        <v>0.04</v>
      </c>
      <c r="E741" s="4">
        <f>D741*E736</f>
        <v>22.024000000000001</v>
      </c>
      <c r="F741" s="9"/>
      <c r="G741" s="85">
        <f t="shared" si="44"/>
        <v>0</v>
      </c>
      <c r="H741" s="4"/>
      <c r="I741" s="85">
        <f t="shared" si="45"/>
        <v>0</v>
      </c>
      <c r="J741" s="4"/>
      <c r="K741" s="100">
        <f t="shared" si="46"/>
        <v>0</v>
      </c>
      <c r="L741" s="85">
        <f t="shared" si="47"/>
        <v>0</v>
      </c>
    </row>
    <row r="742" spans="1:12" s="60" customFormat="1" x14ac:dyDescent="0.35">
      <c r="A742" s="71"/>
      <c r="B742" s="76" t="s">
        <v>14</v>
      </c>
      <c r="C742" s="102" t="s">
        <v>6</v>
      </c>
      <c r="D742" s="102">
        <v>0.17</v>
      </c>
      <c r="E742" s="103">
        <f>D742*E736</f>
        <v>93.602000000000004</v>
      </c>
      <c r="F742" s="77"/>
      <c r="G742" s="85">
        <f t="shared" si="44"/>
        <v>0</v>
      </c>
      <c r="H742" s="103"/>
      <c r="I742" s="85">
        <f t="shared" si="45"/>
        <v>0</v>
      </c>
      <c r="J742" s="103"/>
      <c r="K742" s="100">
        <f t="shared" si="46"/>
        <v>0</v>
      </c>
      <c r="L742" s="85">
        <f t="shared" si="47"/>
        <v>0</v>
      </c>
    </row>
    <row r="743" spans="1:12" s="60" customFormat="1" x14ac:dyDescent="0.35">
      <c r="A743" s="71"/>
      <c r="B743" s="6" t="s">
        <v>277</v>
      </c>
      <c r="C743" s="5" t="s">
        <v>17</v>
      </c>
      <c r="D743" s="5">
        <v>9.4000000000000004E-3</v>
      </c>
      <c r="E743" s="4">
        <f>D743*E736</f>
        <v>5.1756400000000005</v>
      </c>
      <c r="F743" s="9"/>
      <c r="G743" s="85">
        <f t="shared" si="44"/>
        <v>0</v>
      </c>
      <c r="H743" s="4"/>
      <c r="I743" s="85">
        <f t="shared" si="45"/>
        <v>0</v>
      </c>
      <c r="J743" s="4"/>
      <c r="K743" s="100">
        <f t="shared" si="46"/>
        <v>0</v>
      </c>
      <c r="L743" s="85">
        <f t="shared" si="47"/>
        <v>0</v>
      </c>
    </row>
    <row r="744" spans="1:12" s="60" customFormat="1" x14ac:dyDescent="0.35">
      <c r="A744" s="71"/>
      <c r="B744" s="6" t="s">
        <v>273</v>
      </c>
      <c r="C744" s="5" t="s">
        <v>7</v>
      </c>
      <c r="D744" s="4">
        <v>0.09</v>
      </c>
      <c r="E744" s="4">
        <f>D744*E736</f>
        <v>49.554000000000002</v>
      </c>
      <c r="F744" s="9"/>
      <c r="G744" s="85">
        <f t="shared" si="44"/>
        <v>0</v>
      </c>
      <c r="H744" s="4"/>
      <c r="I744" s="85">
        <f t="shared" si="45"/>
        <v>0</v>
      </c>
      <c r="J744" s="4"/>
      <c r="K744" s="100">
        <f t="shared" si="46"/>
        <v>0</v>
      </c>
      <c r="L744" s="85">
        <f t="shared" si="47"/>
        <v>0</v>
      </c>
    </row>
    <row r="745" spans="1:12" s="60" customFormat="1" x14ac:dyDescent="0.35">
      <c r="A745" s="71"/>
      <c r="B745" s="92" t="s">
        <v>41</v>
      </c>
      <c r="C745" s="22" t="s">
        <v>24</v>
      </c>
      <c r="D745" s="18">
        <v>0.17799999999999999</v>
      </c>
      <c r="E745" s="18">
        <f>D745*E736</f>
        <v>98.006799999999998</v>
      </c>
      <c r="F745" s="18"/>
      <c r="G745" s="85">
        <f t="shared" si="44"/>
        <v>0</v>
      </c>
      <c r="H745" s="18"/>
      <c r="I745" s="85">
        <f t="shared" si="45"/>
        <v>0</v>
      </c>
      <c r="J745" s="18"/>
      <c r="K745" s="100">
        <f t="shared" si="46"/>
        <v>0</v>
      </c>
      <c r="L745" s="85">
        <f t="shared" si="47"/>
        <v>0</v>
      </c>
    </row>
    <row r="746" spans="1:12" s="60" customFormat="1" x14ac:dyDescent="0.35">
      <c r="A746" s="71"/>
      <c r="B746" s="76" t="s">
        <v>14</v>
      </c>
      <c r="C746" s="102" t="s">
        <v>6</v>
      </c>
      <c r="D746" s="102">
        <v>4.0600000000000002E-3</v>
      </c>
      <c r="E746" s="103">
        <f>D746*E736</f>
        <v>2.2354360000000004</v>
      </c>
      <c r="F746" s="77"/>
      <c r="G746" s="85">
        <f t="shared" si="44"/>
        <v>0</v>
      </c>
      <c r="H746" s="103"/>
      <c r="I746" s="85">
        <f t="shared" si="45"/>
        <v>0</v>
      </c>
      <c r="J746" s="103"/>
      <c r="K746" s="100">
        <f t="shared" si="46"/>
        <v>0</v>
      </c>
      <c r="L746" s="85">
        <f t="shared" si="47"/>
        <v>0</v>
      </c>
    </row>
    <row r="747" spans="1:12" s="60" customFormat="1" ht="54" x14ac:dyDescent="0.35">
      <c r="A747" s="71">
        <v>101</v>
      </c>
      <c r="B747" s="127" t="s">
        <v>283</v>
      </c>
      <c r="C747" s="126" t="s">
        <v>280</v>
      </c>
      <c r="D747" s="28"/>
      <c r="E747" s="41">
        <f>34*6</f>
        <v>204</v>
      </c>
      <c r="F747" s="9"/>
      <c r="G747" s="85">
        <f t="shared" si="44"/>
        <v>0</v>
      </c>
      <c r="H747" s="4"/>
      <c r="I747" s="85">
        <f t="shared" si="45"/>
        <v>0</v>
      </c>
      <c r="J747" s="4"/>
      <c r="K747" s="100">
        <f t="shared" si="46"/>
        <v>0</v>
      </c>
      <c r="L747" s="85">
        <f t="shared" si="47"/>
        <v>0</v>
      </c>
    </row>
    <row r="748" spans="1:12" s="60" customFormat="1" x14ac:dyDescent="0.35">
      <c r="A748" s="71"/>
      <c r="B748" s="45" t="s">
        <v>281</v>
      </c>
      <c r="C748" s="46" t="s">
        <v>272</v>
      </c>
      <c r="D748" s="4">
        <f>8*2</f>
        <v>16</v>
      </c>
      <c r="E748" s="4">
        <f>D748*E747</f>
        <v>3264</v>
      </c>
      <c r="F748" s="4"/>
      <c r="G748" s="85">
        <f t="shared" si="44"/>
        <v>0</v>
      </c>
      <c r="H748" s="4"/>
      <c r="I748" s="85">
        <f t="shared" si="45"/>
        <v>0</v>
      </c>
      <c r="J748" s="4"/>
      <c r="K748" s="100">
        <f t="shared" si="46"/>
        <v>0</v>
      </c>
      <c r="L748" s="85">
        <f t="shared" si="47"/>
        <v>0</v>
      </c>
    </row>
    <row r="749" spans="1:12" s="60" customFormat="1" ht="27" x14ac:dyDescent="0.35">
      <c r="A749" s="68">
        <v>102</v>
      </c>
      <c r="B749" s="123" t="s">
        <v>282</v>
      </c>
      <c r="C749" s="95" t="s">
        <v>46</v>
      </c>
      <c r="D749" s="95"/>
      <c r="E749" s="98">
        <f>34*6*8/4</f>
        <v>408</v>
      </c>
      <c r="F749" s="18"/>
      <c r="G749" s="85">
        <f t="shared" si="44"/>
        <v>0</v>
      </c>
      <c r="H749" s="9"/>
      <c r="I749" s="85">
        <f t="shared" si="45"/>
        <v>0</v>
      </c>
      <c r="J749" s="18"/>
      <c r="K749" s="100">
        <f t="shared" si="46"/>
        <v>0</v>
      </c>
      <c r="L749" s="85">
        <f t="shared" si="47"/>
        <v>0</v>
      </c>
    </row>
    <row r="750" spans="1:12" x14ac:dyDescent="0.35">
      <c r="A750" s="33"/>
      <c r="B750" s="21" t="s">
        <v>4</v>
      </c>
      <c r="C750" s="19"/>
      <c r="D750" s="19"/>
      <c r="E750" s="20"/>
      <c r="F750" s="20"/>
      <c r="G750" s="84">
        <f>SUM(G12:G749)</f>
        <v>0</v>
      </c>
      <c r="H750" s="84"/>
      <c r="I750" s="84">
        <f t="shared" ref="I750:L750" si="48">SUM(I12:I749)</f>
        <v>0</v>
      </c>
      <c r="J750" s="84"/>
      <c r="K750" s="84">
        <f t="shared" si="48"/>
        <v>0</v>
      </c>
      <c r="L750" s="84">
        <f t="shared" si="48"/>
        <v>0</v>
      </c>
    </row>
    <row r="751" spans="1:12" x14ac:dyDescent="0.35">
      <c r="A751" s="33"/>
      <c r="B751" s="7" t="s">
        <v>8</v>
      </c>
      <c r="C751" s="16">
        <v>0.05</v>
      </c>
      <c r="D751" s="16"/>
      <c r="E751" s="9"/>
      <c r="F751" s="8"/>
      <c r="G751" s="128">
        <f>G750-G733-G724-G697-G130-G124-G72-G63</f>
        <v>0</v>
      </c>
      <c r="H751" s="85"/>
      <c r="I751" s="85"/>
      <c r="J751" s="85"/>
      <c r="K751" s="85"/>
      <c r="L751" s="85">
        <f>G751*C751</f>
        <v>0</v>
      </c>
    </row>
    <row r="752" spans="1:12" x14ac:dyDescent="0.35">
      <c r="A752" s="33"/>
      <c r="B752" s="11" t="s">
        <v>4</v>
      </c>
      <c r="C752" s="15"/>
      <c r="D752" s="15"/>
      <c r="E752" s="9"/>
      <c r="F752" s="8"/>
      <c r="G752" s="85"/>
      <c r="H752" s="85"/>
      <c r="I752" s="85"/>
      <c r="J752" s="85"/>
      <c r="K752" s="85"/>
      <c r="L752" s="85">
        <f>SUM(L750:L751)</f>
        <v>0</v>
      </c>
    </row>
    <row r="753" spans="1:12" x14ac:dyDescent="0.35">
      <c r="A753" s="33"/>
      <c r="B753" s="7" t="s">
        <v>9</v>
      </c>
      <c r="C753" s="16">
        <v>0.1</v>
      </c>
      <c r="D753" s="16"/>
      <c r="E753" s="9"/>
      <c r="F753" s="8"/>
      <c r="G753" s="85"/>
      <c r="H753" s="85"/>
      <c r="I753" s="85"/>
      <c r="J753" s="85"/>
      <c r="K753" s="85"/>
      <c r="L753" s="85">
        <f>L752*C753</f>
        <v>0</v>
      </c>
    </row>
    <row r="754" spans="1:12" x14ac:dyDescent="0.35">
      <c r="A754" s="33"/>
      <c r="B754" s="11" t="s">
        <v>4</v>
      </c>
      <c r="C754" s="15"/>
      <c r="D754" s="15"/>
      <c r="E754" s="9"/>
      <c r="F754" s="8"/>
      <c r="G754" s="85"/>
      <c r="H754" s="85"/>
      <c r="I754" s="85"/>
      <c r="J754" s="85"/>
      <c r="K754" s="85"/>
      <c r="L754" s="85">
        <f>SUM(L752:L753)</f>
        <v>0</v>
      </c>
    </row>
    <row r="755" spans="1:12" x14ac:dyDescent="0.35">
      <c r="A755" s="33"/>
      <c r="B755" s="7" t="s">
        <v>10</v>
      </c>
      <c r="C755" s="16">
        <v>0.08</v>
      </c>
      <c r="D755" s="16"/>
      <c r="E755" s="9"/>
      <c r="F755" s="8"/>
      <c r="G755" s="85"/>
      <c r="H755" s="85"/>
      <c r="I755" s="85"/>
      <c r="J755" s="85"/>
      <c r="K755" s="85"/>
      <c r="L755" s="85">
        <f>L754*C755</f>
        <v>0</v>
      </c>
    </row>
    <row r="756" spans="1:12" x14ac:dyDescent="0.35">
      <c r="A756" s="33"/>
      <c r="B756" s="11" t="s">
        <v>4</v>
      </c>
      <c r="C756" s="15"/>
      <c r="D756" s="15"/>
      <c r="E756" s="9"/>
      <c r="F756" s="8"/>
      <c r="G756" s="85"/>
      <c r="H756" s="85"/>
      <c r="I756" s="85"/>
      <c r="J756" s="85"/>
      <c r="K756" s="85"/>
      <c r="L756" s="85">
        <f>SUM(L754:L755)</f>
        <v>0</v>
      </c>
    </row>
    <row r="757" spans="1:12" x14ac:dyDescent="0.35">
      <c r="A757" s="33"/>
      <c r="B757" s="7" t="s">
        <v>12</v>
      </c>
      <c r="C757" s="16">
        <v>0.03</v>
      </c>
      <c r="D757" s="16"/>
      <c r="E757" s="9"/>
      <c r="F757" s="8"/>
      <c r="G757" s="85"/>
      <c r="H757" s="85"/>
      <c r="I757" s="85"/>
      <c r="J757" s="85"/>
      <c r="K757" s="85"/>
      <c r="L757" s="85">
        <f>L756*C757</f>
        <v>0</v>
      </c>
    </row>
    <row r="758" spans="1:12" x14ac:dyDescent="0.35">
      <c r="A758" s="33"/>
      <c r="B758" s="11" t="s">
        <v>4</v>
      </c>
      <c r="C758" s="16"/>
      <c r="D758" s="16"/>
      <c r="E758" s="9"/>
      <c r="F758" s="8"/>
      <c r="G758" s="85"/>
      <c r="H758" s="85"/>
      <c r="I758" s="85"/>
      <c r="J758" s="85"/>
      <c r="K758" s="85"/>
      <c r="L758" s="85">
        <f>SUM(L756:L757)</f>
        <v>0</v>
      </c>
    </row>
    <row r="759" spans="1:12" x14ac:dyDescent="0.35">
      <c r="A759" s="33"/>
      <c r="B759" s="7" t="s">
        <v>36</v>
      </c>
      <c r="C759" s="16">
        <v>0.18</v>
      </c>
      <c r="D759" s="16"/>
      <c r="E759" s="9"/>
      <c r="F759" s="8"/>
      <c r="G759" s="85"/>
      <c r="H759" s="85"/>
      <c r="I759" s="85"/>
      <c r="J759" s="85"/>
      <c r="K759" s="85"/>
      <c r="L759" s="85">
        <f>L758*C759</f>
        <v>0</v>
      </c>
    </row>
    <row r="760" spans="1:12" x14ac:dyDescent="0.35">
      <c r="A760" s="34"/>
      <c r="B760" s="35" t="s">
        <v>11</v>
      </c>
      <c r="C760" s="30"/>
      <c r="D760" s="30"/>
      <c r="E760" s="31"/>
      <c r="F760" s="32"/>
      <c r="G760" s="87"/>
      <c r="H760" s="87"/>
      <c r="I760" s="87"/>
      <c r="J760" s="87"/>
      <c r="K760" s="87"/>
      <c r="L760" s="88">
        <f>SUM(L758:L759)</f>
        <v>0</v>
      </c>
    </row>
    <row r="761" spans="1:12" x14ac:dyDescent="0.35">
      <c r="A761" s="82"/>
      <c r="B761" s="54"/>
      <c r="C761" s="54"/>
      <c r="D761" s="54"/>
      <c r="E761" s="54"/>
      <c r="F761" s="54"/>
      <c r="G761" s="54"/>
      <c r="H761" s="54"/>
      <c r="I761" s="54"/>
      <c r="J761" s="54"/>
      <c r="K761" s="54"/>
      <c r="L761" s="54"/>
    </row>
    <row r="762" spans="1:12" x14ac:dyDescent="0.35">
      <c r="A762" s="82"/>
      <c r="B762" s="54"/>
      <c r="C762" s="54"/>
      <c r="D762" s="54"/>
      <c r="E762" s="54"/>
      <c r="F762" s="54"/>
      <c r="G762" s="54"/>
      <c r="H762" s="54"/>
      <c r="I762" s="54"/>
      <c r="J762" s="54"/>
      <c r="K762" s="54"/>
      <c r="L762" s="54"/>
    </row>
    <row r="763" spans="1:12" x14ac:dyDescent="0.35">
      <c r="A763" s="82"/>
      <c r="B763" s="54"/>
      <c r="C763" s="83"/>
      <c r="D763" s="83"/>
      <c r="E763" s="83"/>
      <c r="F763" s="83"/>
      <c r="G763" s="83"/>
      <c r="H763" s="83"/>
      <c r="I763" s="83"/>
      <c r="J763" s="54"/>
      <c r="K763" s="54"/>
      <c r="L763" s="54"/>
    </row>
    <row r="764" spans="1:12" x14ac:dyDescent="0.35">
      <c r="A764" s="82"/>
      <c r="B764" s="54"/>
      <c r="C764" s="83"/>
      <c r="D764" s="83"/>
      <c r="E764" s="83"/>
      <c r="F764" s="83"/>
      <c r="G764" s="83"/>
      <c r="H764" s="83"/>
      <c r="I764" s="83"/>
      <c r="J764" s="54"/>
      <c r="K764" s="54"/>
      <c r="L764" s="54"/>
    </row>
    <row r="765" spans="1:12" ht="15.75" customHeight="1" x14ac:dyDescent="0.35">
      <c r="A765" s="82"/>
      <c r="B765" s="54"/>
      <c r="C765" s="83"/>
      <c r="D765" s="83"/>
      <c r="E765" s="83"/>
      <c r="F765" s="83"/>
      <c r="G765" s="83"/>
      <c r="H765" s="83"/>
      <c r="I765" s="83"/>
      <c r="J765" s="54"/>
      <c r="K765" s="54"/>
      <c r="L765" s="54"/>
    </row>
    <row r="766" spans="1:12" ht="15.75" customHeight="1" x14ac:dyDescent="0.35">
      <c r="A766" s="82"/>
      <c r="B766" s="54"/>
      <c r="C766" s="83"/>
      <c r="D766" s="83"/>
      <c r="E766" s="83"/>
      <c r="F766" s="83"/>
      <c r="G766" s="83"/>
      <c r="H766" s="83"/>
      <c r="I766" s="83"/>
      <c r="J766" s="54"/>
      <c r="K766" s="54"/>
      <c r="L766" s="54"/>
    </row>
    <row r="767" spans="1:12" ht="15.75" customHeight="1" x14ac:dyDescent="0.35">
      <c r="A767" s="82"/>
      <c r="B767" s="54"/>
      <c r="C767" s="83"/>
      <c r="D767" s="83"/>
      <c r="E767" s="83"/>
      <c r="F767" s="83"/>
      <c r="G767" s="83"/>
      <c r="H767" s="83"/>
      <c r="I767" s="83"/>
      <c r="J767" s="54"/>
      <c r="K767" s="54"/>
      <c r="L767" s="54"/>
    </row>
    <row r="768" spans="1:12" ht="15.75" customHeight="1" x14ac:dyDescent="0.35">
      <c r="A768" s="82"/>
      <c r="B768" s="54"/>
      <c r="C768" s="83"/>
      <c r="D768" s="83"/>
      <c r="E768" s="83"/>
      <c r="F768" s="83"/>
      <c r="G768" s="83"/>
      <c r="H768" s="83"/>
      <c r="I768" s="83"/>
      <c r="J768" s="54"/>
      <c r="K768" s="54"/>
      <c r="L768" s="54"/>
    </row>
    <row r="769" spans="1:12" ht="15.75" customHeight="1" x14ac:dyDescent="0.35">
      <c r="A769" s="82"/>
      <c r="B769" s="54"/>
      <c r="C769" s="83"/>
      <c r="D769" s="83"/>
      <c r="E769" s="83"/>
      <c r="F769" s="83"/>
      <c r="G769" s="83"/>
      <c r="H769" s="83"/>
      <c r="I769" s="83"/>
      <c r="J769" s="54"/>
      <c r="K769" s="54"/>
      <c r="L769" s="54"/>
    </row>
    <row r="770" spans="1:12" ht="15.75" customHeight="1" x14ac:dyDescent="0.35">
      <c r="A770" s="82"/>
      <c r="B770" s="54"/>
      <c r="C770" s="83"/>
      <c r="D770" s="83"/>
      <c r="E770" s="83"/>
      <c r="F770" s="83"/>
      <c r="G770" s="83"/>
      <c r="H770" s="83"/>
      <c r="I770" s="83"/>
      <c r="J770" s="54"/>
      <c r="K770" s="54"/>
      <c r="L770" s="54"/>
    </row>
    <row r="771" spans="1:12" ht="15.75" customHeight="1" x14ac:dyDescent="0.35">
      <c r="A771" s="82"/>
      <c r="B771" s="54"/>
      <c r="C771" s="83"/>
      <c r="D771" s="83"/>
      <c r="E771" s="83"/>
      <c r="F771" s="83"/>
      <c r="G771" s="83"/>
      <c r="H771" s="83"/>
      <c r="I771" s="83"/>
      <c r="J771" s="54"/>
      <c r="K771" s="54"/>
      <c r="L771" s="54"/>
    </row>
    <row r="772" spans="1:12" ht="15.75" customHeight="1" x14ac:dyDescent="0.35">
      <c r="A772" s="82"/>
      <c r="B772" s="54"/>
      <c r="C772" s="83"/>
      <c r="D772" s="83"/>
      <c r="E772" s="83"/>
      <c r="F772" s="83"/>
      <c r="G772" s="83"/>
      <c r="H772" s="83"/>
      <c r="I772" s="83"/>
      <c r="J772" s="54"/>
      <c r="K772" s="54"/>
      <c r="L772" s="54"/>
    </row>
    <row r="773" spans="1:12" ht="15.75" customHeight="1" x14ac:dyDescent="0.35">
      <c r="A773" s="82"/>
      <c r="B773" s="54"/>
      <c r="C773" s="83"/>
      <c r="D773" s="83"/>
      <c r="E773" s="83"/>
      <c r="F773" s="83"/>
      <c r="G773" s="83"/>
      <c r="H773" s="83"/>
      <c r="I773" s="83"/>
      <c r="J773" s="54"/>
      <c r="K773" s="54"/>
      <c r="L773" s="54"/>
    </row>
    <row r="774" spans="1:12" ht="15.75" customHeight="1" x14ac:dyDescent="0.35">
      <c r="A774" s="82"/>
      <c r="B774" s="54"/>
      <c r="C774" s="83"/>
      <c r="D774" s="83"/>
      <c r="E774" s="83"/>
      <c r="F774" s="83"/>
      <c r="G774" s="83"/>
      <c r="H774" s="83"/>
      <c r="I774" s="83"/>
      <c r="J774" s="54"/>
      <c r="K774" s="54"/>
      <c r="L774" s="54"/>
    </row>
    <row r="775" spans="1:12" ht="15.75" customHeight="1" x14ac:dyDescent="0.35">
      <c r="J775" s="54"/>
      <c r="K775" s="54"/>
      <c r="L775" s="54"/>
    </row>
    <row r="776" spans="1:12" ht="15.75" customHeight="1" x14ac:dyDescent="0.35">
      <c r="J776" s="54"/>
      <c r="K776" s="54"/>
      <c r="L776" s="54"/>
    </row>
    <row r="777" spans="1:12" ht="15.75" customHeight="1" x14ac:dyDescent="0.35">
      <c r="J777" s="54"/>
      <c r="K777" s="54"/>
      <c r="L777" s="54"/>
    </row>
    <row r="778" spans="1:12" ht="15.75" customHeight="1" x14ac:dyDescent="0.35">
      <c r="J778" s="54"/>
      <c r="K778" s="54"/>
      <c r="L778" s="54"/>
    </row>
    <row r="779" spans="1:12" ht="15.75" customHeight="1" x14ac:dyDescent="0.35">
      <c r="J779" s="54"/>
      <c r="K779" s="54"/>
      <c r="L779" s="54"/>
    </row>
    <row r="780" spans="1:12" ht="15.75" customHeight="1" x14ac:dyDescent="0.35">
      <c r="J780" s="54"/>
      <c r="K780" s="54"/>
      <c r="L780" s="54"/>
    </row>
    <row r="781" spans="1:12" ht="15.75" customHeight="1" x14ac:dyDescent="0.35">
      <c r="J781" s="54"/>
      <c r="K781" s="54"/>
      <c r="L781" s="54"/>
    </row>
    <row r="782" spans="1:12" ht="15.75" customHeight="1" x14ac:dyDescent="0.35">
      <c r="J782" s="54"/>
      <c r="K782" s="54"/>
      <c r="L782" s="54"/>
    </row>
    <row r="783" spans="1:12" ht="15.75" customHeight="1" x14ac:dyDescent="0.35">
      <c r="J783" s="54"/>
      <c r="K783" s="54"/>
      <c r="L783" s="54"/>
    </row>
    <row r="784" spans="1:12" ht="15.75" customHeight="1" x14ac:dyDescent="0.35">
      <c r="J784" s="54"/>
      <c r="K784" s="54"/>
      <c r="L784" s="54"/>
    </row>
    <row r="785" spans="10:12" ht="15.75" customHeight="1" x14ac:dyDescent="0.35">
      <c r="J785" s="54"/>
      <c r="K785" s="54"/>
      <c r="L785" s="54"/>
    </row>
    <row r="786" spans="10:12" ht="15.75" customHeight="1" x14ac:dyDescent="0.35">
      <c r="J786" s="54"/>
      <c r="K786" s="54"/>
      <c r="L786" s="54"/>
    </row>
    <row r="787" spans="10:12" ht="15.75" customHeight="1" x14ac:dyDescent="0.35">
      <c r="J787" s="54"/>
      <c r="K787" s="54"/>
      <c r="L787" s="54"/>
    </row>
    <row r="788" spans="10:12" ht="15.75" customHeight="1" x14ac:dyDescent="0.35">
      <c r="J788" s="54"/>
      <c r="K788" s="54"/>
      <c r="L788" s="54"/>
    </row>
    <row r="789" spans="10:12" ht="15" customHeight="1" x14ac:dyDescent="0.35">
      <c r="J789" s="54"/>
      <c r="K789" s="54"/>
      <c r="L789" s="54"/>
    </row>
    <row r="790" spans="10:12" ht="15" customHeight="1" x14ac:dyDescent="0.35">
      <c r="J790" s="54"/>
      <c r="K790" s="54"/>
      <c r="L790" s="54"/>
    </row>
    <row r="791" spans="10:12" x14ac:dyDescent="0.35">
      <c r="J791" s="54"/>
      <c r="K791" s="54"/>
      <c r="L791" s="54"/>
    </row>
    <row r="792" spans="10:12" x14ac:dyDescent="0.35">
      <c r="J792" s="54"/>
      <c r="K792" s="54"/>
      <c r="L792" s="54"/>
    </row>
    <row r="793" spans="10:12" x14ac:dyDescent="0.35">
      <c r="J793" s="54"/>
      <c r="K793" s="54"/>
      <c r="L793" s="54"/>
    </row>
    <row r="794" spans="10:12" x14ac:dyDescent="0.35">
      <c r="J794" s="54"/>
      <c r="K794" s="54"/>
      <c r="L794" s="54"/>
    </row>
    <row r="795" spans="10:12" x14ac:dyDescent="0.35">
      <c r="J795" s="54"/>
      <c r="K795" s="54"/>
      <c r="L795" s="54"/>
    </row>
    <row r="796" spans="10:12" x14ac:dyDescent="0.35">
      <c r="J796" s="54"/>
      <c r="K796" s="54"/>
      <c r="L796" s="54"/>
    </row>
    <row r="797" spans="10:12" x14ac:dyDescent="0.35">
      <c r="J797" s="54"/>
      <c r="K797" s="54"/>
      <c r="L797" s="54"/>
    </row>
    <row r="798" spans="10:12" x14ac:dyDescent="0.35">
      <c r="J798" s="54"/>
      <c r="K798" s="54"/>
      <c r="L798" s="54"/>
    </row>
    <row r="799" spans="10:12" x14ac:dyDescent="0.35">
      <c r="J799" s="54"/>
      <c r="K799" s="54"/>
      <c r="L799" s="54"/>
    </row>
    <row r="800" spans="10:12" x14ac:dyDescent="0.35">
      <c r="J800" s="54"/>
      <c r="K800" s="54"/>
      <c r="L800" s="54"/>
    </row>
  </sheetData>
  <mergeCells count="17">
    <mergeCell ref="A1:L1"/>
    <mergeCell ref="B2:L2"/>
    <mergeCell ref="B4:L4"/>
    <mergeCell ref="A6:F6"/>
    <mergeCell ref="G6:I6"/>
    <mergeCell ref="J6:K6"/>
    <mergeCell ref="A5:B5"/>
    <mergeCell ref="B3:L3"/>
    <mergeCell ref="J7:K7"/>
    <mergeCell ref="L7:L8"/>
    <mergeCell ref="E7:E8"/>
    <mergeCell ref="F7:G7"/>
    <mergeCell ref="A7:A8"/>
    <mergeCell ref="B7:B8"/>
    <mergeCell ref="C7:C8"/>
    <mergeCell ref="D7:D8"/>
    <mergeCell ref="H7:I7"/>
  </mergeCells>
  <conditionalFormatting sqref="B86">
    <cfRule type="cellIs" dxfId="125" priority="207" stopIfTrue="1" operator="equal">
      <formula>8223.307275</formula>
    </cfRule>
  </conditionalFormatting>
  <conditionalFormatting sqref="B90">
    <cfRule type="cellIs" dxfId="124" priority="206" stopIfTrue="1" operator="equal">
      <formula>8223.307275</formula>
    </cfRule>
  </conditionalFormatting>
  <conditionalFormatting sqref="B97">
    <cfRule type="cellIs" dxfId="123" priority="25" stopIfTrue="1" operator="equal">
      <formula>8223.307275</formula>
    </cfRule>
  </conditionalFormatting>
  <conditionalFormatting sqref="B101">
    <cfRule type="cellIs" dxfId="122" priority="24" stopIfTrue="1" operator="equal">
      <formula>8223.307275</formula>
    </cfRule>
  </conditionalFormatting>
  <conditionalFormatting sqref="B118">
    <cfRule type="cellIs" dxfId="121" priority="124" stopIfTrue="1" operator="equal">
      <formula>8223.307275</formula>
    </cfRule>
  </conditionalFormatting>
  <conditionalFormatting sqref="B162">
    <cfRule type="cellIs" dxfId="120" priority="121" stopIfTrue="1" operator="equal">
      <formula>8223.307275</formula>
    </cfRule>
  </conditionalFormatting>
  <conditionalFormatting sqref="B178">
    <cfRule type="cellIs" dxfId="119" priority="111" stopIfTrue="1" operator="equal">
      <formula>8223.307275</formula>
    </cfRule>
  </conditionalFormatting>
  <conditionalFormatting sqref="B194">
    <cfRule type="cellIs" dxfId="118" priority="108" stopIfTrue="1" operator="equal">
      <formula>8223.307275</formula>
    </cfRule>
  </conditionalFormatting>
  <conditionalFormatting sqref="B210">
    <cfRule type="cellIs" dxfId="117" priority="105" stopIfTrue="1" operator="equal">
      <formula>8223.307275</formula>
    </cfRule>
  </conditionalFormatting>
  <conditionalFormatting sqref="B225">
    <cfRule type="cellIs" dxfId="116" priority="102" stopIfTrue="1" operator="equal">
      <formula>8223.307275</formula>
    </cfRule>
  </conditionalFormatting>
  <conditionalFormatting sqref="B241">
    <cfRule type="cellIs" dxfId="115" priority="99" stopIfTrue="1" operator="equal">
      <formula>8223.307275</formula>
    </cfRule>
  </conditionalFormatting>
  <conditionalFormatting sqref="B259">
    <cfRule type="cellIs" dxfId="114" priority="95" stopIfTrue="1" operator="equal">
      <formula>8223.307275</formula>
    </cfRule>
  </conditionalFormatting>
  <conditionalFormatting sqref="B275">
    <cfRule type="cellIs" dxfId="113" priority="92" stopIfTrue="1" operator="equal">
      <formula>8223.307275</formula>
    </cfRule>
  </conditionalFormatting>
  <conditionalFormatting sqref="B291">
    <cfRule type="cellIs" dxfId="112" priority="89" stopIfTrue="1" operator="equal">
      <formula>8223.307275</formula>
    </cfRule>
  </conditionalFormatting>
  <conditionalFormatting sqref="B307">
    <cfRule type="cellIs" dxfId="111" priority="86" stopIfTrue="1" operator="equal">
      <formula>8223.307275</formula>
    </cfRule>
  </conditionalFormatting>
  <conditionalFormatting sqref="B323">
    <cfRule type="cellIs" dxfId="110" priority="83" stopIfTrue="1" operator="equal">
      <formula>8223.307275</formula>
    </cfRule>
  </conditionalFormatting>
  <conditionalFormatting sqref="B339">
    <cfRule type="cellIs" dxfId="109" priority="80" stopIfTrue="1" operator="equal">
      <formula>8223.307275</formula>
    </cfRule>
  </conditionalFormatting>
  <conditionalFormatting sqref="B355">
    <cfRule type="cellIs" dxfId="108" priority="77" stopIfTrue="1" operator="equal">
      <formula>8223.307275</formula>
    </cfRule>
  </conditionalFormatting>
  <conditionalFormatting sqref="B371">
    <cfRule type="cellIs" dxfId="107" priority="74" stopIfTrue="1" operator="equal">
      <formula>8223.307275</formula>
    </cfRule>
  </conditionalFormatting>
  <conditionalFormatting sqref="B388">
    <cfRule type="cellIs" dxfId="106" priority="71" stopIfTrue="1" operator="equal">
      <formula>8223.307275</formula>
    </cfRule>
  </conditionalFormatting>
  <conditionalFormatting sqref="B404">
    <cfRule type="cellIs" dxfId="105" priority="68" stopIfTrue="1" operator="equal">
      <formula>8223.307275</formula>
    </cfRule>
  </conditionalFormatting>
  <conditionalFormatting sqref="B421">
    <cfRule type="cellIs" dxfId="104" priority="65" stopIfTrue="1" operator="equal">
      <formula>8223.307275</formula>
    </cfRule>
  </conditionalFormatting>
  <conditionalFormatting sqref="B438">
    <cfRule type="cellIs" dxfId="103" priority="55" stopIfTrue="1" operator="equal">
      <formula>8223.307275</formula>
    </cfRule>
  </conditionalFormatting>
  <conditionalFormatting sqref="B455">
    <cfRule type="cellIs" dxfId="102" priority="52" stopIfTrue="1" operator="equal">
      <formula>8223.307275</formula>
    </cfRule>
  </conditionalFormatting>
  <conditionalFormatting sqref="B471">
    <cfRule type="cellIs" dxfId="101" priority="49" stopIfTrue="1" operator="equal">
      <formula>8223.307275</formula>
    </cfRule>
  </conditionalFormatting>
  <conditionalFormatting sqref="B488">
    <cfRule type="cellIs" dxfId="100" priority="46" stopIfTrue="1" operator="equal">
      <formula>8223.307275</formula>
    </cfRule>
  </conditionalFormatting>
  <conditionalFormatting sqref="B504">
    <cfRule type="cellIs" dxfId="99" priority="43" stopIfTrue="1" operator="equal">
      <formula>8223.307275</formula>
    </cfRule>
  </conditionalFormatting>
  <conditionalFormatting sqref="B521">
    <cfRule type="cellIs" dxfId="98" priority="40" stopIfTrue="1" operator="equal">
      <formula>8223.307275</formula>
    </cfRule>
  </conditionalFormatting>
  <conditionalFormatting sqref="B537">
    <cfRule type="cellIs" dxfId="97" priority="37" stopIfTrue="1" operator="equal">
      <formula>8223.307275</formula>
    </cfRule>
  </conditionalFormatting>
  <conditionalFormatting sqref="B556">
    <cfRule type="cellIs" dxfId="96" priority="62" stopIfTrue="1" operator="equal">
      <formula>8223.307275</formula>
    </cfRule>
  </conditionalFormatting>
  <conditionalFormatting sqref="B574">
    <cfRule type="cellIs" dxfId="95" priority="60" stopIfTrue="1" operator="equal">
      <formula>8223.307275</formula>
    </cfRule>
  </conditionalFormatting>
  <conditionalFormatting sqref="B591">
    <cfRule type="cellIs" dxfId="94" priority="58" stopIfTrue="1" operator="equal">
      <formula>8223.307275</formula>
    </cfRule>
  </conditionalFormatting>
  <conditionalFormatting sqref="B606">
    <cfRule type="cellIs" dxfId="93" priority="34" stopIfTrue="1" operator="equal">
      <formula>8223.307275</formula>
    </cfRule>
  </conditionalFormatting>
  <conditionalFormatting sqref="B624">
    <cfRule type="cellIs" dxfId="92" priority="32" stopIfTrue="1" operator="equal">
      <formula>8223.307275</formula>
    </cfRule>
  </conditionalFormatting>
  <conditionalFormatting sqref="B640">
    <cfRule type="cellIs" dxfId="91" priority="31" stopIfTrue="1" operator="equal">
      <formula>8223.307275</formula>
    </cfRule>
  </conditionalFormatting>
  <conditionalFormatting sqref="B656">
    <cfRule type="cellIs" dxfId="90" priority="20" stopIfTrue="1" operator="equal">
      <formula>8223.307275</formula>
    </cfRule>
  </conditionalFormatting>
  <conditionalFormatting sqref="B676">
    <cfRule type="cellIs" dxfId="89" priority="23" stopIfTrue="1" operator="equal">
      <formula>8223.307275</formula>
    </cfRule>
  </conditionalFormatting>
  <conditionalFormatting sqref="B692">
    <cfRule type="cellIs" dxfId="88" priority="12" stopIfTrue="1" operator="equal">
      <formula>8223.307275</formula>
    </cfRule>
  </conditionalFormatting>
  <conditionalFormatting sqref="B12:C12">
    <cfRule type="cellIs" dxfId="87" priority="129" stopIfTrue="1" operator="equal">
      <formula>8223.307275</formula>
    </cfRule>
  </conditionalFormatting>
  <conditionalFormatting sqref="B15:C15">
    <cfRule type="cellIs" dxfId="86" priority="128" stopIfTrue="1" operator="equal">
      <formula>8223.307275</formula>
    </cfRule>
  </conditionalFormatting>
  <conditionalFormatting sqref="B18:C18">
    <cfRule type="cellIs" dxfId="85" priority="30" stopIfTrue="1" operator="equal">
      <formula>8223.307275</formula>
    </cfRule>
  </conditionalFormatting>
  <conditionalFormatting sqref="B22:C22">
    <cfRule type="cellIs" dxfId="84" priority="29" stopIfTrue="1" operator="equal">
      <formula>8223.307275</formula>
    </cfRule>
  </conditionalFormatting>
  <conditionalFormatting sqref="B25:C26">
    <cfRule type="cellIs" dxfId="83" priority="28" stopIfTrue="1" operator="equal">
      <formula>8223.307275</formula>
    </cfRule>
  </conditionalFormatting>
  <conditionalFormatting sqref="B29:C39">
    <cfRule type="cellIs" dxfId="82" priority="309" stopIfTrue="1" operator="equal">
      <formula>8223.307275</formula>
    </cfRule>
  </conditionalFormatting>
  <conditionalFormatting sqref="B49:C52">
    <cfRule type="cellIs" dxfId="81" priority="308" stopIfTrue="1" operator="equal">
      <formula>8223.307275</formula>
    </cfRule>
  </conditionalFormatting>
  <conditionalFormatting sqref="B70:C70">
    <cfRule type="cellIs" dxfId="80" priority="127" stopIfTrue="1" operator="equal">
      <formula>8223.307275</formula>
    </cfRule>
  </conditionalFormatting>
  <conditionalFormatting sqref="B76:C76">
    <cfRule type="cellIs" dxfId="79" priority="208" stopIfTrue="1" operator="equal">
      <formula>8223.307275</formula>
    </cfRule>
  </conditionalFormatting>
  <conditionalFormatting sqref="B82:C82">
    <cfRule type="cellIs" dxfId="78" priority="204" stopIfTrue="1" operator="equal">
      <formula>8223.307275</formula>
    </cfRule>
  </conditionalFormatting>
  <conditionalFormatting sqref="B95:C95">
    <cfRule type="cellIs" dxfId="77" priority="27" stopIfTrue="1" operator="equal">
      <formula>8223.307275</formula>
    </cfRule>
  </conditionalFormatting>
  <conditionalFormatting sqref="B105:C105">
    <cfRule type="cellIs" dxfId="76" priority="126" stopIfTrue="1" operator="equal">
      <formula>8223.307275</formula>
    </cfRule>
  </conditionalFormatting>
  <conditionalFormatting sqref="B115:C115">
    <cfRule type="cellIs" dxfId="75" priority="125" stopIfTrue="1" operator="equal">
      <formula>8223.307275</formula>
    </cfRule>
  </conditionalFormatting>
  <conditionalFormatting sqref="B122:C122">
    <cfRule type="cellIs" dxfId="74" priority="117" stopIfTrue="1" operator="equal">
      <formula>8223.307275</formula>
    </cfRule>
  </conditionalFormatting>
  <conditionalFormatting sqref="B128:C128">
    <cfRule type="cellIs" dxfId="73" priority="120" stopIfTrue="1" operator="equal">
      <formula>8223.307275</formula>
    </cfRule>
  </conditionalFormatting>
  <conditionalFormatting sqref="B134:C134">
    <cfRule type="cellIs" dxfId="72" priority="119" stopIfTrue="1" operator="equal">
      <formula>8223.307275</formula>
    </cfRule>
  </conditionalFormatting>
  <conditionalFormatting sqref="B143:C143">
    <cfRule type="cellIs" dxfId="71" priority="118" stopIfTrue="1" operator="equal">
      <formula>8223.307275</formula>
    </cfRule>
  </conditionalFormatting>
  <conditionalFormatting sqref="B149:C149">
    <cfRule type="cellIs" dxfId="70" priority="123" stopIfTrue="1" operator="equal">
      <formula>8223.307275</formula>
    </cfRule>
  </conditionalFormatting>
  <conditionalFormatting sqref="B158:C158">
    <cfRule type="cellIs" dxfId="69" priority="122" stopIfTrue="1" operator="equal">
      <formula>8223.307275</formula>
    </cfRule>
  </conditionalFormatting>
  <conditionalFormatting sqref="B165:C165">
    <cfRule type="cellIs" dxfId="68" priority="113" stopIfTrue="1" operator="equal">
      <formula>8223.307275</formula>
    </cfRule>
  </conditionalFormatting>
  <conditionalFormatting sqref="B174:C174">
    <cfRule type="cellIs" dxfId="67" priority="112" stopIfTrue="1" operator="equal">
      <formula>8223.307275</formula>
    </cfRule>
  </conditionalFormatting>
  <conditionalFormatting sqref="B181:C181">
    <cfRule type="cellIs" dxfId="66" priority="110" stopIfTrue="1" operator="equal">
      <formula>8223.307275</formula>
    </cfRule>
  </conditionalFormatting>
  <conditionalFormatting sqref="B190:C190">
    <cfRule type="cellIs" dxfId="65" priority="109" stopIfTrue="1" operator="equal">
      <formula>8223.307275</formula>
    </cfRule>
  </conditionalFormatting>
  <conditionalFormatting sqref="B197:C197">
    <cfRule type="cellIs" dxfId="64" priority="107" stopIfTrue="1" operator="equal">
      <formula>8223.307275</formula>
    </cfRule>
  </conditionalFormatting>
  <conditionalFormatting sqref="B206:C206">
    <cfRule type="cellIs" dxfId="63" priority="106" stopIfTrue="1" operator="equal">
      <formula>8223.307275</formula>
    </cfRule>
  </conditionalFormatting>
  <conditionalFormatting sqref="B213:C213">
    <cfRule type="cellIs" dxfId="62" priority="104" stopIfTrue="1" operator="equal">
      <formula>8223.307275</formula>
    </cfRule>
  </conditionalFormatting>
  <conditionalFormatting sqref="B222:C222">
    <cfRule type="cellIs" dxfId="61" priority="103" stopIfTrue="1" operator="equal">
      <formula>8223.307275</formula>
    </cfRule>
  </conditionalFormatting>
  <conditionalFormatting sqref="B228:C228">
    <cfRule type="cellIs" dxfId="60" priority="101" stopIfTrue="1" operator="equal">
      <formula>8223.307275</formula>
    </cfRule>
  </conditionalFormatting>
  <conditionalFormatting sqref="B237:C237">
    <cfRule type="cellIs" dxfId="59" priority="100" stopIfTrue="1" operator="equal">
      <formula>8223.307275</formula>
    </cfRule>
  </conditionalFormatting>
  <conditionalFormatting sqref="B245:C245">
    <cfRule type="cellIs" dxfId="58" priority="98" stopIfTrue="1" operator="equal">
      <formula>8223.307275</formula>
    </cfRule>
  </conditionalFormatting>
  <conditionalFormatting sqref="B255:C255">
    <cfRule type="cellIs" dxfId="57" priority="97" stopIfTrue="1" operator="equal">
      <formula>8223.307275</formula>
    </cfRule>
  </conditionalFormatting>
  <conditionalFormatting sqref="B262:C262">
    <cfRule type="cellIs" dxfId="56" priority="94" stopIfTrue="1" operator="equal">
      <formula>8223.307275</formula>
    </cfRule>
  </conditionalFormatting>
  <conditionalFormatting sqref="B272:C272">
    <cfRule type="cellIs" dxfId="55" priority="93" stopIfTrue="1" operator="equal">
      <formula>8223.307275</formula>
    </cfRule>
  </conditionalFormatting>
  <conditionalFormatting sqref="B278:C278">
    <cfRule type="cellIs" dxfId="54" priority="91" stopIfTrue="1" operator="equal">
      <formula>8223.307275</formula>
    </cfRule>
  </conditionalFormatting>
  <conditionalFormatting sqref="B288:C288">
    <cfRule type="cellIs" dxfId="53" priority="90" stopIfTrue="1" operator="equal">
      <formula>8223.307275</formula>
    </cfRule>
  </conditionalFormatting>
  <conditionalFormatting sqref="B294:C294">
    <cfRule type="cellIs" dxfId="52" priority="88" stopIfTrue="1" operator="equal">
      <formula>8223.307275</formula>
    </cfRule>
  </conditionalFormatting>
  <conditionalFormatting sqref="B304:C304">
    <cfRule type="cellIs" dxfId="51" priority="87" stopIfTrue="1" operator="equal">
      <formula>8223.307275</formula>
    </cfRule>
  </conditionalFormatting>
  <conditionalFormatting sqref="B310:C310">
    <cfRule type="cellIs" dxfId="50" priority="85" stopIfTrue="1" operator="equal">
      <formula>8223.307275</formula>
    </cfRule>
  </conditionalFormatting>
  <conditionalFormatting sqref="B320:C320">
    <cfRule type="cellIs" dxfId="49" priority="84" stopIfTrue="1" operator="equal">
      <formula>8223.307275</formula>
    </cfRule>
  </conditionalFormatting>
  <conditionalFormatting sqref="B326:C326">
    <cfRule type="cellIs" dxfId="48" priority="82" stopIfTrue="1" operator="equal">
      <formula>8223.307275</formula>
    </cfRule>
  </conditionalFormatting>
  <conditionalFormatting sqref="B336:C336">
    <cfRule type="cellIs" dxfId="47" priority="81" stopIfTrue="1" operator="equal">
      <formula>8223.307275</formula>
    </cfRule>
  </conditionalFormatting>
  <conditionalFormatting sqref="B342:C342">
    <cfRule type="cellIs" dxfId="46" priority="79" stopIfTrue="1" operator="equal">
      <formula>8223.307275</formula>
    </cfRule>
  </conditionalFormatting>
  <conditionalFormatting sqref="B352:C352">
    <cfRule type="cellIs" dxfId="45" priority="78" stopIfTrue="1" operator="equal">
      <formula>8223.307275</formula>
    </cfRule>
  </conditionalFormatting>
  <conditionalFormatting sqref="B358:C358">
    <cfRule type="cellIs" dxfId="44" priority="76" stopIfTrue="1" operator="equal">
      <formula>8223.307275</formula>
    </cfRule>
  </conditionalFormatting>
  <conditionalFormatting sqref="B368:C368">
    <cfRule type="cellIs" dxfId="43" priority="75" stopIfTrue="1" operator="equal">
      <formula>8223.307275</formula>
    </cfRule>
  </conditionalFormatting>
  <conditionalFormatting sqref="B374:C374">
    <cfRule type="cellIs" dxfId="42" priority="73" stopIfTrue="1" operator="equal">
      <formula>8223.307275</formula>
    </cfRule>
  </conditionalFormatting>
  <conditionalFormatting sqref="B384:C384">
    <cfRule type="cellIs" dxfId="41" priority="72" stopIfTrue="1" operator="equal">
      <formula>8223.307275</formula>
    </cfRule>
  </conditionalFormatting>
  <conditionalFormatting sqref="B391:C391">
    <cfRule type="cellIs" dxfId="40" priority="70" stopIfTrue="1" operator="equal">
      <formula>8223.307275</formula>
    </cfRule>
  </conditionalFormatting>
  <conditionalFormatting sqref="B401:C401">
    <cfRule type="cellIs" dxfId="39" priority="69" stopIfTrue="1" operator="equal">
      <formula>8223.307275</formula>
    </cfRule>
  </conditionalFormatting>
  <conditionalFormatting sqref="B407:C407">
    <cfRule type="cellIs" dxfId="38" priority="67" stopIfTrue="1" operator="equal">
      <formula>8223.307275</formula>
    </cfRule>
  </conditionalFormatting>
  <conditionalFormatting sqref="B417:C417">
    <cfRule type="cellIs" dxfId="37" priority="66" stopIfTrue="1" operator="equal">
      <formula>8223.307275</formula>
    </cfRule>
  </conditionalFormatting>
  <conditionalFormatting sqref="B424:C424">
    <cfRule type="cellIs" dxfId="36" priority="57" stopIfTrue="1" operator="equal">
      <formula>8223.307275</formula>
    </cfRule>
  </conditionalFormatting>
  <conditionalFormatting sqref="B434:C434">
    <cfRule type="cellIs" dxfId="35" priority="56" stopIfTrue="1" operator="equal">
      <formula>8223.307275</formula>
    </cfRule>
  </conditionalFormatting>
  <conditionalFormatting sqref="B441:C441">
    <cfRule type="cellIs" dxfId="34" priority="54" stopIfTrue="1" operator="equal">
      <formula>8223.307275</formula>
    </cfRule>
  </conditionalFormatting>
  <conditionalFormatting sqref="B451:C451">
    <cfRule type="cellIs" dxfId="33" priority="53" stopIfTrue="1" operator="equal">
      <formula>8223.307275</formula>
    </cfRule>
  </conditionalFormatting>
  <conditionalFormatting sqref="B458:C458">
    <cfRule type="cellIs" dxfId="32" priority="51" stopIfTrue="1" operator="equal">
      <formula>8223.307275</formula>
    </cfRule>
  </conditionalFormatting>
  <conditionalFormatting sqref="B468:C468">
    <cfRule type="cellIs" dxfId="31" priority="50" stopIfTrue="1" operator="equal">
      <formula>8223.307275</formula>
    </cfRule>
  </conditionalFormatting>
  <conditionalFormatting sqref="B474:C474">
    <cfRule type="cellIs" dxfId="30" priority="48" stopIfTrue="1" operator="equal">
      <formula>8223.307275</formula>
    </cfRule>
  </conditionalFormatting>
  <conditionalFormatting sqref="B484:C484">
    <cfRule type="cellIs" dxfId="29" priority="47" stopIfTrue="1" operator="equal">
      <formula>8223.307275</formula>
    </cfRule>
  </conditionalFormatting>
  <conditionalFormatting sqref="B491:C491">
    <cfRule type="cellIs" dxfId="28" priority="45" stopIfTrue="1" operator="equal">
      <formula>8223.307275</formula>
    </cfRule>
  </conditionalFormatting>
  <conditionalFormatting sqref="B501:C501">
    <cfRule type="cellIs" dxfId="27" priority="44" stopIfTrue="1" operator="equal">
      <formula>8223.307275</formula>
    </cfRule>
  </conditionalFormatting>
  <conditionalFormatting sqref="B507:C507">
    <cfRule type="cellIs" dxfId="26" priority="42" stopIfTrue="1" operator="equal">
      <formula>8223.307275</formula>
    </cfRule>
  </conditionalFormatting>
  <conditionalFormatting sqref="B517:C517">
    <cfRule type="cellIs" dxfId="25" priority="41" stopIfTrue="1" operator="equal">
      <formula>8223.307275</formula>
    </cfRule>
  </conditionalFormatting>
  <conditionalFormatting sqref="B524:C524">
    <cfRule type="cellIs" dxfId="24" priority="39" stopIfTrue="1" operator="equal">
      <formula>8223.307275</formula>
    </cfRule>
  </conditionalFormatting>
  <conditionalFormatting sqref="B534:C534">
    <cfRule type="cellIs" dxfId="23" priority="38" stopIfTrue="1" operator="equal">
      <formula>8223.307275</formula>
    </cfRule>
  </conditionalFormatting>
  <conditionalFormatting sqref="B541:C541">
    <cfRule type="cellIs" dxfId="22" priority="64" stopIfTrue="1" operator="equal">
      <formula>8223.307275</formula>
    </cfRule>
  </conditionalFormatting>
  <conditionalFormatting sqref="B559:C559">
    <cfRule type="cellIs" dxfId="21" priority="61" stopIfTrue="1" operator="equal">
      <formula>8223.307275</formula>
    </cfRule>
  </conditionalFormatting>
  <conditionalFormatting sqref="B577:C577">
    <cfRule type="cellIs" dxfId="20" priority="59" stopIfTrue="1" operator="equal">
      <formula>8223.307275</formula>
    </cfRule>
  </conditionalFormatting>
  <conditionalFormatting sqref="B595:C595">
    <cfRule type="cellIs" dxfId="19" priority="36" stopIfTrue="1" operator="equal">
      <formula>8223.307275</formula>
    </cfRule>
  </conditionalFormatting>
  <conditionalFormatting sqref="B604:C604">
    <cfRule type="cellIs" dxfId="18" priority="35" stopIfTrue="1" operator="equal">
      <formula>8223.307275</formula>
    </cfRule>
  </conditionalFormatting>
  <conditionalFormatting sqref="B644:C644">
    <cfRule type="cellIs" dxfId="17" priority="22" stopIfTrue="1" operator="equal">
      <formula>8223.307275</formula>
    </cfRule>
  </conditionalFormatting>
  <conditionalFormatting sqref="B653:C653">
    <cfRule type="cellIs" dxfId="16" priority="21" stopIfTrue="1" operator="equal">
      <formula>8223.307275</formula>
    </cfRule>
  </conditionalFormatting>
  <conditionalFormatting sqref="B659:C659">
    <cfRule type="cellIs" dxfId="15" priority="17" stopIfTrue="1" operator="equal">
      <formula>8223.307275</formula>
    </cfRule>
  </conditionalFormatting>
  <conditionalFormatting sqref="B665:C665">
    <cfRule type="cellIs" dxfId="14" priority="16" stopIfTrue="1" operator="equal">
      <formula>8223.307275</formula>
    </cfRule>
  </conditionalFormatting>
  <conditionalFormatting sqref="B680:C680">
    <cfRule type="cellIs" dxfId="13" priority="14" stopIfTrue="1" operator="equal">
      <formula>8223.307275</formula>
    </cfRule>
  </conditionalFormatting>
  <conditionalFormatting sqref="B689:C689">
    <cfRule type="cellIs" dxfId="12" priority="13" stopIfTrue="1" operator="equal">
      <formula>8223.307275</formula>
    </cfRule>
  </conditionalFormatting>
  <conditionalFormatting sqref="B695:C695">
    <cfRule type="cellIs" dxfId="11" priority="15" stopIfTrue="1" operator="equal">
      <formula>8223.307275</formula>
    </cfRule>
  </conditionalFormatting>
  <conditionalFormatting sqref="B701:C701">
    <cfRule type="cellIs" dxfId="10" priority="11" stopIfTrue="1" operator="equal">
      <formula>8223.307275</formula>
    </cfRule>
  </conditionalFormatting>
  <conditionalFormatting sqref="B709:C709">
    <cfRule type="cellIs" dxfId="9" priority="10" stopIfTrue="1" operator="equal">
      <formula>8223.307275</formula>
    </cfRule>
  </conditionalFormatting>
  <conditionalFormatting sqref="B728:C728">
    <cfRule type="cellIs" dxfId="8" priority="3" stopIfTrue="1" operator="equal">
      <formula>8223.307275</formula>
    </cfRule>
  </conditionalFormatting>
  <conditionalFormatting sqref="B737:C737">
    <cfRule type="cellIs" dxfId="7" priority="2" stopIfTrue="1" operator="equal">
      <formula>8223.307275</formula>
    </cfRule>
  </conditionalFormatting>
  <conditionalFormatting sqref="B748:C748">
    <cfRule type="cellIs" dxfId="6" priority="1" stopIfTrue="1" operator="equal">
      <formula>8223.307275</formula>
    </cfRule>
  </conditionalFormatting>
  <conditionalFormatting sqref="B44:D44">
    <cfRule type="cellIs" dxfId="5" priority="247" stopIfTrue="1" operator="equal">
      <formula>8223.307275</formula>
    </cfRule>
  </conditionalFormatting>
  <conditionalFormatting sqref="B55:D55">
    <cfRule type="cellIs" dxfId="4" priority="243" stopIfTrue="1" operator="equal">
      <formula>8223.307275</formula>
    </cfRule>
  </conditionalFormatting>
  <conditionalFormatting sqref="B60:D60">
    <cfRule type="cellIs" dxfId="3" priority="245" stopIfTrue="1" operator="equal">
      <formula>8223.307275</formula>
    </cfRule>
  </conditionalFormatting>
  <conditionalFormatting sqref="B715:D715">
    <cfRule type="cellIs" dxfId="2" priority="8" stopIfTrue="1" operator="equal">
      <formula>8223.307275</formula>
    </cfRule>
  </conditionalFormatting>
  <conditionalFormatting sqref="C720:D720">
    <cfRule type="cellIs" dxfId="1" priority="4" stopIfTrue="1" operator="equal">
      <formula>8223.307275</formula>
    </cfRule>
  </conditionalFormatting>
  <conditionalFormatting sqref="D50:D52">
    <cfRule type="cellIs" dxfId="0" priority="307" stopIfTrue="1" operator="equal">
      <formula>8223.307275</formula>
    </cfRule>
  </conditionalFormatting>
  <pageMargins left="0.7" right="0.7" top="0.75" bottom="0.75" header="0.3" footer="0.3"/>
  <pageSetup orientation="portrait" r:id="rId1"/>
  <ignoredErrors>
    <ignoredError sqref="L753:L756 L757:L759 E742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ნაკრები</vt:lpstr>
      <vt:lpstr>№2-1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2026-06-04T11:34:58Z</dcterms:modified>
</cp:coreProperties>
</file>